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_Dossiers clos\Reboisement TC_Haudricourt (76)\Dossier d_instruction\"/>
    </mc:Choice>
  </mc:AlternateContent>
  <xr:revisionPtr revIDLastSave="0" documentId="13_ncr:1_{1A70393D-1683-435D-84FE-B0CE99C44CC7}" xr6:coauthVersionLast="47" xr6:coauthVersionMax="47" xr10:uidLastSave="{00000000-0000-0000-0000-000000000000}"/>
  <bookViews>
    <workbookView xWindow="-108" yWindow="-108" windowWidth="23256" windowHeight="1257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HH163" i="2"/>
  <c r="EV163" i="2"/>
  <c r="EB163" i="2"/>
  <c r="HG163" i="2"/>
  <c r="HI163" i="2"/>
  <c r="EA163" i="2"/>
  <c r="FS163" i="2"/>
  <c r="EC163" i="2"/>
  <c r="EX163" i="2"/>
  <c r="EY163" i="2" s="1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FR164" i="2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D165" i="2" s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Y192" i="2" s="1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ED192" i="2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ED194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C197" i="2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Y198" i="2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FS201" i="2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107" i="2" a="1"/>
  <c r="FD10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DN187" i="2" a="1"/>
  <c r="DN187" i="2" s="1"/>
  <c r="HJ202" i="2"/>
  <c r="EY202" i="2"/>
  <c r="AX200" i="2"/>
  <c r="FD44" i="2" l="1" a="1"/>
  <c r="FD44" i="2" s="1"/>
  <c r="FD82" i="2" a="1"/>
  <c r="FD82" i="2" s="1"/>
  <c r="FD160" i="2" a="1"/>
  <c r="FD160" i="2" s="1"/>
  <c r="FD137" i="2" a="1"/>
  <c r="FD137" i="2" s="1"/>
  <c r="FD167" i="2" a="1"/>
  <c r="FD167" i="2" s="1"/>
  <c r="FD188" i="2" a="1"/>
  <c r="FD188" i="2" s="1"/>
  <c r="FD131" i="2" a="1"/>
  <c r="FD131" i="2" s="1"/>
  <c r="FD60" i="2" a="1"/>
  <c r="FD60" i="2" s="1"/>
  <c r="FD187" i="2" a="1"/>
  <c r="FD187" i="2" s="1"/>
  <c r="FD194" i="2" a="1"/>
  <c r="FD194" i="2" s="1"/>
  <c r="FD43" i="2" a="1"/>
  <c r="FD43" i="2" s="1"/>
  <c r="FD19" i="2" a="1"/>
  <c r="FD19" i="2" s="1"/>
  <c r="FD64" i="2" a="1"/>
  <c r="FD64" i="2" s="1"/>
  <c r="FD189" i="2" a="1"/>
  <c r="FD189" i="2" s="1"/>
  <c r="FD59" i="2" a="1"/>
  <c r="FD59" i="2" s="1"/>
  <c r="FD14" i="2" a="1"/>
  <c r="FD14" i="2" s="1"/>
  <c r="FD144" i="2" a="1"/>
  <c r="FD144" i="2" s="1"/>
  <c r="FD159" i="2" a="1"/>
  <c r="FD159" i="2" s="1"/>
  <c r="FD48" i="2" a="1"/>
  <c r="FD48" i="2" s="1"/>
  <c r="FD21" i="2" a="1"/>
  <c r="FD21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FT20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ED203" i="2" s="1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Y25" i="2" l="1"/>
  <c r="CY67" i="2"/>
  <c r="CY24" i="2"/>
  <c r="CY12" i="2"/>
  <c r="CY59" i="2"/>
  <c r="CY88" i="2"/>
  <c r="CY134" i="2"/>
  <c r="CY101" i="2"/>
  <c r="CY58" i="2"/>
  <c r="CY63" i="2"/>
  <c r="CY149" i="2"/>
  <c r="CY131" i="2"/>
  <c r="CY127" i="2"/>
  <c r="CY31" i="2"/>
  <c r="CY14" i="2"/>
  <c r="CY23" i="2"/>
  <c r="CY157" i="2"/>
  <c r="CY21" i="2"/>
  <c r="CY171" i="2"/>
  <c r="CY148" i="2"/>
  <c r="CY44" i="2"/>
  <c r="CY150" i="2"/>
  <c r="CY54" i="2"/>
  <c r="CY113" i="2"/>
  <c r="CY32" i="2"/>
  <c r="CY200" i="2"/>
  <c r="CY176" i="2"/>
  <c r="CY194" i="2"/>
  <c r="CY123" i="2"/>
  <c r="CY51" i="2"/>
  <c r="CY93" i="2"/>
  <c r="CY145" i="2"/>
  <c r="CY181" i="2"/>
  <c r="CY48" i="2"/>
  <c r="CY103" i="2"/>
  <c r="CY35" i="2"/>
  <c r="CY164" i="2"/>
  <c r="CY178" i="2"/>
  <c r="CY10" i="2"/>
  <c r="CY116" i="2"/>
  <c r="CY9" i="2"/>
  <c r="CY70" i="2"/>
  <c r="CY37" i="2"/>
  <c r="CY125" i="2"/>
  <c r="CY98" i="2"/>
  <c r="CY179" i="2"/>
  <c r="CY57" i="2"/>
  <c r="CY87" i="2"/>
  <c r="CY68" i="2"/>
  <c r="CY16" i="2"/>
  <c r="CY94" i="2"/>
  <c r="CY188" i="2"/>
  <c r="CY199" i="2"/>
  <c r="CY45" i="2"/>
  <c r="CY8" i="2"/>
  <c r="CY197" i="2"/>
  <c r="CY129" i="2"/>
  <c r="CY109" i="2"/>
  <c r="CY156" i="2"/>
  <c r="CY4" i="2"/>
  <c r="CY104" i="2"/>
  <c r="CY201" i="2"/>
  <c r="CY99" i="2"/>
  <c r="CY71" i="2"/>
  <c r="CY158" i="2"/>
  <c r="CY7" i="2"/>
  <c r="CY80" i="2"/>
  <c r="CY166" i="2"/>
  <c r="CY161" i="2"/>
  <c r="CY74" i="2"/>
  <c r="CY114" i="2"/>
  <c r="CY92" i="2"/>
  <c r="CY112" i="2"/>
  <c r="CY108" i="2"/>
  <c r="CY198" i="2"/>
  <c r="CY46" i="2"/>
  <c r="CY152" i="2"/>
  <c r="CY180" i="2"/>
  <c r="CY159" i="2"/>
  <c r="CY124" i="2"/>
  <c r="CY41" i="2"/>
  <c r="CY185" i="2"/>
  <c r="CY203" i="2"/>
  <c r="CY170" i="2"/>
  <c r="CY34" i="2"/>
  <c r="CY153" i="2"/>
  <c r="CY38" i="2"/>
  <c r="CY72" i="2"/>
  <c r="CY191" i="2"/>
  <c r="CY105" i="2"/>
  <c r="CY193" i="2"/>
  <c r="CY3" i="2"/>
  <c r="C10" i="4" s="1"/>
  <c r="E10" i="4" s="1"/>
  <c r="F10" i="4" s="1"/>
  <c r="G10" i="4" s="1"/>
  <c r="L10" i="4" s="1"/>
  <c r="CY126" i="2"/>
  <c r="CY83" i="2"/>
  <c r="CY90" i="2"/>
  <c r="CY168" i="2"/>
  <c r="CY169" i="2"/>
  <c r="CY130" i="2"/>
  <c r="CY118" i="2"/>
  <c r="CY18" i="2"/>
  <c r="CY33" i="2"/>
  <c r="CY187" i="2"/>
  <c r="CY174" i="2"/>
  <c r="CY13" i="2"/>
  <c r="CY163" i="2"/>
  <c r="CY85" i="2"/>
  <c r="CY160" i="2"/>
  <c r="CY139" i="2"/>
  <c r="CY65" i="2"/>
  <c r="CY78" i="2"/>
  <c r="CY42" i="2"/>
  <c r="CY47" i="2"/>
  <c r="CY22" i="2"/>
  <c r="CY15" i="2"/>
  <c r="CY143" i="2"/>
  <c r="CY151" i="2"/>
  <c r="CY162" i="2"/>
  <c r="CY36" i="2"/>
  <c r="CY53" i="2"/>
  <c r="CY50" i="2"/>
  <c r="CY190" i="2"/>
  <c r="CY186" i="2"/>
  <c r="CY55" i="2"/>
  <c r="CY56" i="2"/>
  <c r="CY173" i="2"/>
  <c r="CY30" i="2"/>
  <c r="CY81" i="2"/>
  <c r="CY140" i="2"/>
  <c r="CY61" i="2"/>
  <c r="CY136" i="2"/>
  <c r="CY154" i="2"/>
  <c r="CY133" i="2"/>
  <c r="CY195" i="2"/>
  <c r="CY82" i="2"/>
  <c r="CY135" i="2"/>
  <c r="CY167" i="2"/>
  <c r="CY107" i="2"/>
  <c r="CY142" i="2"/>
  <c r="CY106" i="2"/>
  <c r="CY91" i="2"/>
  <c r="CY175" i="2"/>
  <c r="CY137" i="2"/>
  <c r="CY29" i="2"/>
  <c r="CY189" i="2"/>
  <c r="CY138" i="2"/>
  <c r="CY89" i="2"/>
  <c r="CY52" i="2"/>
  <c r="CY132" i="2"/>
  <c r="CY144" i="2"/>
  <c r="CY177" i="2"/>
  <c r="CY64" i="2"/>
  <c r="CY192" i="2"/>
  <c r="CY119" i="2"/>
  <c r="CY146" i="2"/>
  <c r="CY86" i="2"/>
  <c r="CY122" i="2"/>
  <c r="CY202" i="2"/>
  <c r="CY182" i="2"/>
  <c r="CY49" i="2"/>
  <c r="CY120" i="2"/>
  <c r="CY66" i="2"/>
  <c r="CY102" i="2"/>
  <c r="CY183" i="2"/>
  <c r="CY117" i="2"/>
  <c r="CY77" i="2"/>
  <c r="CY96" i="2"/>
  <c r="CY27" i="2"/>
  <c r="CY39" i="2"/>
  <c r="CY76" i="2"/>
  <c r="CY73" i="2"/>
  <c r="CY111" i="2"/>
  <c r="CY11" i="2"/>
  <c r="CY5" i="2"/>
  <c r="CY155" i="2"/>
  <c r="CY62" i="2"/>
  <c r="CY40" i="2"/>
  <c r="CY20" i="2"/>
  <c r="CY95" i="2"/>
  <c r="CY97" i="2"/>
  <c r="CY172" i="2"/>
  <c r="CY19" i="2"/>
  <c r="CY79" i="2"/>
  <c r="CY60" i="2"/>
  <c r="CY43" i="2"/>
  <c r="CY128" i="2"/>
  <c r="CY165" i="2"/>
  <c r="CY84" i="2"/>
  <c r="CY121" i="2"/>
  <c r="CY100" i="2"/>
  <c r="CY75" i="2"/>
  <c r="CY196" i="2"/>
  <c r="CY147" i="2"/>
  <c r="CY28" i="2"/>
  <c r="CY6" i="2"/>
  <c r="CY141" i="2"/>
  <c r="CY69" i="2"/>
  <c r="CY26" i="2"/>
  <c r="CY184" i="2"/>
  <c r="CY115" i="2"/>
  <c r="CY110" i="2"/>
  <c r="CY17" i="2"/>
  <c r="CD60" i="2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I170" i="2" l="1"/>
  <c r="BI59" i="2"/>
  <c r="BI202" i="2"/>
  <c r="BI123" i="2"/>
  <c r="BI167" i="2"/>
  <c r="BI107" i="2"/>
  <c r="BI82" i="2"/>
  <c r="BI176" i="2"/>
  <c r="BI95" i="2"/>
  <c r="BI127" i="2"/>
  <c r="BI24" i="2"/>
  <c r="BI193" i="2"/>
  <c r="BI124" i="2"/>
  <c r="BI182" i="2"/>
  <c r="BI134" i="2"/>
  <c r="BI113" i="2"/>
  <c r="BI139" i="2"/>
  <c r="BI63" i="2"/>
  <c r="BI58" i="2"/>
  <c r="BI198" i="2"/>
  <c r="BI114" i="2"/>
  <c r="BI147" i="2"/>
  <c r="BI39" i="2"/>
  <c r="BI17" i="2"/>
  <c r="BI31" i="2"/>
  <c r="BI16" i="2"/>
  <c r="BI165" i="2"/>
  <c r="BI18" i="2"/>
  <c r="BI155" i="2"/>
  <c r="BI188" i="2"/>
  <c r="BI41" i="2"/>
  <c r="BI175" i="2"/>
  <c r="BI158" i="2"/>
  <c r="BI173" i="2"/>
  <c r="BI55" i="2"/>
  <c r="BI43" i="2"/>
  <c r="BI52" i="2"/>
  <c r="BI7" i="2"/>
  <c r="BI87" i="2"/>
  <c r="BI9" i="2"/>
  <c r="BI104" i="2"/>
  <c r="BI33" i="2"/>
  <c r="BI164" i="2"/>
  <c r="BI168" i="2"/>
  <c r="BI93" i="2"/>
  <c r="BI141" i="2"/>
  <c r="BI86" i="2"/>
  <c r="BI116" i="2"/>
  <c r="BI10" i="2"/>
  <c r="BI140" i="2"/>
  <c r="BI6" i="2"/>
  <c r="BI72" i="2"/>
  <c r="BI196" i="2"/>
  <c r="BI70" i="2"/>
  <c r="BI61" i="2"/>
  <c r="BI136" i="2"/>
  <c r="BI25" i="2"/>
  <c r="BI65" i="2"/>
  <c r="BI145" i="2"/>
  <c r="BI115" i="2"/>
  <c r="BI190" i="2"/>
  <c r="BI102" i="2"/>
  <c r="BI85" i="2"/>
  <c r="BI26" i="2"/>
  <c r="BI156" i="2"/>
  <c r="BI153" i="2"/>
  <c r="BI179" i="2"/>
  <c r="BI91" i="2"/>
  <c r="BI144" i="2"/>
  <c r="BI103" i="2"/>
  <c r="BI171" i="2"/>
  <c r="BI142" i="2"/>
  <c r="BI162" i="2"/>
  <c r="BI80" i="2"/>
  <c r="BI67" i="2"/>
  <c r="BI88" i="2"/>
  <c r="BI3" i="2"/>
  <c r="C8" i="4" s="1"/>
  <c r="E8" i="4" s="1"/>
  <c r="F8" i="4" s="1"/>
  <c r="G8" i="4" s="1"/>
  <c r="L8" i="4" s="1"/>
  <c r="BI66" i="2"/>
  <c r="BI47" i="2"/>
  <c r="BI76" i="2"/>
  <c r="BI119" i="2"/>
  <c r="BI38" i="2"/>
  <c r="BI51" i="2"/>
  <c r="BI49" i="2"/>
  <c r="BI90" i="2"/>
  <c r="BI100" i="2"/>
  <c r="BI126" i="2"/>
  <c r="BI163" i="2"/>
  <c r="BI14" i="2"/>
  <c r="BI187" i="2"/>
  <c r="BI111" i="2"/>
  <c r="BI4" i="2"/>
  <c r="BI197" i="2"/>
  <c r="BI42" i="2"/>
  <c r="BI137" i="2"/>
  <c r="BI60" i="2"/>
  <c r="BI151" i="2"/>
  <c r="BI94" i="2"/>
  <c r="BI143" i="2"/>
  <c r="BI118" i="2"/>
  <c r="BI101" i="2"/>
  <c r="BI34" i="2"/>
  <c r="BI154" i="2"/>
  <c r="BI185" i="2"/>
  <c r="BI27" i="2"/>
  <c r="BI161" i="2"/>
  <c r="BI45" i="2"/>
  <c r="BI159" i="2"/>
  <c r="BI172" i="2"/>
  <c r="BI180" i="2"/>
  <c r="BI73" i="2"/>
  <c r="BI191" i="2"/>
  <c r="BI199" i="2"/>
  <c r="BI125" i="2"/>
  <c r="BI138" i="2"/>
  <c r="BI121" i="2"/>
  <c r="BI128" i="2"/>
  <c r="BI89" i="2"/>
  <c r="BI32" i="2"/>
  <c r="BI148" i="2"/>
  <c r="BI106" i="2"/>
  <c r="BI146" i="2"/>
  <c r="BI23" i="2"/>
  <c r="BI160" i="2"/>
  <c r="BI166" i="2"/>
  <c r="BI184" i="2"/>
  <c r="BI133" i="2"/>
  <c r="BI108" i="2"/>
  <c r="BI132" i="2"/>
  <c r="BI96" i="2"/>
  <c r="BI131" i="2"/>
  <c r="BI28" i="2"/>
  <c r="BI30" i="2"/>
  <c r="BI195" i="2"/>
  <c r="BI54" i="2"/>
  <c r="BI36" i="2"/>
  <c r="BI122" i="2"/>
  <c r="BI21" i="2"/>
  <c r="BI120" i="2"/>
  <c r="BI150" i="2"/>
  <c r="BI78" i="2"/>
  <c r="BI64" i="2"/>
  <c r="BI194" i="2"/>
  <c r="BI48" i="2"/>
  <c r="BI130" i="2"/>
  <c r="BI181" i="2"/>
  <c r="BI117" i="2"/>
  <c r="BI74" i="2"/>
  <c r="BI12" i="2"/>
  <c r="BI81" i="2"/>
  <c r="BI92" i="2"/>
  <c r="BI56" i="2"/>
  <c r="BI75" i="2"/>
  <c r="BI98" i="2"/>
  <c r="BI57" i="2"/>
  <c r="BI15" i="2"/>
  <c r="BI149" i="2"/>
  <c r="BI62" i="2"/>
  <c r="BI37" i="2"/>
  <c r="BI183" i="2"/>
  <c r="BI20" i="2"/>
  <c r="BI79" i="2"/>
  <c r="BI200" i="2"/>
  <c r="BI22" i="2"/>
  <c r="BI46" i="2"/>
  <c r="BI35" i="2"/>
  <c r="BI68" i="2"/>
  <c r="BI84" i="2"/>
  <c r="BI19" i="2"/>
  <c r="BI8" i="2"/>
  <c r="BI44" i="2"/>
  <c r="BI69" i="2"/>
  <c r="BI83" i="2"/>
  <c r="BI189" i="2"/>
  <c r="BI105" i="2"/>
  <c r="BI40" i="2"/>
  <c r="BI109" i="2"/>
  <c r="BI71" i="2"/>
  <c r="BI112" i="2"/>
  <c r="BI50" i="2"/>
  <c r="BI192" i="2"/>
  <c r="BI11" i="2"/>
  <c r="BI201" i="2"/>
  <c r="BI129" i="2"/>
  <c r="BI152" i="2"/>
  <c r="BI135" i="2"/>
  <c r="BI174" i="2"/>
  <c r="BI157" i="2"/>
  <c r="BI5" i="2"/>
  <c r="BI29" i="2"/>
  <c r="BI97" i="2"/>
  <c r="BI53" i="2"/>
  <c r="BI177" i="2"/>
  <c r="BI110" i="2"/>
  <c r="BI169" i="2"/>
  <c r="BI186" i="2"/>
  <c r="BI77" i="2"/>
  <c r="BI99" i="2"/>
  <c r="BI13" i="2"/>
  <c r="BI203" i="2"/>
  <c r="BI178" i="2"/>
  <c r="BF135" i="2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<sst xmlns="http://schemas.openxmlformats.org/spreadsheetml/2006/main" count="1186" uniqueCount="326">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</sst>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3.1463256798428652</c:v>
                </c:pt>
                <c:pt idx="2">
                  <c:v>4.4332159935494238</c:v>
                </c:pt>
                <c:pt idx="3">
                  <c:v>6.2487139749565381</c:v>
                </c:pt>
                <c:pt idx="4">
                  <c:v>8.8108200015367082</c:v>
                </c:pt>
                <c:pt idx="5">
                  <c:v>12.427771710375517</c:v>
                </c:pt>
                <c:pt idx="6">
                  <c:v>17.535523238916209</c:v>
                </c:pt>
                <c:pt idx="7">
                  <c:v>24.750839551757284</c:v>
                </c:pt>
                <c:pt idx="8">
                  <c:v>34.946529982645565</c:v>
                </c:pt>
                <c:pt idx="9">
                  <c:v>49.358077911135503</c:v>
                </c:pt>
                <c:pt idx="10">
                  <c:v>69.734803600053766</c:v>
                </c:pt>
                <c:pt idx="11">
                  <c:v>90.203304019109893</c:v>
                </c:pt>
                <c:pt idx="12">
                  <c:v>110.55482267025504</c:v>
                </c:pt>
                <c:pt idx="13">
                  <c:v>130.81405145417179</c:v>
                </c:pt>
                <c:pt idx="14">
                  <c:v>150.99733996220459</c:v>
                </c:pt>
                <c:pt idx="15">
                  <c:v>171.1162849602724</c:v>
                </c:pt>
                <c:pt idx="16">
                  <c:v>136.5334356381903</c:v>
                </c:pt>
                <c:pt idx="17">
                  <c:v>158.97616013715958</c:v>
                </c:pt>
                <c:pt idx="18">
                  <c:v>181.34368368345903</c:v>
                </c:pt>
                <c:pt idx="19">
                  <c:v>203.64659563079599</c:v>
                </c:pt>
                <c:pt idx="20">
                  <c:v>225.89297020726829</c:v>
                </c:pt>
                <c:pt idx="21">
                  <c:v>192.69166645650375</c:v>
                </c:pt>
                <c:pt idx="22">
                  <c:v>214.21082329400193</c:v>
                </c:pt>
                <c:pt idx="23">
                  <c:v>235.68019914177421</c:v>
                </c:pt>
                <c:pt idx="24">
                  <c:v>257.10496630927094</c:v>
                </c:pt>
                <c:pt idx="25">
                  <c:v>278.48936400091276</c:v>
                </c:pt>
                <c:pt idx="26">
                  <c:v>240.94637860003544</c:v>
                </c:pt>
                <c:pt idx="27">
                  <c:v>261.61017170872901</c:v>
                </c:pt>
                <c:pt idx="28">
                  <c:v>282.23712370144091</c:v>
                </c:pt>
                <c:pt idx="29">
                  <c:v>302.8303048722828</c:v>
                </c:pt>
                <c:pt idx="30">
                  <c:v>323.39233379750692</c:v>
                </c:pt>
                <c:pt idx="31">
                  <c:v>282.98654127638628</c:v>
                </c:pt>
                <c:pt idx="32">
                  <c:v>302.45616879398887</c:v>
                </c:pt>
                <c:pt idx="33">
                  <c:v>321.89791317588953</c:v>
                </c:pt>
                <c:pt idx="34">
                  <c:v>341.31369475960304</c:v>
                </c:pt>
                <c:pt idx="35">
                  <c:v>360.70519760433922</c:v>
                </c:pt>
                <c:pt idx="36">
                  <c:v>319.28230720978155</c:v>
                </c:pt>
                <c:pt idx="37">
                  <c:v>337.58182519139058</c:v>
                </c:pt>
                <c:pt idx="38">
                  <c:v>355.85951361436696</c:v>
                </c:pt>
                <c:pt idx="39">
                  <c:v>374.11665105684864</c:v>
                </c:pt>
                <c:pt idx="40">
                  <c:v>392.35438115419737</c:v>
                </c:pt>
                <c:pt idx="41">
                  <c:v>351.01238382795663</c:v>
                </c:pt>
                <c:pt idx="42">
                  <c:v>367.41226056988836</c:v>
                </c:pt>
                <c:pt idx="43">
                  <c:v>383.79616295666938</c:v>
                </c:pt>
                <c:pt idx="44">
                  <c:v>400.16486874659699</c:v>
                </c:pt>
                <c:pt idx="45">
                  <c:v>416.51908689232158</c:v>
                </c:pt>
                <c:pt idx="46">
                  <c:v>375.97851488636047</c:v>
                </c:pt>
                <c:pt idx="47">
                  <c:v>391.23832354179859</c:v>
                </c:pt>
                <c:pt idx="48">
                  <c:v>406.48522456571527</c:v>
                </c:pt>
                <c:pt idx="49">
                  <c:v>421.71977019610949</c:v>
                </c:pt>
                <c:pt idx="50">
                  <c:v>436.94246952460452</c:v>
                </c:pt>
                <c:pt idx="51">
                  <c:v>398.67741344442743</c:v>
                </c:pt>
                <c:pt idx="52">
                  <c:v>412.43185413738075</c:v>
                </c:pt>
                <c:pt idx="53">
                  <c:v>426.17639891086469</c:v>
                </c:pt>
                <c:pt idx="54">
                  <c:v>439.91141184608824</c:v>
                </c:pt>
                <c:pt idx="55">
                  <c:v>453.63723243721955</c:v>
                </c:pt>
                <c:pt idx="56">
                  <c:v>417.6336362599788</c:v>
                </c:pt>
                <c:pt idx="57">
                  <c:v>429.88948992506448</c:v>
                </c:pt>
                <c:pt idx="58">
                  <c:v>442.1378364455868</c:v>
                </c:pt>
                <c:pt idx="59">
                  <c:v>454.37891309932888</c:v>
                </c:pt>
                <c:pt idx="60">
                  <c:v>466.61294333655428</c:v>
                </c:pt>
                <c:pt idx="61">
                  <c:v>433.2306823305874</c:v>
                </c:pt>
                <c:pt idx="62">
                  <c:v>444.3640207556935</c:v>
                </c:pt>
                <c:pt idx="63">
                  <c:v>455.49138558575561</c:v>
                </c:pt>
                <c:pt idx="64">
                  <c:v>466.61294333655428</c:v>
                </c:pt>
                <c:pt idx="65">
                  <c:v>477.72885193803239</c:v>
                </c:pt>
                <c:pt idx="66">
                  <c:v>446.96093391901189</c:v>
                </c:pt>
                <c:pt idx="67">
                  <c:v>456.97459194094745</c:v>
                </c:pt>
                <c:pt idx="68">
                  <c:v>466.983563784024</c:v>
                </c:pt>
                <c:pt idx="69">
                  <c:v>476.98796406826068</c:v>
                </c:pt>
                <c:pt idx="70">
                  <c:v>486.98790221252966</c:v>
                </c:pt>
                <c:pt idx="71">
                  <c:v>457.34537744583645</c:v>
                </c:pt>
                <c:pt idx="72">
                  <c:v>466.61294333655451</c:v>
                </c:pt>
                <c:pt idx="73">
                  <c:v>475.87658634735868</c:v>
                </c:pt>
                <c:pt idx="74">
                  <c:v>485.13639362991444</c:v>
                </c:pt>
                <c:pt idx="75">
                  <c:v>494.39244873679655</c:v>
                </c:pt>
                <c:pt idx="76">
                  <c:v>467.35417796108709</c:v>
                </c:pt>
                <c:pt idx="77">
                  <c:v>475.50611484095458</c:v>
                </c:pt>
                <c:pt idx="78">
                  <c:v>483.65507874042197</c:v>
                </c:pt>
                <c:pt idx="79">
                  <c:v>491.8011268325622</c:v>
                </c:pt>
                <c:pt idx="80">
                  <c:v>499.94431424130994</c:v>
                </c:pt>
                <c:pt idx="81">
                  <c:v>475.87658634735857</c:v>
                </c:pt>
                <c:pt idx="82">
                  <c:v>483.28473497109502</c:v>
                </c:pt>
                <c:pt idx="83">
                  <c:v>490.69047175093164</c:v>
                </c:pt>
                <c:pt idx="84">
                  <c:v>498.09383823712568</c:v>
                </c:pt>
                <c:pt idx="85">
                  <c:v>505.49487464351961</c:v>
                </c:pt>
                <c:pt idx="86">
                  <c:v>482.17366746606058</c:v>
                </c:pt>
                <c:pt idx="87">
                  <c:v>488.46900146193275</c:v>
                </c:pt>
                <c:pt idx="88">
                  <c:v>494.76261404078542</c:v>
                </c:pt>
                <c:pt idx="89">
                  <c:v>501.05453020073901</c:v>
                </c:pt>
                <c:pt idx="90">
                  <c:v>507.34477426054747</c:v>
                </c:pt>
                <c:pt idx="91">
                  <c:v>487.35818597735943</c:v>
                </c:pt>
                <c:pt idx="92">
                  <c:v>493.28191755597277</c:v>
                </c:pt>
                <c:pt idx="93">
                  <c:v>499.20414127497389</c:v>
                </c:pt>
                <c:pt idx="94">
                  <c:v>505.12487755644207</c:v>
                </c:pt>
                <c:pt idx="95">
                  <c:v>511.04414630438487</c:v>
                </c:pt>
                <c:pt idx="96">
                  <c:v>492.91172872261944</c:v>
                </c:pt>
                <c:pt idx="97">
                  <c:v>498.83404607906238</c:v>
                </c:pt>
                <c:pt idx="98">
                  <c:v>504.7548747369737</c:v>
                </c:pt>
                <c:pt idx="99">
                  <c:v>510.67423463217045</c:v>
                </c:pt>
                <c:pt idx="100">
                  <c:v>516.59214520035391</c:v>
                </c:pt>
                <c:pt idx="101">
                  <c:v>492.5415339943097</c:v>
                </c:pt>
                <c:pt idx="102">
                  <c:v>492.5415339943097</c:v>
                </c:pt>
                <c:pt idx="103">
                  <c:v>492.5415339943097</c:v>
                </c:pt>
                <c:pt idx="104">
                  <c:v>492.5415339943097</c:v>
                </c:pt>
                <c:pt idx="105">
                  <c:v>492.5415339943097</c:v>
                </c:pt>
                <c:pt idx="106">
                  <c:v>492.5415339943097</c:v>
                </c:pt>
                <c:pt idx="107">
                  <c:v>492.5415339943097</c:v>
                </c:pt>
                <c:pt idx="108">
                  <c:v>492.5415339943097</c:v>
                </c:pt>
                <c:pt idx="109">
                  <c:v>492.5415339943097</c:v>
                </c:pt>
                <c:pt idx="110">
                  <c:v>492.5415339943097</c:v>
                </c:pt>
                <c:pt idx="111">
                  <c:v>492.5415339943097</c:v>
                </c:pt>
                <c:pt idx="112">
                  <c:v>492.5415339943097</c:v>
                </c:pt>
                <c:pt idx="113">
                  <c:v>492.5415339943097</c:v>
                </c:pt>
                <c:pt idx="114">
                  <c:v>492.5415339943097</c:v>
                </c:pt>
                <c:pt idx="115">
                  <c:v>492.5415339943097</c:v>
                </c:pt>
                <c:pt idx="116">
                  <c:v>492.5415339943097</c:v>
                </c:pt>
                <c:pt idx="117">
                  <c:v>492.5415339943097</c:v>
                </c:pt>
                <c:pt idx="118">
                  <c:v>492.5415339943097</c:v>
                </c:pt>
                <c:pt idx="119">
                  <c:v>492.5415339943097</c:v>
                </c:pt>
                <c:pt idx="120">
                  <c:v>492.5415339943097</c:v>
                </c:pt>
                <c:pt idx="121">
                  <c:v>492.5415339943097</c:v>
                </c:pt>
                <c:pt idx="122">
                  <c:v>492.5415339943097</c:v>
                </c:pt>
                <c:pt idx="123">
                  <c:v>492.5415339943097</c:v>
                </c:pt>
                <c:pt idx="124">
                  <c:v>492.5415339943097</c:v>
                </c:pt>
                <c:pt idx="125">
                  <c:v>492.5415339943097</c:v>
                </c:pt>
                <c:pt idx="126">
                  <c:v>492.5415339943097</c:v>
                </c:pt>
                <c:pt idx="127">
                  <c:v>492.5415339943097</c:v>
                </c:pt>
                <c:pt idx="128">
                  <c:v>492.5415339943097</c:v>
                </c:pt>
                <c:pt idx="129">
                  <c:v>492.5415339943097</c:v>
                </c:pt>
                <c:pt idx="130">
                  <c:v>492.5415339943097</c:v>
                </c:pt>
                <c:pt idx="131">
                  <c:v>492.5415339943097</c:v>
                </c:pt>
                <c:pt idx="132">
                  <c:v>492.5415339943097</c:v>
                </c:pt>
                <c:pt idx="133">
                  <c:v>492.5415339943097</c:v>
                </c:pt>
                <c:pt idx="134">
                  <c:v>492.5415339943097</c:v>
                </c:pt>
                <c:pt idx="135">
                  <c:v>492.5415339943097</c:v>
                </c:pt>
                <c:pt idx="136">
                  <c:v>492.5415339943097</c:v>
                </c:pt>
                <c:pt idx="137">
                  <c:v>492.5415339943097</c:v>
                </c:pt>
                <c:pt idx="138">
                  <c:v>492.5415339943097</c:v>
                </c:pt>
                <c:pt idx="139">
                  <c:v>492.5415339943097</c:v>
                </c:pt>
                <c:pt idx="140">
                  <c:v>492.5415339943097</c:v>
                </c:pt>
                <c:pt idx="141">
                  <c:v>492.5415339943097</c:v>
                </c:pt>
                <c:pt idx="142">
                  <c:v>492.5415339943097</c:v>
                </c:pt>
                <c:pt idx="143">
                  <c:v>492.5415339943097</c:v>
                </c:pt>
                <c:pt idx="144">
                  <c:v>492.5415339943097</c:v>
                </c:pt>
                <c:pt idx="145">
                  <c:v>492.5415339943097</c:v>
                </c:pt>
                <c:pt idx="146">
                  <c:v>492.5415339943097</c:v>
                </c:pt>
                <c:pt idx="147">
                  <c:v>492.5415339943097</c:v>
                </c:pt>
                <c:pt idx="148">
                  <c:v>492.5415339943097</c:v>
                </c:pt>
                <c:pt idx="149">
                  <c:v>492.5415339943097</c:v>
                </c:pt>
                <c:pt idx="150">
                  <c:v>492.5415339943097</c:v>
                </c:pt>
                <c:pt idx="151">
                  <c:v>492.5415339943097</c:v>
                </c:pt>
                <c:pt idx="152">
                  <c:v>492.5415339943097</c:v>
                </c:pt>
                <c:pt idx="153">
                  <c:v>492.5415339943097</c:v>
                </c:pt>
                <c:pt idx="154">
                  <c:v>492.5415339943097</c:v>
                </c:pt>
                <c:pt idx="155">
                  <c:v>492.5415339943097</c:v>
                </c:pt>
                <c:pt idx="156">
                  <c:v>492.5415339943097</c:v>
                </c:pt>
                <c:pt idx="157">
                  <c:v>492.5415339943097</c:v>
                </c:pt>
                <c:pt idx="158">
                  <c:v>492.5415339943097</c:v>
                </c:pt>
                <c:pt idx="159">
                  <c:v>492.5415339943097</c:v>
                </c:pt>
                <c:pt idx="160">
                  <c:v>492.5415339943097</c:v>
                </c:pt>
                <c:pt idx="161">
                  <c:v>492.5415339943097</c:v>
                </c:pt>
                <c:pt idx="162">
                  <c:v>492.5415339943097</c:v>
                </c:pt>
                <c:pt idx="163">
                  <c:v>492.5415339943097</c:v>
                </c:pt>
                <c:pt idx="164">
                  <c:v>492.5415339943097</c:v>
                </c:pt>
                <c:pt idx="165">
                  <c:v>492.5415339943097</c:v>
                </c:pt>
                <c:pt idx="166">
                  <c:v>492.5415339943097</c:v>
                </c:pt>
                <c:pt idx="167">
                  <c:v>492.5415339943097</c:v>
                </c:pt>
                <c:pt idx="168">
                  <c:v>492.5415339943097</c:v>
                </c:pt>
                <c:pt idx="169">
                  <c:v>492.5415339943097</c:v>
                </c:pt>
                <c:pt idx="170">
                  <c:v>492.5415339943097</c:v>
                </c:pt>
                <c:pt idx="171">
                  <c:v>492.5415339943097</c:v>
                </c:pt>
                <c:pt idx="172">
                  <c:v>492.5415339943097</c:v>
                </c:pt>
                <c:pt idx="173">
                  <c:v>492.5415339943097</c:v>
                </c:pt>
                <c:pt idx="174">
                  <c:v>492.5415339943097</c:v>
                </c:pt>
                <c:pt idx="175">
                  <c:v>492.5415339943097</c:v>
                </c:pt>
                <c:pt idx="176">
                  <c:v>492.5415339943097</c:v>
                </c:pt>
                <c:pt idx="177">
                  <c:v>492.5415339943097</c:v>
                </c:pt>
                <c:pt idx="178">
                  <c:v>492.5415339943097</c:v>
                </c:pt>
                <c:pt idx="179">
                  <c:v>492.5415339943097</c:v>
                </c:pt>
                <c:pt idx="180">
                  <c:v>492.5415339943097</c:v>
                </c:pt>
                <c:pt idx="181">
                  <c:v>492.5415339943097</c:v>
                </c:pt>
                <c:pt idx="182">
                  <c:v>492.5415339943097</c:v>
                </c:pt>
                <c:pt idx="183">
                  <c:v>492.5415339943097</c:v>
                </c:pt>
                <c:pt idx="184">
                  <c:v>492.5415339943097</c:v>
                </c:pt>
                <c:pt idx="185">
                  <c:v>492.5415339943097</c:v>
                </c:pt>
                <c:pt idx="186">
                  <c:v>492.5415339943097</c:v>
                </c:pt>
                <c:pt idx="187">
                  <c:v>492.5415339943097</c:v>
                </c:pt>
                <c:pt idx="188">
                  <c:v>492.5415339943097</c:v>
                </c:pt>
                <c:pt idx="189">
                  <c:v>492.5415339943097</c:v>
                </c:pt>
                <c:pt idx="190">
                  <c:v>492.5415339943097</c:v>
                </c:pt>
                <c:pt idx="191">
                  <c:v>492.5415339943097</c:v>
                </c:pt>
                <c:pt idx="192">
                  <c:v>492.5415339943097</c:v>
                </c:pt>
                <c:pt idx="193">
                  <c:v>492.5415339943097</c:v>
                </c:pt>
                <c:pt idx="194">
                  <c:v>492.5415339943097</c:v>
                </c:pt>
                <c:pt idx="195">
                  <c:v>492.5415339943097</c:v>
                </c:pt>
                <c:pt idx="196">
                  <c:v>492.5415339943097</c:v>
                </c:pt>
                <c:pt idx="197">
                  <c:v>492.5415339943097</c:v>
                </c:pt>
                <c:pt idx="198">
                  <c:v>492.5415339943097</c:v>
                </c:pt>
                <c:pt idx="199">
                  <c:v>492.5415339943097</c:v>
                </c:pt>
                <c:pt idx="200">
                  <c:v>492.5415339943097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2.6958578672637423</c:v>
                </c:pt>
                <c:pt idx="2">
                  <c:v>3.1456024429549463</c:v>
                </c:pt>
                <c:pt idx="3">
                  <c:v>3.670649654357323</c:v>
                </c:pt>
                <c:pt idx="4">
                  <c:v>4.2836508617976925</c:v>
                </c:pt>
                <c:pt idx="5">
                  <c:v>4.999389736468971</c:v>
                </c:pt>
                <c:pt idx="6">
                  <c:v>5.8351427158403695</c:v>
                </c:pt>
                <c:pt idx="7">
                  <c:v>6.8111005591399456</c:v>
                </c:pt>
                <c:pt idx="8">
                  <c:v>7.9508613859372161</c:v>
                </c:pt>
                <c:pt idx="9">
                  <c:v>9.2820073493501472</c:v>
                </c:pt>
                <c:pt idx="10">
                  <c:v>10.836779165748409</c:v>
                </c:pt>
                <c:pt idx="11">
                  <c:v>12.652865146640936</c:v>
                </c:pt>
                <c:pt idx="12">
                  <c:v>14.774324216181517</c:v>
                </c:pt>
                <c:pt idx="13">
                  <c:v>17.252665720219614</c:v>
                </c:pt>
                <c:pt idx="14">
                  <c:v>20.148112723022138</c:v>
                </c:pt>
                <c:pt idx="15">
                  <c:v>23.531080042869331</c:v>
                </c:pt>
                <c:pt idx="16">
                  <c:v>27.483903611522063</c:v>
                </c:pt>
                <c:pt idx="17">
                  <c:v>32.10286398842473</c:v>
                </c:pt>
                <c:pt idx="18">
                  <c:v>37.500554174678697</c:v>
                </c:pt>
                <c:pt idx="19">
                  <c:v>43.808650437329739</c:v>
                </c:pt>
                <c:pt idx="20">
                  <c:v>51.181154885798492</c:v>
                </c:pt>
                <c:pt idx="21">
                  <c:v>59.79819029058779</c:v>
                </c:pt>
                <c:pt idx="22">
                  <c:v>69.870441394099274</c:v>
                </c:pt>
                <c:pt idx="23">
                  <c:v>81.644353079392104</c:v>
                </c:pt>
                <c:pt idx="24">
                  <c:v>95.408214639163745</c:v>
                </c:pt>
                <c:pt idx="25">
                  <c:v>111.49928149768296</c:v>
                </c:pt>
                <c:pt idx="26">
                  <c:v>130.31211163776413</c:v>
                </c:pt>
                <c:pt idx="27">
                  <c:v>152.30832432339238</c:v>
                </c:pt>
                <c:pt idx="28">
                  <c:v>178.02802424828835</c:v>
                </c:pt>
                <c:pt idx="29">
                  <c:v>208.10317587450882</c:v>
                </c:pt>
                <c:pt idx="30">
                  <c:v>243.27326149959291</c:v>
                </c:pt>
                <c:pt idx="31">
                  <c:v>274.15159616012278</c:v>
                </c:pt>
                <c:pt idx="32">
                  <c:v>304.95175008027468</c:v>
                </c:pt>
                <c:pt idx="33">
                  <c:v>335.68272447411181</c:v>
                </c:pt>
                <c:pt idx="34">
                  <c:v>366.35173715058863</c:v>
                </c:pt>
                <c:pt idx="35">
                  <c:v>396.96469882146312</c:v>
                </c:pt>
                <c:pt idx="36">
                  <c:v>287.3602716796571</c:v>
                </c:pt>
                <c:pt idx="37">
                  <c:v>312.28499675107327</c:v>
                </c:pt>
                <c:pt idx="38">
                  <c:v>337.16559898912192</c:v>
                </c:pt>
                <c:pt idx="39">
                  <c:v>362.00578971990848</c:v>
                </c:pt>
                <c:pt idx="40">
                  <c:v>386.80872951220834</c:v>
                </c:pt>
                <c:pt idx="41">
                  <c:v>411.5771407175705</c:v>
                </c:pt>
                <c:pt idx="42">
                  <c:v>345.34910174995275</c:v>
                </c:pt>
                <c:pt idx="43">
                  <c:v>370.55926373756279</c:v>
                </c:pt>
                <c:pt idx="44">
                  <c:v>395.73202966467733</c:v>
                </c:pt>
                <c:pt idx="45">
                  <c:v>420.87011059114269</c:v>
                </c:pt>
                <c:pt idx="46">
                  <c:v>445.97586750283375</c:v>
                </c:pt>
                <c:pt idx="47">
                  <c:v>471.05137407996989</c:v>
                </c:pt>
                <c:pt idx="48">
                  <c:v>496.09846540196457</c:v>
                </c:pt>
                <c:pt idx="49">
                  <c:v>402.26313463210437</c:v>
                </c:pt>
                <c:pt idx="50">
                  <c:v>425.87619549343549</c:v>
                </c:pt>
                <c:pt idx="51">
                  <c:v>449.46110395093586</c:v>
                </c:pt>
                <c:pt idx="52">
                  <c:v>473.01954367137131</c:v>
                </c:pt>
                <c:pt idx="53">
                  <c:v>496.55301706749259</c:v>
                </c:pt>
                <c:pt idx="54">
                  <c:v>520.06287264987634</c:v>
                </c:pt>
                <c:pt idx="55">
                  <c:v>543.55032717690437</c:v>
                </c:pt>
                <c:pt idx="56">
                  <c:v>454.24481650463144</c:v>
                </c:pt>
                <c:pt idx="57">
                  <c:v>476.59634202129263</c:v>
                </c:pt>
                <c:pt idx="58">
                  <c:v>498.9255790926793</c:v>
                </c:pt>
                <c:pt idx="59">
                  <c:v>521.23366465282788</c:v>
                </c:pt>
                <c:pt idx="60">
                  <c:v>543.52163046495309</c:v>
                </c:pt>
                <c:pt idx="61">
                  <c:v>565.79041685083439</c:v>
                </c:pt>
                <c:pt idx="62">
                  <c:v>588.04088414741079</c:v>
                </c:pt>
                <c:pt idx="63">
                  <c:v>610.2738223402506</c:v>
                </c:pt>
                <c:pt idx="64">
                  <c:v>528.23845645617007</c:v>
                </c:pt>
                <c:pt idx="65">
                  <c:v>549.83892575965604</c:v>
                </c:pt>
                <c:pt idx="66">
                  <c:v>571.42160804713797</c:v>
                </c:pt>
                <c:pt idx="67">
                  <c:v>592.98726902778117</c:v>
                </c:pt>
                <c:pt idx="68">
                  <c:v>614.53661422900689</c:v>
                </c:pt>
                <c:pt idx="69">
                  <c:v>636.07029571344879</c:v>
                </c:pt>
                <c:pt idx="70">
                  <c:v>657.58891783971956</c:v>
                </c:pt>
                <c:pt idx="71">
                  <c:v>679.09304223054414</c:v>
                </c:pt>
                <c:pt idx="72">
                  <c:v>600.80615581089216</c:v>
                </c:pt>
                <c:pt idx="73">
                  <c:v>621.81796471134874</c:v>
                </c:pt>
                <c:pt idx="74">
                  <c:v>642.81507325128052</c:v>
                </c:pt>
                <c:pt idx="75">
                  <c:v>663.79802870135336</c:v>
                </c:pt>
                <c:pt idx="76">
                  <c:v>684.76734094880146</c:v>
                </c:pt>
                <c:pt idx="77">
                  <c:v>705.72348614062139</c:v>
                </c:pt>
                <c:pt idx="78">
                  <c:v>726.66690987194761</c:v>
                </c:pt>
                <c:pt idx="79">
                  <c:v>747.59802998811335</c:v>
                </c:pt>
                <c:pt idx="80">
                  <c:v>768.51723905691904</c:v>
                </c:pt>
                <c:pt idx="81">
                  <c:v>675.01761016261355</c:v>
                </c:pt>
                <c:pt idx="82">
                  <c:v>694.83780343012586</c:v>
                </c:pt>
                <c:pt idx="83">
                  <c:v>714.64642051425437</c:v>
                </c:pt>
                <c:pt idx="84">
                  <c:v>734.44382712262211</c:v>
                </c:pt>
                <c:pt idx="85">
                  <c:v>754.23036766119492</c:v>
                </c:pt>
                <c:pt idx="86">
                  <c:v>774.006367012586</c:v>
                </c:pt>
                <c:pt idx="87">
                  <c:v>793.77213212336176</c:v>
                </c:pt>
                <c:pt idx="88">
                  <c:v>813.52795342520028</c:v>
                </c:pt>
                <c:pt idx="89">
                  <c:v>833.27410611098742</c:v>
                </c:pt>
                <c:pt idx="90">
                  <c:v>729.68470630285447</c:v>
                </c:pt>
                <c:pt idx="91">
                  <c:v>748.59390688021483</c:v>
                </c:pt>
                <c:pt idx="92">
                  <c:v>767.49340042346296</c:v>
                </c:pt>
                <c:pt idx="93">
                  <c:v>786.38345937215036</c:v>
                </c:pt>
                <c:pt idx="94">
                  <c:v>805.26434202452174</c:v>
                </c:pt>
                <c:pt idx="95">
                  <c:v>824.13629359258357</c:v>
                </c:pt>
                <c:pt idx="96">
                  <c:v>842.99954715561819</c:v>
                </c:pt>
                <c:pt idx="97">
                  <c:v>861.85432452401562</c:v>
                </c:pt>
                <c:pt idx="98">
                  <c:v>880.70083702367663</c:v>
                </c:pt>
                <c:pt idx="99">
                  <c:v>899.53928620986301</c:v>
                </c:pt>
                <c:pt idx="100">
                  <c:v>798.63324124570397</c:v>
                </c:pt>
                <c:pt idx="101">
                  <c:v>817.06058045885231</c:v>
                </c:pt>
                <c:pt idx="102">
                  <c:v>835.47954754465491</c:v>
                </c:pt>
                <c:pt idx="103">
                  <c:v>853.89035285880254</c:v>
                </c:pt>
                <c:pt idx="104">
                  <c:v>872.29319695717265</c:v>
                </c:pt>
                <c:pt idx="105">
                  <c:v>890.68827125365715</c:v>
                </c:pt>
                <c:pt idx="106">
                  <c:v>909.07575862089118</c:v>
                </c:pt>
                <c:pt idx="107">
                  <c:v>927.45583393990785</c:v>
                </c:pt>
                <c:pt idx="108">
                  <c:v>945.82866460402113</c:v>
                </c:pt>
                <c:pt idx="109">
                  <c:v>964.19441098156688</c:v>
                </c:pt>
                <c:pt idx="110">
                  <c:v>855.23421133508009</c:v>
                </c:pt>
                <c:pt idx="111">
                  <c:v>873.05294423725991</c:v>
                </c:pt>
                <c:pt idx="112">
                  <c:v>890.86439966147793</c:v>
                </c:pt>
                <c:pt idx="113">
                  <c:v>908.66874343169832</c:v>
                </c:pt>
                <c:pt idx="114">
                  <c:v>926.46613435177221</c:v>
                </c:pt>
                <c:pt idx="115">
                  <c:v>944.25672463450144</c:v>
                </c:pt>
                <c:pt idx="116">
                  <c:v>962.04066029672424</c:v>
                </c:pt>
                <c:pt idx="117">
                  <c:v>979.81808152371411</c:v>
                </c:pt>
                <c:pt idx="118">
                  <c:v>997.5891230057872</c:v>
                </c:pt>
                <c:pt idx="119">
                  <c:v>1015.3539142497146</c:v>
                </c:pt>
                <c:pt idx="120">
                  <c:v>641.97146052468145</c:v>
                </c:pt>
                <c:pt idx="121">
                  <c:v>641.26128291476209</c:v>
                </c:pt>
                <c:pt idx="122">
                  <c:v>640.55108906304713</c:v>
                </c:pt>
                <c:pt idx="123">
                  <c:v>639.84087894897141</c:v>
                </c:pt>
                <c:pt idx="124">
                  <c:v>447.73845435276593</c:v>
                </c:pt>
                <c:pt idx="125">
                  <c:v>448.11784733066253</c:v>
                </c:pt>
                <c:pt idx="126">
                  <c:v>448.49723343287286</c:v>
                </c:pt>
                <c:pt idx="127">
                  <c:v>448.8766126660426</c:v>
                </c:pt>
                <c:pt idx="128">
                  <c:v>323.75040495820258</c:v>
                </c:pt>
                <c:pt idx="129">
                  <c:v>323.93902671918772</c:v>
                </c:pt>
                <c:pt idx="130">
                  <c:v>324.127646051846</c:v>
                </c:pt>
                <c:pt idx="131">
                  <c:v>324.3162629577933</c:v>
                </c:pt>
                <c:pt idx="132">
                  <c:v>41.499230205854936</c:v>
                </c:pt>
                <c:pt idx="133">
                  <c:v>41.499230205854936</c:v>
                </c:pt>
                <c:pt idx="134">
                  <c:v>41.499230205854936</c:v>
                </c:pt>
                <c:pt idx="135">
                  <c:v>41.499230205854936</c:v>
                </c:pt>
                <c:pt idx="136">
                  <c:v>41.499230205854936</c:v>
                </c:pt>
                <c:pt idx="137">
                  <c:v>41.499230205854936</c:v>
                </c:pt>
                <c:pt idx="138">
                  <c:v>41.499230205854936</c:v>
                </c:pt>
                <c:pt idx="139">
                  <c:v>41.499230205854936</c:v>
                </c:pt>
                <c:pt idx="140">
                  <c:v>41.499230205854936</c:v>
                </c:pt>
                <c:pt idx="141">
                  <c:v>41.499230205854936</c:v>
                </c:pt>
                <c:pt idx="142">
                  <c:v>41.499230205854936</c:v>
                </c:pt>
                <c:pt idx="143">
                  <c:v>41.499230205854936</c:v>
                </c:pt>
                <c:pt idx="144">
                  <c:v>41.499230205854936</c:v>
                </c:pt>
                <c:pt idx="145">
                  <c:v>41.499230205854936</c:v>
                </c:pt>
                <c:pt idx="146">
                  <c:v>41.499230205854936</c:v>
                </c:pt>
                <c:pt idx="147">
                  <c:v>41.499230205854936</c:v>
                </c:pt>
                <c:pt idx="148">
                  <c:v>41.499230205854936</c:v>
                </c:pt>
                <c:pt idx="149">
                  <c:v>41.499230205854936</c:v>
                </c:pt>
                <c:pt idx="150">
                  <c:v>41.499230205854936</c:v>
                </c:pt>
                <c:pt idx="151">
                  <c:v>41.499230205854936</c:v>
                </c:pt>
                <c:pt idx="152">
                  <c:v>41.499230205854936</c:v>
                </c:pt>
                <c:pt idx="153">
                  <c:v>41.499230205854936</c:v>
                </c:pt>
                <c:pt idx="154">
                  <c:v>41.499230205854936</c:v>
                </c:pt>
                <c:pt idx="155">
                  <c:v>41.499230205854936</c:v>
                </c:pt>
                <c:pt idx="156">
                  <c:v>41.499230205854936</c:v>
                </c:pt>
                <c:pt idx="157">
                  <c:v>41.499230205854936</c:v>
                </c:pt>
                <c:pt idx="158">
                  <c:v>41.499230205854936</c:v>
                </c:pt>
                <c:pt idx="159">
                  <c:v>41.499230205854936</c:v>
                </c:pt>
                <c:pt idx="160">
                  <c:v>41.499230205854936</c:v>
                </c:pt>
                <c:pt idx="161">
                  <c:v>41.499230205854936</c:v>
                </c:pt>
                <c:pt idx="162">
                  <c:v>41.499230205854936</c:v>
                </c:pt>
                <c:pt idx="163">
                  <c:v>41.499230205854936</c:v>
                </c:pt>
                <c:pt idx="164">
                  <c:v>41.499230205854936</c:v>
                </c:pt>
                <c:pt idx="165">
                  <c:v>41.499230205854936</c:v>
                </c:pt>
                <c:pt idx="166">
                  <c:v>41.499230205854936</c:v>
                </c:pt>
                <c:pt idx="167">
                  <c:v>41.499230205854936</c:v>
                </c:pt>
                <c:pt idx="168">
                  <c:v>41.499230205854936</c:v>
                </c:pt>
                <c:pt idx="169">
                  <c:v>41.499230205854936</c:v>
                </c:pt>
                <c:pt idx="170">
                  <c:v>41.499230205854936</c:v>
                </c:pt>
                <c:pt idx="171">
                  <c:v>41.499230205854936</c:v>
                </c:pt>
                <c:pt idx="172">
                  <c:v>41.499230205854936</c:v>
                </c:pt>
                <c:pt idx="173">
                  <c:v>41.499230205854936</c:v>
                </c:pt>
                <c:pt idx="174">
                  <c:v>41.499230205854936</c:v>
                </c:pt>
                <c:pt idx="175">
                  <c:v>41.499230205854936</c:v>
                </c:pt>
                <c:pt idx="176">
                  <c:v>41.499230205854936</c:v>
                </c:pt>
                <c:pt idx="177">
                  <c:v>41.499230205854936</c:v>
                </c:pt>
                <c:pt idx="178">
                  <c:v>41.499230205854936</c:v>
                </c:pt>
                <c:pt idx="179">
                  <c:v>41.499230205854936</c:v>
                </c:pt>
                <c:pt idx="180">
                  <c:v>41.499230205854936</c:v>
                </c:pt>
                <c:pt idx="181">
                  <c:v>41.499230205854936</c:v>
                </c:pt>
                <c:pt idx="182">
                  <c:v>41.499230205854936</c:v>
                </c:pt>
                <c:pt idx="183">
                  <c:v>41.499230205854936</c:v>
                </c:pt>
                <c:pt idx="184">
                  <c:v>41.499230205854936</c:v>
                </c:pt>
                <c:pt idx="185">
                  <c:v>41.499230205854936</c:v>
                </c:pt>
                <c:pt idx="186">
                  <c:v>41.499230205854936</c:v>
                </c:pt>
                <c:pt idx="187">
                  <c:v>41.499230205854936</c:v>
                </c:pt>
                <c:pt idx="188">
                  <c:v>41.499230205854936</c:v>
                </c:pt>
                <c:pt idx="189">
                  <c:v>41.499230205854936</c:v>
                </c:pt>
                <c:pt idx="190">
                  <c:v>41.499230205854936</c:v>
                </c:pt>
                <c:pt idx="191">
                  <c:v>41.499230205854936</c:v>
                </c:pt>
                <c:pt idx="192">
                  <c:v>41.499230205854936</c:v>
                </c:pt>
                <c:pt idx="193">
                  <c:v>41.499230205854936</c:v>
                </c:pt>
                <c:pt idx="194">
                  <c:v>41.499230205854936</c:v>
                </c:pt>
                <c:pt idx="195">
                  <c:v>41.499230205854936</c:v>
                </c:pt>
                <c:pt idx="196">
                  <c:v>41.499230205854936</c:v>
                </c:pt>
                <c:pt idx="197">
                  <c:v>41.499230205854936</c:v>
                </c:pt>
                <c:pt idx="198">
                  <c:v>41.499230205854936</c:v>
                </c:pt>
                <c:pt idx="199">
                  <c:v>41.499230205854936</c:v>
                </c:pt>
                <c:pt idx="200">
                  <c:v>41.499230205854936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3.0087226414689678</c:v>
                </c:pt>
                <c:pt idx="2">
                  <c:v>3.5108476078946986</c:v>
                </c:pt>
                <c:pt idx="3">
                  <c:v>4.0970748640547061</c:v>
                </c:pt>
                <c:pt idx="4">
                  <c:v>4.7815388031042829</c:v>
                </c:pt>
                <c:pt idx="5">
                  <c:v>5.58075681256107</c:v>
                </c:pt>
                <c:pt idx="6">
                  <c:v>6.5140322202239958</c:v>
                </c:pt>
                <c:pt idx="7">
                  <c:v>7.6039255604146936</c:v>
                </c:pt>
                <c:pt idx="8">
                  <c:v>8.8768057733067263</c:v>
                </c:pt>
                <c:pt idx="9">
                  <c:v>10.363494928489947</c:v>
                </c:pt>
                <c:pt idx="10">
                  <c:v>12.100022380040526</c:v>
                </c:pt>
                <c:pt idx="11">
                  <c:v>14.128506971996892</c:v>
                </c:pt>
                <c:pt idx="12">
                  <c:v>16.498189087941249</c:v>
                </c:pt>
                <c:pt idx="13">
                  <c:v>19.266638055612479</c:v>
                </c:pt>
                <c:pt idx="14">
                  <c:v>22.501164769971794</c:v>
                </c:pt>
                <c:pt idx="15">
                  <c:v>26.280474494666397</c:v>
                </c:pt>
                <c:pt idx="16">
                  <c:v>30.696600769797168</c:v>
                </c:pt>
                <c:pt idx="17">
                  <c:v>35.857168342554253</c:v>
                </c:pt>
                <c:pt idx="18">
                  <c:v>41.888041221504999</c:v>
                </c:pt>
                <c:pt idx="19">
                  <c:v>48.936421539970695</c:v>
                </c:pt>
                <c:pt idx="20">
                  <c:v>57.174476139039477</c:v>
                </c:pt>
                <c:pt idx="21">
                  <c:v>66.803580927560347</c:v>
                </c:pt>
                <c:pt idx="22">
                  <c:v>78.059288474458086</c:v>
                </c:pt>
                <c:pt idx="23">
                  <c:v>91.217142323990871</c:v>
                </c:pt>
                <c:pt idx="24">
                  <c:v>106.59948264954546</c:v>
                </c:pt>
                <c:pt idx="25">
                  <c:v>124.58341260634063</c:v>
                </c:pt>
                <c:pt idx="26">
                  <c:v>145.61012372918682</c:v>
                </c:pt>
                <c:pt idx="27">
                  <c:v>170.19581267616408</c:v>
                </c:pt>
                <c:pt idx="28">
                  <c:v>198.94446139578906</c:v>
                </c:pt>
                <c:pt idx="29">
                  <c:v>232.56279939363762</c:v>
                </c:pt>
                <c:pt idx="30">
                  <c:v>271.87782136604341</c:v>
                </c:pt>
                <c:pt idx="31">
                  <c:v>306.396443018696</c:v>
                </c:pt>
                <c:pt idx="32">
                  <c:v>340.82860271743323</c:v>
                </c:pt>
                <c:pt idx="33">
                  <c:v>375.18425512054756</c:v>
                </c:pt>
                <c:pt idx="34">
                  <c:v>409.47138257589313</c:v>
                </c:pt>
                <c:pt idx="35">
                  <c:v>443.69652188121762</c:v>
                </c:pt>
                <c:pt idx="36">
                  <c:v>321.16259971327423</c:v>
                </c:pt>
                <c:pt idx="37">
                  <c:v>349.02672421811872</c:v>
                </c:pt>
                <c:pt idx="38">
                  <c:v>376.84205222440369</c:v>
                </c:pt>
                <c:pt idx="39">
                  <c:v>404.61268817658879</c:v>
                </c:pt>
                <c:pt idx="40">
                  <c:v>432.34212742340668</c:v>
                </c:pt>
                <c:pt idx="41">
                  <c:v>460.03338067866019</c:v>
                </c:pt>
                <c:pt idx="42">
                  <c:v>385.99092681345502</c:v>
                </c:pt>
                <c:pt idx="43">
                  <c:v>414.17533779557908</c:v>
                </c:pt>
                <c:pt idx="44">
                  <c:v>442.31839157842973</c:v>
                </c:pt>
                <c:pt idx="45">
                  <c:v>470.42308638804462</c:v>
                </c:pt>
                <c:pt idx="46">
                  <c:v>498.49203329527023</c:v>
                </c:pt>
                <c:pt idx="47">
                  <c:v>526.52752563274419</c:v>
                </c:pt>
                <c:pt idx="48">
                  <c:v>554.5315928587562</c:v>
                </c:pt>
                <c:pt idx="49">
                  <c:v>449.62021107279298</c:v>
                </c:pt>
                <c:pt idx="50">
                  <c:v>476.02000064610456</c:v>
                </c:pt>
                <c:pt idx="51">
                  <c:v>502.38865580151611</c:v>
                </c:pt>
                <c:pt idx="52">
                  <c:v>528.72803854644371</c:v>
                </c:pt>
                <c:pt idx="53">
                  <c:v>555.03981043514455</c:v>
                </c:pt>
                <c:pt idx="54">
                  <c:v>581.32546281777411</c:v>
                </c:pt>
                <c:pt idx="55">
                  <c:v>607.58634133657904</c:v>
                </c:pt>
                <c:pt idx="56">
                  <c:v>507.73703373631133</c:v>
                </c:pt>
                <c:pt idx="57">
                  <c:v>532.72708498714167</c:v>
                </c:pt>
                <c:pt idx="58">
                  <c:v>557.6924869123344</c:v>
                </c:pt>
                <c:pt idx="59">
                  <c:v>582.63449687448031</c:v>
                </c:pt>
                <c:pt idx="60">
                  <c:v>607.55425592523807</c:v>
                </c:pt>
                <c:pt idx="61">
                  <c:v>632.45280398899331</c:v>
                </c:pt>
                <c:pt idx="62">
                  <c:v>657.33109253297937</c:v>
                </c:pt>
                <c:pt idx="63">
                  <c:v>682.18999522116337</c:v>
                </c:pt>
                <c:pt idx="64">
                  <c:v>590.46639820384166</c:v>
                </c:pt>
                <c:pt idx="65">
                  <c:v>614.61754893029149</c:v>
                </c:pt>
                <c:pt idx="66">
                  <c:v>638.74902856958317</c:v>
                </c:pt>
                <c:pt idx="67">
                  <c:v>662.86168393782873</c:v>
                </c:pt>
                <c:pt idx="68">
                  <c:v>686.95629529470671</c:v>
                </c:pt>
                <c:pt idx="69">
                  <c:v>711.03358377190716</c:v>
                </c:pt>
                <c:pt idx="70">
                  <c:v>735.09421774409839</c:v>
                </c:pt>
                <c:pt idx="71">
                  <c:v>759.13881832330935</c:v>
                </c:pt>
                <c:pt idx="72">
                  <c:v>671.60406336749122</c:v>
                </c:pt>
                <c:pt idx="73">
                  <c:v>695.09771430876344</c:v>
                </c:pt>
                <c:pt idx="74">
                  <c:v>718.57510776912568</c:v>
                </c:pt>
                <c:pt idx="75">
                  <c:v>742.03684898831909</c:v>
                </c:pt>
                <c:pt idx="76">
                  <c:v>765.48350186285279</c:v>
                </c:pt>
                <c:pt idx="77">
                  <c:v>788.91559297509764</c:v>
                </c:pt>
                <c:pt idx="78">
                  <c:v>812.33361511938926</c:v>
                </c:pt>
                <c:pt idx="79">
                  <c:v>835.73803040089308</c:v>
                </c:pt>
                <c:pt idx="80">
                  <c:v>859.12927296974419</c:v>
                </c:pt>
                <c:pt idx="81">
                  <c:v>754.58190540238013</c:v>
                </c:pt>
                <c:pt idx="82">
                  <c:v>776.74375886328153</c:v>
                </c:pt>
                <c:pt idx="83">
                  <c:v>798.89280994562489</c:v>
                </c:pt>
                <c:pt idx="84">
                  <c:v>821.02946309423294</c:v>
                </c:pt>
                <c:pt idx="85">
                  <c:v>843.15409919591423</c:v>
                </c:pt>
                <c:pt idx="86">
                  <c:v>865.26707754613597</c:v>
                </c:pt>
                <c:pt idx="87">
                  <c:v>887.36873760445849</c:v>
                </c:pt>
                <c:pt idx="88">
                  <c:v>909.45940056623385</c:v>
                </c:pt>
                <c:pt idx="89">
                  <c:v>931.53937077386763</c:v>
                </c:pt>
                <c:pt idx="90">
                  <c:v>815.70799587495048</c:v>
                </c:pt>
                <c:pt idx="91">
                  <c:v>836.85158729914474</c:v>
                </c:pt>
                <c:pt idx="92">
                  <c:v>857.9844434817436</c:v>
                </c:pt>
                <c:pt idx="93">
                  <c:v>879.10686572017414</c:v>
                </c:pt>
                <c:pt idx="94">
                  <c:v>900.21913967265436</c:v>
                </c:pt>
                <c:pt idx="95">
                  <c:v>921.321536525017</c:v>
                </c:pt>
                <c:pt idx="96">
                  <c:v>942.41431404522439</c:v>
                </c:pt>
                <c:pt idx="97">
                  <c:v>963.49771753870164</c:v>
                </c:pt>
                <c:pt idx="98">
                  <c:v>984.57198071582513</c:v>
                </c:pt>
                <c:pt idx="99">
                  <c:v>1005.6373264813883</c:v>
                </c:pt>
                <c:pt idx="100">
                  <c:v>892.80434571395415</c:v>
                </c:pt>
                <c:pt idx="101">
                  <c:v>913.40954370443831</c:v>
                </c:pt>
                <c:pt idx="102">
                  <c:v>934.00548275870278</c:v>
                </c:pt>
                <c:pt idx="103">
                  <c:v>954.59239551414646</c:v>
                </c:pt>
                <c:pt idx="104">
                  <c:v>975.1705037703191</c:v>
                </c:pt>
                <c:pt idx="105">
                  <c:v>995.74001921643037</c:v>
                </c:pt>
                <c:pt idx="106">
                  <c:v>1016.3011440957075</c:v>
                </c:pt>
                <c:pt idx="107">
                  <c:v>1036.8540718132763</c:v>
                </c:pt>
                <c:pt idx="108">
                  <c:v>1057.3989874934132</c:v>
                </c:pt>
                <c:pt idx="109">
                  <c:v>1077.9360684913026</c:v>
                </c:pt>
                <c:pt idx="110">
                  <c:v>956.09509828757302</c:v>
                </c:pt>
                <c:pt idx="111">
                  <c:v>976.02005722680917</c:v>
                </c:pt>
                <c:pt idx="112">
                  <c:v>995.93696782880636</c:v>
                </c:pt>
                <c:pt idx="113">
                  <c:v>1015.8460134822595</c:v>
                </c:pt>
                <c:pt idx="114">
                  <c:v>1035.7473698121528</c:v>
                </c:pt>
                <c:pt idx="115">
                  <c:v>1055.6412051542693</c:v>
                </c:pt>
                <c:pt idx="116">
                  <c:v>1075.5276809921299</c:v>
                </c:pt>
                <c:pt idx="117">
                  <c:v>1095.4069523599876</c:v>
                </c:pt>
                <c:pt idx="118">
                  <c:v>1115.2791682150898</c:v>
                </c:pt>
                <c:pt idx="119">
                  <c:v>1135.1444717820771</c:v>
                </c:pt>
                <c:pt idx="120">
                  <c:v>717.63183985620242</c:v>
                </c:pt>
                <c:pt idx="121">
                  <c:v>716.83776984268491</c:v>
                </c:pt>
                <c:pt idx="122">
                  <c:v>716.04368186697639</c:v>
                </c:pt>
                <c:pt idx="123">
                  <c:v>715.24957590633358</c:v>
                </c:pt>
                <c:pt idx="124">
                  <c:v>500.46266932712228</c:v>
                </c:pt>
                <c:pt idx="125">
                  <c:v>500.88684467357308</c:v>
                </c:pt>
                <c:pt idx="126">
                  <c:v>501.31101241603716</c:v>
                </c:pt>
                <c:pt idx="127">
                  <c:v>501.73517256186511</c:v>
                </c:pt>
                <c:pt idx="128">
                  <c:v>361.8444413330879</c:v>
                </c:pt>
                <c:pt idx="129">
                  <c:v>362.05531135307177</c:v>
                </c:pt>
                <c:pt idx="130">
                  <c:v>362.26617868751083</c:v>
                </c:pt>
                <c:pt idx="131">
                  <c:v>362.47704333819223</c:v>
                </c:pt>
                <c:pt idx="132">
                  <c:v>46.355945316697152</c:v>
                </c:pt>
                <c:pt idx="133">
                  <c:v>46.355945316697152</c:v>
                </c:pt>
                <c:pt idx="134">
                  <c:v>46.355945316697152</c:v>
                </c:pt>
                <c:pt idx="135">
                  <c:v>46.355945316697152</c:v>
                </c:pt>
                <c:pt idx="136">
                  <c:v>46.355945316697152</c:v>
                </c:pt>
                <c:pt idx="137">
                  <c:v>46.355945316697152</c:v>
                </c:pt>
                <c:pt idx="138">
                  <c:v>46.355945316697152</c:v>
                </c:pt>
                <c:pt idx="139">
                  <c:v>46.355945316697152</c:v>
                </c:pt>
                <c:pt idx="140">
                  <c:v>46.355945316697152</c:v>
                </c:pt>
                <c:pt idx="141">
                  <c:v>46.355945316697152</c:v>
                </c:pt>
                <c:pt idx="142">
                  <c:v>46.355945316697152</c:v>
                </c:pt>
                <c:pt idx="143">
                  <c:v>46.355945316697152</c:v>
                </c:pt>
                <c:pt idx="144">
                  <c:v>46.355945316697152</c:v>
                </c:pt>
                <c:pt idx="145">
                  <c:v>46.355945316697152</c:v>
                </c:pt>
                <c:pt idx="146">
                  <c:v>46.355945316697152</c:v>
                </c:pt>
                <c:pt idx="147">
                  <c:v>46.355945316697152</c:v>
                </c:pt>
                <c:pt idx="148">
                  <c:v>46.355945316697152</c:v>
                </c:pt>
                <c:pt idx="149">
                  <c:v>46.355945316697152</c:v>
                </c:pt>
                <c:pt idx="150">
                  <c:v>46.355945316697152</c:v>
                </c:pt>
                <c:pt idx="151">
                  <c:v>46.355945316697152</c:v>
                </c:pt>
                <c:pt idx="152">
                  <c:v>46.355945316697152</c:v>
                </c:pt>
                <c:pt idx="153">
                  <c:v>46.355945316697152</c:v>
                </c:pt>
                <c:pt idx="154">
                  <c:v>46.355945316697152</c:v>
                </c:pt>
                <c:pt idx="155">
                  <c:v>46.355945316697152</c:v>
                </c:pt>
                <c:pt idx="156">
                  <c:v>46.355945316697152</c:v>
                </c:pt>
                <c:pt idx="157">
                  <c:v>46.355945316697152</c:v>
                </c:pt>
                <c:pt idx="158">
                  <c:v>46.355945316697152</c:v>
                </c:pt>
                <c:pt idx="159">
                  <c:v>46.355945316697152</c:v>
                </c:pt>
                <c:pt idx="160">
                  <c:v>46.355945316697152</c:v>
                </c:pt>
                <c:pt idx="161">
                  <c:v>46.355945316697152</c:v>
                </c:pt>
                <c:pt idx="162">
                  <c:v>46.355945316697152</c:v>
                </c:pt>
                <c:pt idx="163">
                  <c:v>46.355945316697152</c:v>
                </c:pt>
                <c:pt idx="164">
                  <c:v>46.355945316697152</c:v>
                </c:pt>
                <c:pt idx="165">
                  <c:v>46.355945316697152</c:v>
                </c:pt>
                <c:pt idx="166">
                  <c:v>46.355945316697152</c:v>
                </c:pt>
                <c:pt idx="167">
                  <c:v>46.355945316697152</c:v>
                </c:pt>
                <c:pt idx="168">
                  <c:v>46.355945316697152</c:v>
                </c:pt>
                <c:pt idx="169">
                  <c:v>46.355945316697152</c:v>
                </c:pt>
                <c:pt idx="170">
                  <c:v>46.355945316697152</c:v>
                </c:pt>
                <c:pt idx="171">
                  <c:v>46.355945316697152</c:v>
                </c:pt>
                <c:pt idx="172">
                  <c:v>46.355945316697152</c:v>
                </c:pt>
                <c:pt idx="173">
                  <c:v>46.355945316697152</c:v>
                </c:pt>
                <c:pt idx="174">
                  <c:v>46.355945316697152</c:v>
                </c:pt>
                <c:pt idx="175">
                  <c:v>46.355945316697152</c:v>
                </c:pt>
                <c:pt idx="176">
                  <c:v>46.355945316697152</c:v>
                </c:pt>
                <c:pt idx="177">
                  <c:v>46.355945316697152</c:v>
                </c:pt>
                <c:pt idx="178">
                  <c:v>46.355945316697152</c:v>
                </c:pt>
                <c:pt idx="179">
                  <c:v>46.355945316697152</c:v>
                </c:pt>
                <c:pt idx="180">
                  <c:v>46.355945316697152</c:v>
                </c:pt>
                <c:pt idx="181">
                  <c:v>46.355945316697152</c:v>
                </c:pt>
                <c:pt idx="182">
                  <c:v>46.355945316697152</c:v>
                </c:pt>
                <c:pt idx="183">
                  <c:v>46.355945316697152</c:v>
                </c:pt>
                <c:pt idx="184">
                  <c:v>46.355945316697152</c:v>
                </c:pt>
                <c:pt idx="185">
                  <c:v>46.355945316697152</c:v>
                </c:pt>
                <c:pt idx="186">
                  <c:v>46.355945316697152</c:v>
                </c:pt>
                <c:pt idx="187">
                  <c:v>46.355945316697152</c:v>
                </c:pt>
                <c:pt idx="188">
                  <c:v>46.355945316697152</c:v>
                </c:pt>
                <c:pt idx="189">
                  <c:v>46.355945316697152</c:v>
                </c:pt>
                <c:pt idx="190">
                  <c:v>46.355945316697152</c:v>
                </c:pt>
                <c:pt idx="191">
                  <c:v>46.355945316697152</c:v>
                </c:pt>
                <c:pt idx="192">
                  <c:v>46.355945316697152</c:v>
                </c:pt>
                <c:pt idx="193">
                  <c:v>46.355945316697152</c:v>
                </c:pt>
                <c:pt idx="194">
                  <c:v>46.355945316697152</c:v>
                </c:pt>
                <c:pt idx="195">
                  <c:v>46.355945316697152</c:v>
                </c:pt>
                <c:pt idx="196">
                  <c:v>46.355945316697152</c:v>
                </c:pt>
                <c:pt idx="197">
                  <c:v>46.355945316697152</c:v>
                </c:pt>
                <c:pt idx="198">
                  <c:v>46.355945316697152</c:v>
                </c:pt>
                <c:pt idx="199">
                  <c:v>46.355945316697152</c:v>
                </c:pt>
                <c:pt idx="200">
                  <c:v>46.355945316697152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48.765659367999113</c:v>
                </c:pt>
                <c:pt idx="12">
                  <c:v>74.616063262010528</c:v>
                </c:pt>
                <c:pt idx="13">
                  <c:v>100.2341790211712</c:v>
                </c:pt>
                <c:pt idx="14">
                  <c:v>125.68871343321821</c:v>
                </c:pt>
                <c:pt idx="15">
                  <c:v>151.01770664748466</c:v>
                </c:pt>
                <c:pt idx="16">
                  <c:v>105.82562490242275</c:v>
                </c:pt>
                <c:pt idx="17">
                  <c:v>133.68129041989656</c:v>
                </c:pt>
                <c:pt idx="18">
                  <c:v>161.39639888364613</c:v>
                </c:pt>
                <c:pt idx="19">
                  <c:v>188.99857543760822</c:v>
                </c:pt>
                <c:pt idx="20">
                  <c:v>216.50666233809889</c:v>
                </c:pt>
                <c:pt idx="21">
                  <c:v>173.13987981714703</c:v>
                </c:pt>
                <c:pt idx="22">
                  <c:v>202.07571754604893</c:v>
                </c:pt>
                <c:pt idx="23">
                  <c:v>230.91548802122449</c:v>
                </c:pt>
                <c:pt idx="24">
                  <c:v>259.67288191053939</c:v>
                </c:pt>
                <c:pt idx="25">
                  <c:v>288.35830325418618</c:v>
                </c:pt>
                <c:pt idx="26">
                  <c:v>244.6190581615721</c:v>
                </c:pt>
                <c:pt idx="27">
                  <c:v>272.65800236133896</c:v>
                </c:pt>
                <c:pt idx="28">
                  <c:v>300.63210759978887</c:v>
                </c:pt>
                <c:pt idx="29">
                  <c:v>328.5482515646346</c:v>
                </c:pt>
                <c:pt idx="30">
                  <c:v>356.41204743833867</c:v>
                </c:pt>
                <c:pt idx="31">
                  <c:v>310.85173466328649</c:v>
                </c:pt>
                <c:pt idx="32">
                  <c:v>336.70870355604046</c:v>
                </c:pt>
                <c:pt idx="33">
                  <c:v>362.52196090538217</c:v>
                </c:pt>
                <c:pt idx="34">
                  <c:v>388.29505404723028</c:v>
                </c:pt>
                <c:pt idx="35">
                  <c:v>414.03102119238082</c:v>
                </c:pt>
                <c:pt idx="36">
                  <c:v>365.23675297080769</c:v>
                </c:pt>
                <c:pt idx="37">
                  <c:v>387.61730275601627</c:v>
                </c:pt>
                <c:pt idx="38">
                  <c:v>409.96980401857422</c:v>
                </c:pt>
                <c:pt idx="39">
                  <c:v>432.29599994035453</c:v>
                </c:pt>
                <c:pt idx="40">
                  <c:v>454.59743907080411</c:v>
                </c:pt>
                <c:pt idx="41">
                  <c:v>406.24625838591629</c:v>
                </c:pt>
                <c:pt idx="42">
                  <c:v>425.53316796502639</c:v>
                </c:pt>
                <c:pt idx="43">
                  <c:v>444.80127884250447</c:v>
                </c:pt>
                <c:pt idx="44">
                  <c:v>464.05151945493071</c:v>
                </c:pt>
                <c:pt idx="45">
                  <c:v>483.28473497109485</c:v>
                </c:pt>
                <c:pt idx="46">
                  <c:v>455.94827709810426</c:v>
                </c:pt>
                <c:pt idx="47">
                  <c:v>472.48918916409235</c:v>
                </c:pt>
                <c:pt idx="48">
                  <c:v>489.0177774143724</c:v>
                </c:pt>
                <c:pt idx="49">
                  <c:v>505.53451684876785</c:v>
                </c:pt>
                <c:pt idx="50">
                  <c:v>522.03984891229663</c:v>
                </c:pt>
                <c:pt idx="51">
                  <c:v>500.81663116885539</c:v>
                </c:pt>
                <c:pt idx="52">
                  <c:v>514.96750495828326</c:v>
                </c:pt>
                <c:pt idx="53">
                  <c:v>529.11017351371675</c:v>
                </c:pt>
                <c:pt idx="54">
                  <c:v>543.24488697768527</c:v>
                </c:pt>
                <c:pt idx="55">
                  <c:v>557.37188141896695</c:v>
                </c:pt>
                <c:pt idx="56">
                  <c:v>539.54369365856019</c:v>
                </c:pt>
                <c:pt idx="57">
                  <c:v>551.99106495921342</c:v>
                </c:pt>
                <c:pt idx="58">
                  <c:v>564.43255421132858</c:v>
                </c:pt>
                <c:pt idx="59">
                  <c:v>576.86830930740882</c:v>
                </c:pt>
                <c:pt idx="60">
                  <c:v>589.29847124546529</c:v>
                </c:pt>
                <c:pt idx="61">
                  <c:v>570.81918970877257</c:v>
                </c:pt>
                <c:pt idx="62">
                  <c:v>580.90031938116931</c:v>
                </c:pt>
                <c:pt idx="63">
                  <c:v>590.97780129118485</c:v>
                </c:pt>
                <c:pt idx="64">
                  <c:v>601.05170640358597</c:v>
                </c:pt>
                <c:pt idx="65">
                  <c:v>611.12210311064734</c:v>
                </c:pt>
                <c:pt idx="66">
                  <c:v>592.99286623276123</c:v>
                </c:pt>
                <c:pt idx="67">
                  <c:v>601.7231745921265</c:v>
                </c:pt>
                <c:pt idx="68">
                  <c:v>610.45085114558412</c:v>
                </c:pt>
                <c:pt idx="69">
                  <c:v>619.17593882471431</c:v>
                </c:pt>
                <c:pt idx="70">
                  <c:v>627.89847925254264</c:v>
                </c:pt>
                <c:pt idx="71">
                  <c:v>610.78647904168156</c:v>
                </c:pt>
                <c:pt idx="72">
                  <c:v>618.84040589332551</c:v>
                </c:pt>
                <c:pt idx="73">
                  <c:v>626.89216097508961</c:v>
                </c:pt>
                <c:pt idx="74">
                  <c:v>634.94177611424914</c:v>
                </c:pt>
                <c:pt idx="75">
                  <c:v>642.98928226528881</c:v>
                </c:pt>
                <c:pt idx="76">
                  <c:v>626.22126355197054</c:v>
                </c:pt>
                <c:pt idx="77">
                  <c:v>632.92957124167299</c:v>
                </c:pt>
                <c:pt idx="78">
                  <c:v>639.63640905269347</c:v>
                </c:pt>
                <c:pt idx="79">
                  <c:v>646.34179457229197</c:v>
                </c:pt>
                <c:pt idx="80">
                  <c:v>653.0457449930251</c:v>
                </c:pt>
                <c:pt idx="81">
                  <c:v>631.25263281623893</c:v>
                </c:pt>
                <c:pt idx="82">
                  <c:v>631.25263281623893</c:v>
                </c:pt>
                <c:pt idx="83">
                  <c:v>631.25263281623893</c:v>
                </c:pt>
                <c:pt idx="84">
                  <c:v>631.25263281623893</c:v>
                </c:pt>
                <c:pt idx="85">
                  <c:v>631.25263281623893</c:v>
                </c:pt>
                <c:pt idx="86">
                  <c:v>631.25263281623893</c:v>
                </c:pt>
                <c:pt idx="87">
                  <c:v>631.25263281623893</c:v>
                </c:pt>
                <c:pt idx="88">
                  <c:v>631.25263281623893</c:v>
                </c:pt>
                <c:pt idx="89">
                  <c:v>631.25263281623893</c:v>
                </c:pt>
                <c:pt idx="90">
                  <c:v>631.25263281623893</c:v>
                </c:pt>
                <c:pt idx="91">
                  <c:v>631.25263281623893</c:v>
                </c:pt>
                <c:pt idx="92">
                  <c:v>631.25263281623893</c:v>
                </c:pt>
                <c:pt idx="93">
                  <c:v>631.25263281623893</c:v>
                </c:pt>
                <c:pt idx="94">
                  <c:v>631.25263281623893</c:v>
                </c:pt>
                <c:pt idx="95">
                  <c:v>631.25263281623893</c:v>
                </c:pt>
                <c:pt idx="96">
                  <c:v>631.25263281623893</c:v>
                </c:pt>
                <c:pt idx="97">
                  <c:v>631.25263281623893</c:v>
                </c:pt>
                <c:pt idx="98">
                  <c:v>631.25263281623893</c:v>
                </c:pt>
                <c:pt idx="99">
                  <c:v>631.25263281623893</c:v>
                </c:pt>
                <c:pt idx="100">
                  <c:v>631.25263281623893</c:v>
                </c:pt>
                <c:pt idx="101">
                  <c:v>631.25263281623893</c:v>
                </c:pt>
                <c:pt idx="102">
                  <c:v>631.25263281623893</c:v>
                </c:pt>
                <c:pt idx="103">
                  <c:v>631.25263281623893</c:v>
                </c:pt>
                <c:pt idx="104">
                  <c:v>631.25263281623893</c:v>
                </c:pt>
                <c:pt idx="105">
                  <c:v>631.25263281623893</c:v>
                </c:pt>
                <c:pt idx="106">
                  <c:v>631.25263281623893</c:v>
                </c:pt>
                <c:pt idx="107">
                  <c:v>631.25263281623893</c:v>
                </c:pt>
                <c:pt idx="108">
                  <c:v>631.25263281623893</c:v>
                </c:pt>
                <c:pt idx="109">
                  <c:v>631.25263281623893</c:v>
                </c:pt>
                <c:pt idx="110">
                  <c:v>631.25263281623893</c:v>
                </c:pt>
                <c:pt idx="111">
                  <c:v>631.25263281623893</c:v>
                </c:pt>
                <c:pt idx="112">
                  <c:v>631.25263281623893</c:v>
                </c:pt>
                <c:pt idx="113">
                  <c:v>631.25263281623893</c:v>
                </c:pt>
                <c:pt idx="114">
                  <c:v>631.25263281623893</c:v>
                </c:pt>
                <c:pt idx="115">
                  <c:v>631.25263281623893</c:v>
                </c:pt>
                <c:pt idx="116">
                  <c:v>631.25263281623893</c:v>
                </c:pt>
                <c:pt idx="117">
                  <c:v>631.25263281623893</c:v>
                </c:pt>
                <c:pt idx="118">
                  <c:v>631.25263281623893</c:v>
                </c:pt>
                <c:pt idx="119">
                  <c:v>631.25263281623893</c:v>
                </c:pt>
                <c:pt idx="120">
                  <c:v>631.25263281623893</c:v>
                </c:pt>
                <c:pt idx="121">
                  <c:v>631.25263281623893</c:v>
                </c:pt>
                <c:pt idx="122">
                  <c:v>631.25263281623893</c:v>
                </c:pt>
                <c:pt idx="123">
                  <c:v>631.25263281623893</c:v>
                </c:pt>
                <c:pt idx="124">
                  <c:v>631.25263281623893</c:v>
                </c:pt>
                <c:pt idx="125">
                  <c:v>631.25263281623893</c:v>
                </c:pt>
                <c:pt idx="126">
                  <c:v>631.25263281623893</c:v>
                </c:pt>
                <c:pt idx="127">
                  <c:v>631.25263281623893</c:v>
                </c:pt>
                <c:pt idx="128">
                  <c:v>631.25263281623893</c:v>
                </c:pt>
                <c:pt idx="129">
                  <c:v>631.25263281623893</c:v>
                </c:pt>
                <c:pt idx="130">
                  <c:v>631.25263281623893</c:v>
                </c:pt>
                <c:pt idx="131">
                  <c:v>631.25263281623893</c:v>
                </c:pt>
                <c:pt idx="132">
                  <c:v>631.25263281623893</c:v>
                </c:pt>
                <c:pt idx="133">
                  <c:v>631.25263281623893</c:v>
                </c:pt>
                <c:pt idx="134">
                  <c:v>631.25263281623893</c:v>
                </c:pt>
                <c:pt idx="135">
                  <c:v>631.25263281623893</c:v>
                </c:pt>
                <c:pt idx="136">
                  <c:v>631.25263281623893</c:v>
                </c:pt>
                <c:pt idx="137">
                  <c:v>631.25263281623893</c:v>
                </c:pt>
                <c:pt idx="138">
                  <c:v>631.25263281623893</c:v>
                </c:pt>
                <c:pt idx="139">
                  <c:v>631.25263281623893</c:v>
                </c:pt>
                <c:pt idx="140">
                  <c:v>631.25263281623893</c:v>
                </c:pt>
                <c:pt idx="141">
                  <c:v>631.25263281623893</c:v>
                </c:pt>
                <c:pt idx="142">
                  <c:v>631.25263281623893</c:v>
                </c:pt>
                <c:pt idx="143">
                  <c:v>631.25263281623893</c:v>
                </c:pt>
                <c:pt idx="144">
                  <c:v>631.25263281623893</c:v>
                </c:pt>
                <c:pt idx="145">
                  <c:v>631.25263281623893</c:v>
                </c:pt>
                <c:pt idx="146">
                  <c:v>631.25263281623893</c:v>
                </c:pt>
                <c:pt idx="147">
                  <c:v>631.25263281623893</c:v>
                </c:pt>
                <c:pt idx="148">
                  <c:v>631.25263281623893</c:v>
                </c:pt>
                <c:pt idx="149">
                  <c:v>631.25263281623893</c:v>
                </c:pt>
                <c:pt idx="150">
                  <c:v>631.25263281623893</c:v>
                </c:pt>
                <c:pt idx="151">
                  <c:v>631.25263281623893</c:v>
                </c:pt>
                <c:pt idx="152">
                  <c:v>631.25263281623893</c:v>
                </c:pt>
                <c:pt idx="153">
                  <c:v>631.25263281623893</c:v>
                </c:pt>
                <c:pt idx="154">
                  <c:v>631.25263281623893</c:v>
                </c:pt>
                <c:pt idx="155">
                  <c:v>631.25263281623893</c:v>
                </c:pt>
                <c:pt idx="156">
                  <c:v>631.25263281623893</c:v>
                </c:pt>
                <c:pt idx="157">
                  <c:v>631.25263281623893</c:v>
                </c:pt>
                <c:pt idx="158">
                  <c:v>631.25263281623893</c:v>
                </c:pt>
                <c:pt idx="159">
                  <c:v>631.25263281623893</c:v>
                </c:pt>
                <c:pt idx="160">
                  <c:v>631.25263281623893</c:v>
                </c:pt>
                <c:pt idx="161">
                  <c:v>631.25263281623893</c:v>
                </c:pt>
                <c:pt idx="162">
                  <c:v>631.25263281623893</c:v>
                </c:pt>
                <c:pt idx="163">
                  <c:v>631.25263281623893</c:v>
                </c:pt>
                <c:pt idx="164">
                  <c:v>631.25263281623893</c:v>
                </c:pt>
                <c:pt idx="165">
                  <c:v>631.25263281623893</c:v>
                </c:pt>
                <c:pt idx="166">
                  <c:v>631.25263281623893</c:v>
                </c:pt>
                <c:pt idx="167">
                  <c:v>631.25263281623893</c:v>
                </c:pt>
                <c:pt idx="168">
                  <c:v>631.25263281623893</c:v>
                </c:pt>
                <c:pt idx="169">
                  <c:v>631.25263281623893</c:v>
                </c:pt>
                <c:pt idx="170">
                  <c:v>631.25263281623893</c:v>
                </c:pt>
                <c:pt idx="171">
                  <c:v>631.25263281623893</c:v>
                </c:pt>
                <c:pt idx="172">
                  <c:v>631.25263281623893</c:v>
                </c:pt>
                <c:pt idx="173">
                  <c:v>631.25263281623893</c:v>
                </c:pt>
                <c:pt idx="174">
                  <c:v>631.25263281623893</c:v>
                </c:pt>
                <c:pt idx="175">
                  <c:v>631.25263281623893</c:v>
                </c:pt>
                <c:pt idx="176">
                  <c:v>631.25263281623893</c:v>
                </c:pt>
                <c:pt idx="177">
                  <c:v>631.25263281623893</c:v>
                </c:pt>
                <c:pt idx="178">
                  <c:v>631.25263281623893</c:v>
                </c:pt>
                <c:pt idx="179">
                  <c:v>631.25263281623893</c:v>
                </c:pt>
                <c:pt idx="180">
                  <c:v>631.25263281623893</c:v>
                </c:pt>
                <c:pt idx="181">
                  <c:v>631.25263281623893</c:v>
                </c:pt>
                <c:pt idx="182">
                  <c:v>631.25263281623893</c:v>
                </c:pt>
                <c:pt idx="183">
                  <c:v>631.25263281623893</c:v>
                </c:pt>
                <c:pt idx="184">
                  <c:v>631.25263281623893</c:v>
                </c:pt>
                <c:pt idx="185">
                  <c:v>631.25263281623893</c:v>
                </c:pt>
                <c:pt idx="186">
                  <c:v>631.25263281623893</c:v>
                </c:pt>
                <c:pt idx="187">
                  <c:v>631.25263281623893</c:v>
                </c:pt>
                <c:pt idx="188">
                  <c:v>631.25263281623893</c:v>
                </c:pt>
                <c:pt idx="189">
                  <c:v>631.25263281623893</c:v>
                </c:pt>
                <c:pt idx="190">
                  <c:v>631.25263281623893</c:v>
                </c:pt>
                <c:pt idx="191">
                  <c:v>631.25263281623893</c:v>
                </c:pt>
                <c:pt idx="192">
                  <c:v>631.25263281623893</c:v>
                </c:pt>
                <c:pt idx="193">
                  <c:v>631.25263281623893</c:v>
                </c:pt>
                <c:pt idx="194">
                  <c:v>631.25263281623893</c:v>
                </c:pt>
                <c:pt idx="195">
                  <c:v>631.25263281623893</c:v>
                </c:pt>
                <c:pt idx="196">
                  <c:v>631.25263281623893</c:v>
                </c:pt>
                <c:pt idx="197">
                  <c:v>631.25263281623893</c:v>
                </c:pt>
                <c:pt idx="198">
                  <c:v>631.25263281623893</c:v>
                </c:pt>
                <c:pt idx="199">
                  <c:v>631.25263281623893</c:v>
                </c:pt>
                <c:pt idx="200">
                  <c:v>631.25263281623893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2.6650117287285462</c:v>
                </c:pt>
                <c:pt idx="2">
                  <c:v>3.2354654067477706</c:v>
                </c:pt>
                <c:pt idx="3">
                  <c:v>3.9284869234853752</c:v>
                </c:pt>
                <c:pt idx="4">
                  <c:v>4.770504601663986</c:v>
                </c:pt>
                <c:pt idx="5">
                  <c:v>5.7936641476729482</c:v>
                </c:pt>
                <c:pt idx="6">
                  <c:v>7.0370693192090075</c:v>
                </c:pt>
                <c:pt idx="7">
                  <c:v>8.5482925779705372</c:v>
                </c:pt>
                <c:pt idx="8">
                  <c:v>10.385214631800892</c:v>
                </c:pt>
                <c:pt idx="9">
                  <c:v>12.618264652585031</c:v>
                </c:pt>
                <c:pt idx="10">
                  <c:v>15.33314866131672</c:v>
                </c:pt>
                <c:pt idx="11">
                  <c:v>18.634172720004408</c:v>
                </c:pt>
                <c:pt idx="12">
                  <c:v>22.64829091777025</c:v>
                </c:pt>
                <c:pt idx="13">
                  <c:v>27.530036608323286</c:v>
                </c:pt>
                <c:pt idx="14">
                  <c:v>33.46753007373961</c:v>
                </c:pt>
                <c:pt idx="15">
                  <c:v>40.689798128782996</c:v>
                </c:pt>
                <c:pt idx="16">
                  <c:v>49.475692816958805</c:v>
                </c:pt>
                <c:pt idx="17">
                  <c:v>60.164759329410423</c:v>
                </c:pt>
                <c:pt idx="18">
                  <c:v>73.170480096564106</c:v>
                </c:pt>
                <c:pt idx="19">
                  <c:v>88.99641570607578</c:v>
                </c:pt>
                <c:pt idx="20">
                  <c:v>108.25587760652975</c:v>
                </c:pt>
                <c:pt idx="21">
                  <c:v>128.9130744021389</c:v>
                </c:pt>
                <c:pt idx="22">
                  <c:v>149.49002281670286</c:v>
                </c:pt>
                <c:pt idx="23">
                  <c:v>169.99934455849356</c:v>
                </c:pt>
                <c:pt idx="24">
                  <c:v>190.45035477579154</c:v>
                </c:pt>
                <c:pt idx="25">
                  <c:v>210.85019924163907</c:v>
                </c:pt>
                <c:pt idx="26">
                  <c:v>185.24975095506522</c:v>
                </c:pt>
                <c:pt idx="27">
                  <c:v>207.88589861014086</c:v>
                </c:pt>
                <c:pt idx="28">
                  <c:v>230.46511069348855</c:v>
                </c:pt>
                <c:pt idx="29">
                  <c:v>252.99374979192666</c:v>
                </c:pt>
                <c:pt idx="30">
                  <c:v>275.47695163372049</c:v>
                </c:pt>
                <c:pt idx="31">
                  <c:v>234.53122639168836</c:v>
                </c:pt>
                <c:pt idx="32">
                  <c:v>258.15768037977301</c:v>
                </c:pt>
                <c:pt idx="33">
                  <c:v>281.73525664729715</c:v>
                </c:pt>
                <c:pt idx="34">
                  <c:v>305.2686189668205</c:v>
                </c:pt>
                <c:pt idx="35">
                  <c:v>328.76165316889825</c:v>
                </c:pt>
                <c:pt idx="36">
                  <c:v>289.09398574595861</c:v>
                </c:pt>
                <c:pt idx="37">
                  <c:v>313.71588765662</c:v>
                </c:pt>
                <c:pt idx="38">
                  <c:v>338.294948711404</c:v>
                </c:pt>
                <c:pt idx="39">
                  <c:v>362.83471688970462</c:v>
                </c:pt>
                <c:pt idx="40">
                  <c:v>387.33822121677059</c:v>
                </c:pt>
                <c:pt idx="41">
                  <c:v>348.55496880472214</c:v>
                </c:pt>
                <c:pt idx="42">
                  <c:v>373.81075414168623</c:v>
                </c:pt>
                <c:pt idx="43">
                  <c:v>399.02936683024018</c:v>
                </c:pt>
                <c:pt idx="44">
                  <c:v>424.21348431024836</c:v>
                </c:pt>
                <c:pt idx="45">
                  <c:v>449.36544039116256</c:v>
                </c:pt>
                <c:pt idx="46">
                  <c:v>410.34809118885158</c:v>
                </c:pt>
                <c:pt idx="47">
                  <c:v>435.15294270927825</c:v>
                </c:pt>
                <c:pt idx="48">
                  <c:v>459.92745587773499</c:v>
                </c:pt>
                <c:pt idx="49">
                  <c:v>484.67349306043229</c:v>
                </c:pt>
                <c:pt idx="50">
                  <c:v>509.39271110335471</c:v>
                </c:pt>
                <c:pt idx="51">
                  <c:v>470.12035055146072</c:v>
                </c:pt>
                <c:pt idx="52">
                  <c:v>494.49160073335105</c:v>
                </c:pt>
                <c:pt idx="53">
                  <c:v>518.83740552632355</c:v>
                </c:pt>
                <c:pt idx="54">
                  <c:v>543.15912558232264</c:v>
                </c:pt>
                <c:pt idx="55">
                  <c:v>567.45798988344677</c:v>
                </c:pt>
                <c:pt idx="56">
                  <c:v>527.55236536708924</c:v>
                </c:pt>
                <c:pt idx="57">
                  <c:v>551.14032081646064</c:v>
                </c:pt>
                <c:pt idx="58">
                  <c:v>574.7071209020188</c:v>
                </c:pt>
                <c:pt idx="59">
                  <c:v>598.25375422735704</c:v>
                </c:pt>
                <c:pt idx="60">
                  <c:v>621.78112531404167</c:v>
                </c:pt>
                <c:pt idx="61">
                  <c:v>580.86738049325345</c:v>
                </c:pt>
                <c:pt idx="62">
                  <c:v>603.322786102946</c:v>
                </c:pt>
                <c:pt idx="63">
                  <c:v>625.76083514390393</c:v>
                </c:pt>
                <c:pt idx="64">
                  <c:v>648.18223687272553</c:v>
                </c:pt>
                <c:pt idx="65">
                  <c:v>670.5876475316818</c:v>
                </c:pt>
                <c:pt idx="66">
                  <c:v>628.65484029812285</c:v>
                </c:pt>
                <c:pt idx="67">
                  <c:v>649.98970921008811</c:v>
                </c:pt>
                <c:pt idx="68">
                  <c:v>671.31014346170321</c:v>
                </c:pt>
                <c:pt idx="69">
                  <c:v>692.61666551890175</c:v>
                </c:pt>
                <c:pt idx="70">
                  <c:v>713.90976311819679</c:v>
                </c:pt>
                <c:pt idx="71">
                  <c:v>670.58764753168191</c:v>
                </c:pt>
                <c:pt idx="72">
                  <c:v>690.45052166725247</c:v>
                </c:pt>
                <c:pt idx="73">
                  <c:v>710.30168839718874</c:v>
                </c:pt>
                <c:pt idx="74">
                  <c:v>730.14152063682013</c:v>
                </c:pt>
                <c:pt idx="75">
                  <c:v>749.97036940508917</c:v>
                </c:pt>
                <c:pt idx="76">
                  <c:v>705.61063085359956</c:v>
                </c:pt>
                <c:pt idx="77">
                  <c:v>724.37108110022939</c:v>
                </c:pt>
                <c:pt idx="78">
                  <c:v>743.12162419643846</c:v>
                </c:pt>
                <c:pt idx="79">
                  <c:v>761.86254506494254</c:v>
                </c:pt>
                <c:pt idx="80">
                  <c:v>780.59411348307538</c:v>
                </c:pt>
                <c:pt idx="81">
                  <c:v>736.63215463032964</c:v>
                </c:pt>
                <c:pt idx="82">
                  <c:v>753.93485060091371</c:v>
                </c:pt>
                <c:pt idx="83">
                  <c:v>771.22948202840087</c:v>
                </c:pt>
                <c:pt idx="84">
                  <c:v>788.5162550525506</c:v>
                </c:pt>
                <c:pt idx="85">
                  <c:v>805.79536604695193</c:v>
                </c:pt>
                <c:pt idx="86">
                  <c:v>762.94346417722682</c:v>
                </c:pt>
                <c:pt idx="87">
                  <c:v>779.51369572854594</c:v>
                </c:pt>
                <c:pt idx="88">
                  <c:v>796.07679765726914</c:v>
                </c:pt>
                <c:pt idx="89">
                  <c:v>812.63293905279113</c:v>
                </c:pt>
                <c:pt idx="90">
                  <c:v>829.18228155985787</c:v>
                </c:pt>
                <c:pt idx="91">
                  <c:v>788.87631401648343</c:v>
                </c:pt>
                <c:pt idx="92">
                  <c:v>804.35572815014075</c:v>
                </c:pt>
                <c:pt idx="93">
                  <c:v>819.82913151766786</c:v>
                </c:pt>
                <c:pt idx="94">
                  <c:v>835.29665344180091</c:v>
                </c:pt>
                <c:pt idx="95">
                  <c:v>850.75841807001689</c:v>
                </c:pt>
                <c:pt idx="96">
                  <c:v>811.55339965696703</c:v>
                </c:pt>
                <c:pt idx="97">
                  <c:v>826.30461657658464</c:v>
                </c:pt>
                <c:pt idx="98">
                  <c:v>841.0505342782709</c:v>
                </c:pt>
                <c:pt idx="99">
                  <c:v>855.79125867604671</c:v>
                </c:pt>
                <c:pt idx="100">
                  <c:v>870.52689174128693</c:v>
                </c:pt>
                <c:pt idx="101">
                  <c:v>832.41941451556761</c:v>
                </c:pt>
                <c:pt idx="102">
                  <c:v>846.4440791959322</c:v>
                </c:pt>
                <c:pt idx="103">
                  <c:v>860.46407906531783</c:v>
                </c:pt>
                <c:pt idx="104">
                  <c:v>874.47950077026053</c:v>
                </c:pt>
                <c:pt idx="105">
                  <c:v>888.49042795607431</c:v>
                </c:pt>
                <c:pt idx="106">
                  <c:v>851.47743179391273</c:v>
                </c:pt>
                <c:pt idx="107">
                  <c:v>864.77700018720031</c:v>
                </c:pt>
                <c:pt idx="108">
                  <c:v>878.07247139987146</c:v>
                </c:pt>
                <c:pt idx="109">
                  <c:v>891.36391615659386</c:v>
                </c:pt>
                <c:pt idx="110">
                  <c:v>904.65140290281306</c:v>
                </c:pt>
                <c:pt idx="111">
                  <c:v>868.73013257971536</c:v>
                </c:pt>
                <c:pt idx="112">
                  <c:v>881.30589346877969</c:v>
                </c:pt>
                <c:pt idx="113">
                  <c:v>893.87806652905931</c:v>
                </c:pt>
                <c:pt idx="114">
                  <c:v>906.44670928963967</c:v>
                </c:pt>
                <c:pt idx="115">
                  <c:v>919.01187755558783</c:v>
                </c:pt>
                <c:pt idx="116">
                  <c:v>872.32357664941446</c:v>
                </c:pt>
                <c:pt idx="117">
                  <c:v>872.32357664941446</c:v>
                </c:pt>
                <c:pt idx="118">
                  <c:v>872.32357664941446</c:v>
                </c:pt>
                <c:pt idx="119">
                  <c:v>872.32357664941446</c:v>
                </c:pt>
                <c:pt idx="120">
                  <c:v>872.32357664941446</c:v>
                </c:pt>
                <c:pt idx="121">
                  <c:v>872.32357664941446</c:v>
                </c:pt>
                <c:pt idx="122">
                  <c:v>872.32357664941446</c:v>
                </c:pt>
                <c:pt idx="123">
                  <c:v>872.32357664941446</c:v>
                </c:pt>
                <c:pt idx="124">
                  <c:v>872.32357664941446</c:v>
                </c:pt>
                <c:pt idx="125">
                  <c:v>872.32357664941446</c:v>
                </c:pt>
                <c:pt idx="126">
                  <c:v>872.32357664941446</c:v>
                </c:pt>
                <c:pt idx="127">
                  <c:v>872.32357664941446</c:v>
                </c:pt>
                <c:pt idx="128">
                  <c:v>872.32357664941446</c:v>
                </c:pt>
                <c:pt idx="129">
                  <c:v>872.32357664941446</c:v>
                </c:pt>
                <c:pt idx="130">
                  <c:v>872.32357664941446</c:v>
                </c:pt>
                <c:pt idx="131">
                  <c:v>872.32357664941446</c:v>
                </c:pt>
                <c:pt idx="132">
                  <c:v>872.32357664941446</c:v>
                </c:pt>
                <c:pt idx="133">
                  <c:v>872.32357664941446</c:v>
                </c:pt>
                <c:pt idx="134">
                  <c:v>872.32357664941446</c:v>
                </c:pt>
                <c:pt idx="135">
                  <c:v>872.32357664941446</c:v>
                </c:pt>
                <c:pt idx="136">
                  <c:v>872.32357664941446</c:v>
                </c:pt>
                <c:pt idx="137">
                  <c:v>872.32357664941446</c:v>
                </c:pt>
                <c:pt idx="138">
                  <c:v>872.32357664941446</c:v>
                </c:pt>
                <c:pt idx="139">
                  <c:v>872.32357664941446</c:v>
                </c:pt>
                <c:pt idx="140">
                  <c:v>872.32357664941446</c:v>
                </c:pt>
                <c:pt idx="141">
                  <c:v>872.32357664941446</c:v>
                </c:pt>
                <c:pt idx="142">
                  <c:v>872.32357664941446</c:v>
                </c:pt>
                <c:pt idx="143">
                  <c:v>872.32357664941446</c:v>
                </c:pt>
                <c:pt idx="144">
                  <c:v>872.32357664941446</c:v>
                </c:pt>
                <c:pt idx="145">
                  <c:v>872.32357664941446</c:v>
                </c:pt>
                <c:pt idx="146">
                  <c:v>872.32357664941446</c:v>
                </c:pt>
                <c:pt idx="147">
                  <c:v>872.32357664941446</c:v>
                </c:pt>
                <c:pt idx="148">
                  <c:v>872.32357664941446</c:v>
                </c:pt>
                <c:pt idx="149">
                  <c:v>872.32357664941446</c:v>
                </c:pt>
                <c:pt idx="150">
                  <c:v>872.32357664941446</c:v>
                </c:pt>
                <c:pt idx="151">
                  <c:v>872.32357664941446</c:v>
                </c:pt>
                <c:pt idx="152">
                  <c:v>872.32357664941446</c:v>
                </c:pt>
                <c:pt idx="153">
                  <c:v>872.32357664941446</c:v>
                </c:pt>
                <c:pt idx="154">
                  <c:v>872.32357664941446</c:v>
                </c:pt>
                <c:pt idx="155">
                  <c:v>872.32357664941446</c:v>
                </c:pt>
                <c:pt idx="156">
                  <c:v>872.32357664941446</c:v>
                </c:pt>
                <c:pt idx="157">
                  <c:v>872.32357664941446</c:v>
                </c:pt>
                <c:pt idx="158">
                  <c:v>872.32357664941446</c:v>
                </c:pt>
                <c:pt idx="159">
                  <c:v>872.32357664941446</c:v>
                </c:pt>
                <c:pt idx="160">
                  <c:v>872.32357664941446</c:v>
                </c:pt>
                <c:pt idx="161">
                  <c:v>872.32357664941446</c:v>
                </c:pt>
                <c:pt idx="162">
                  <c:v>872.32357664941446</c:v>
                </c:pt>
                <c:pt idx="163">
                  <c:v>872.32357664941446</c:v>
                </c:pt>
                <c:pt idx="164">
                  <c:v>872.32357664941446</c:v>
                </c:pt>
                <c:pt idx="165">
                  <c:v>872.32357664941446</c:v>
                </c:pt>
                <c:pt idx="166">
                  <c:v>872.32357664941446</c:v>
                </c:pt>
                <c:pt idx="167">
                  <c:v>872.32357664941446</c:v>
                </c:pt>
                <c:pt idx="168">
                  <c:v>872.32357664941446</c:v>
                </c:pt>
                <c:pt idx="169">
                  <c:v>872.32357664941446</c:v>
                </c:pt>
                <c:pt idx="170">
                  <c:v>872.32357664941446</c:v>
                </c:pt>
                <c:pt idx="171">
                  <c:v>872.32357664941446</c:v>
                </c:pt>
                <c:pt idx="172">
                  <c:v>872.32357664941446</c:v>
                </c:pt>
                <c:pt idx="173">
                  <c:v>872.32357664941446</c:v>
                </c:pt>
                <c:pt idx="174">
                  <c:v>872.32357664941446</c:v>
                </c:pt>
                <c:pt idx="175">
                  <c:v>872.32357664941446</c:v>
                </c:pt>
                <c:pt idx="176">
                  <c:v>872.32357664941446</c:v>
                </c:pt>
                <c:pt idx="177">
                  <c:v>872.32357664941446</c:v>
                </c:pt>
                <c:pt idx="178">
                  <c:v>872.32357664941446</c:v>
                </c:pt>
                <c:pt idx="179">
                  <c:v>872.32357664941446</c:v>
                </c:pt>
                <c:pt idx="180">
                  <c:v>872.32357664941446</c:v>
                </c:pt>
                <c:pt idx="181">
                  <c:v>872.32357664941446</c:v>
                </c:pt>
                <c:pt idx="182">
                  <c:v>872.32357664941446</c:v>
                </c:pt>
                <c:pt idx="183">
                  <c:v>872.32357664941446</c:v>
                </c:pt>
                <c:pt idx="184">
                  <c:v>872.32357664941446</c:v>
                </c:pt>
                <c:pt idx="185">
                  <c:v>872.32357664941446</c:v>
                </c:pt>
                <c:pt idx="186">
                  <c:v>872.32357664941446</c:v>
                </c:pt>
                <c:pt idx="187">
                  <c:v>872.32357664941446</c:v>
                </c:pt>
                <c:pt idx="188">
                  <c:v>872.32357664941446</c:v>
                </c:pt>
                <c:pt idx="189">
                  <c:v>872.32357664941446</c:v>
                </c:pt>
                <c:pt idx="190">
                  <c:v>872.32357664941446</c:v>
                </c:pt>
                <c:pt idx="191">
                  <c:v>872.32357664941446</c:v>
                </c:pt>
                <c:pt idx="192">
                  <c:v>872.32357664941446</c:v>
                </c:pt>
                <c:pt idx="193">
                  <c:v>872.32357664941446</c:v>
                </c:pt>
                <c:pt idx="194">
                  <c:v>872.32357664941446</c:v>
                </c:pt>
                <c:pt idx="195">
                  <c:v>872.32357664941446</c:v>
                </c:pt>
                <c:pt idx="196">
                  <c:v>872.32357664941446</c:v>
                </c:pt>
                <c:pt idx="197">
                  <c:v>872.32357664941446</c:v>
                </c:pt>
                <c:pt idx="198">
                  <c:v>872.32357664941446</c:v>
                </c:pt>
                <c:pt idx="199">
                  <c:v>872.32357664941446</c:v>
                </c:pt>
                <c:pt idx="200">
                  <c:v>872.32357664941446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2.5056460090303925</c:v>
                </c:pt>
                <c:pt idx="2">
                  <c:v>3.327732738846354</c:v>
                </c:pt>
                <c:pt idx="3">
                  <c:v>4.4206485604712045</c:v>
                </c:pt>
                <c:pt idx="4">
                  <c:v>5.8739591407388465</c:v>
                </c:pt>
                <c:pt idx="5">
                  <c:v>7.8069564008888577</c:v>
                </c:pt>
                <c:pt idx="6">
                  <c:v>10.378557094398952</c:v>
                </c:pt>
                <c:pt idx="7">
                  <c:v>13.800507525415135</c:v>
                </c:pt>
                <c:pt idx="8">
                  <c:v>18.355001719973249</c:v>
                </c:pt>
                <c:pt idx="9">
                  <c:v>24.418192160645134</c:v>
                </c:pt>
                <c:pt idx="10">
                  <c:v>32.491569113944941</c:v>
                </c:pt>
                <c:pt idx="11">
                  <c:v>45.045722811468245</c:v>
                </c:pt>
                <c:pt idx="12">
                  <c:v>68.918116010042766</c:v>
                </c:pt>
                <c:pt idx="13">
                  <c:v>92.57439481805693</c:v>
                </c:pt>
                <c:pt idx="14">
                  <c:v>116.07848211116128</c:v>
                </c:pt>
                <c:pt idx="15">
                  <c:v>139.46576938145776</c:v>
                </c:pt>
                <c:pt idx="16">
                  <c:v>97.737484153486875</c:v>
                </c:pt>
                <c:pt idx="17">
                  <c:v>123.45843862619604</c:v>
                </c:pt>
                <c:pt idx="18">
                  <c:v>149.0486227432686</c:v>
                </c:pt>
                <c:pt idx="19">
                  <c:v>174.53373816678013</c:v>
                </c:pt>
                <c:pt idx="20">
                  <c:v>199.93131520555619</c:v>
                </c:pt>
                <c:pt idx="21">
                  <c:v>159.89147845501216</c:v>
                </c:pt>
                <c:pt idx="22">
                  <c:v>186.6076360513151</c:v>
                </c:pt>
                <c:pt idx="23">
                  <c:v>213.23441535885948</c:v>
                </c:pt>
                <c:pt idx="24">
                  <c:v>239.78455379251184</c:v>
                </c:pt>
                <c:pt idx="25">
                  <c:v>266.26773098057953</c:v>
                </c:pt>
                <c:pt idx="26">
                  <c:v>225.88624492093732</c:v>
                </c:pt>
                <c:pt idx="27">
                  <c:v>251.77283729785236</c:v>
                </c:pt>
                <c:pt idx="28">
                  <c:v>277.59910531675155</c:v>
                </c:pt>
                <c:pt idx="29">
                  <c:v>303.37144778612094</c:v>
                </c:pt>
                <c:pt idx="30">
                  <c:v>329.09508705409212</c:v>
                </c:pt>
                <c:pt idx="31">
                  <c:v>287.03396888617937</c:v>
                </c:pt>
                <c:pt idx="32">
                  <c:v>310.90515078463847</c:v>
                </c:pt>
                <c:pt idx="33">
                  <c:v>334.73566468440248</c:v>
                </c:pt>
                <c:pt idx="34">
                  <c:v>358.52881092769786</c:v>
                </c:pt>
                <c:pt idx="35">
                  <c:v>382.28741618096228</c:v>
                </c:pt>
                <c:pt idx="36">
                  <c:v>337.24191352703082</c:v>
                </c:pt>
                <c:pt idx="37">
                  <c:v>357.90312952366207</c:v>
                </c:pt>
                <c:pt idx="38">
                  <c:v>378.53824995849158</c:v>
                </c:pt>
                <c:pt idx="39">
                  <c:v>399.14889663922986</c:v>
                </c:pt>
                <c:pt idx="40">
                  <c:v>419.73651029301618</c:v>
                </c:pt>
                <c:pt idx="41">
                  <c:v>375.10080417289322</c:v>
                </c:pt>
                <c:pt idx="42">
                  <c:v>392.90574133229569</c:v>
                </c:pt>
                <c:pt idx="43">
                  <c:v>410.69318870493333</c:v>
                </c:pt>
                <c:pt idx="44">
                  <c:v>428.46401008226007</c:v>
                </c:pt>
                <c:pt idx="45">
                  <c:v>446.21899178570357</c:v>
                </c:pt>
                <c:pt idx="46">
                  <c:v>420.98353332932442</c:v>
                </c:pt>
                <c:pt idx="47">
                  <c:v>436.25318896943855</c:v>
                </c:pt>
                <c:pt idx="48">
                  <c:v>451.51137887574367</c:v>
                </c:pt>
                <c:pt idx="49">
                  <c:v>466.75854497480481</c:v>
                </c:pt>
                <c:pt idx="50">
                  <c:v>481.99509797473166</c:v>
                </c:pt>
                <c:pt idx="51">
                  <c:v>462.4033121825118</c:v>
                </c:pt>
                <c:pt idx="52">
                  <c:v>475.46642110106609</c:v>
                </c:pt>
                <c:pt idx="53">
                  <c:v>488.5218960991653</c:v>
                </c:pt>
                <c:pt idx="54">
                  <c:v>501.5699699024297</c:v>
                </c:pt>
                <c:pt idx="55">
                  <c:v>514.61086214265526</c:v>
                </c:pt>
                <c:pt idx="56">
                  <c:v>498.15332008482136</c:v>
                </c:pt>
                <c:pt idx="57">
                  <c:v>509.64373653602433</c:v>
                </c:pt>
                <c:pt idx="58">
                  <c:v>521.12868049361134</c:v>
                </c:pt>
                <c:pt idx="59">
                  <c:v>532.60828955263503</c:v>
                </c:pt>
                <c:pt idx="60">
                  <c:v>544.08269489370571</c:v>
                </c:pt>
                <c:pt idx="61">
                  <c:v>527.02427283891677</c:v>
                </c:pt>
                <c:pt idx="62">
                  <c:v>536.330282305266</c:v>
                </c:pt>
                <c:pt idx="63">
                  <c:v>545.63289799541383</c:v>
                </c:pt>
                <c:pt idx="64">
                  <c:v>554.9321859329965</c:v>
                </c:pt>
                <c:pt idx="65">
                  <c:v>564.22820974827573</c:v>
                </c:pt>
                <c:pt idx="66">
                  <c:v>547.4930197333249</c:v>
                </c:pt>
                <c:pt idx="67">
                  <c:v>555.55202171385451</c:v>
                </c:pt>
                <c:pt idx="68">
                  <c:v>563.60857513569988</c:v>
                </c:pt>
                <c:pt idx="69">
                  <c:v>571.66271994120405</c:v>
                </c:pt>
                <c:pt idx="70">
                  <c:v>579.71449485526693</c:v>
                </c:pt>
                <c:pt idx="71">
                  <c:v>563.9183942223159</c:v>
                </c:pt>
                <c:pt idx="72">
                  <c:v>571.35298920709954</c:v>
                </c:pt>
                <c:pt idx="73">
                  <c:v>578.78556363786606</c:v>
                </c:pt>
                <c:pt idx="74">
                  <c:v>586.21614712582311</c:v>
                </c:pt>
                <c:pt idx="75">
                  <c:v>593.64476847015783</c:v>
                </c:pt>
                <c:pt idx="76">
                  <c:v>578.16625888120927</c:v>
                </c:pt>
                <c:pt idx="77">
                  <c:v>584.35868631619962</c:v>
                </c:pt>
                <c:pt idx="78">
                  <c:v>590.54974621713279</c:v>
                </c:pt>
                <c:pt idx="79">
                  <c:v>596.73945494670363</c:v>
                </c:pt>
                <c:pt idx="80">
                  <c:v>602.92782850038679</c:v>
                </c:pt>
                <c:pt idx="81">
                  <c:v>582.81070831118348</c:v>
                </c:pt>
                <c:pt idx="82">
                  <c:v>582.81070831118348</c:v>
                </c:pt>
                <c:pt idx="83">
                  <c:v>582.81070831118348</c:v>
                </c:pt>
                <c:pt idx="84">
                  <c:v>582.81070831118348</c:v>
                </c:pt>
                <c:pt idx="85">
                  <c:v>582.81070831118348</c:v>
                </c:pt>
                <c:pt idx="86">
                  <c:v>582.81070831118348</c:v>
                </c:pt>
                <c:pt idx="87">
                  <c:v>582.81070831118348</c:v>
                </c:pt>
                <c:pt idx="88">
                  <c:v>582.81070831118348</c:v>
                </c:pt>
                <c:pt idx="89">
                  <c:v>582.81070831118348</c:v>
                </c:pt>
                <c:pt idx="90">
                  <c:v>582.81070831118348</c:v>
                </c:pt>
                <c:pt idx="91">
                  <c:v>582.81070831118348</c:v>
                </c:pt>
                <c:pt idx="92">
                  <c:v>582.81070831118348</c:v>
                </c:pt>
                <c:pt idx="93">
                  <c:v>582.81070831118348</c:v>
                </c:pt>
                <c:pt idx="94">
                  <c:v>582.81070831118348</c:v>
                </c:pt>
                <c:pt idx="95">
                  <c:v>582.81070831118348</c:v>
                </c:pt>
                <c:pt idx="96">
                  <c:v>582.81070831118348</c:v>
                </c:pt>
                <c:pt idx="97">
                  <c:v>582.81070831118348</c:v>
                </c:pt>
                <c:pt idx="98">
                  <c:v>582.81070831118348</c:v>
                </c:pt>
                <c:pt idx="99">
                  <c:v>582.81070831118348</c:v>
                </c:pt>
                <c:pt idx="100">
                  <c:v>582.81070831118348</c:v>
                </c:pt>
                <c:pt idx="101">
                  <c:v>582.81070831118348</c:v>
                </c:pt>
                <c:pt idx="102">
                  <c:v>582.81070831118348</c:v>
                </c:pt>
                <c:pt idx="103">
                  <c:v>582.81070831118348</c:v>
                </c:pt>
                <c:pt idx="104">
                  <c:v>582.81070831118348</c:v>
                </c:pt>
                <c:pt idx="105">
                  <c:v>582.81070831118348</c:v>
                </c:pt>
                <c:pt idx="106">
                  <c:v>582.81070831118348</c:v>
                </c:pt>
                <c:pt idx="107">
                  <c:v>582.81070831118348</c:v>
                </c:pt>
                <c:pt idx="108">
                  <c:v>582.81070831118348</c:v>
                </c:pt>
                <c:pt idx="109">
                  <c:v>582.81070831118348</c:v>
                </c:pt>
                <c:pt idx="110">
                  <c:v>582.81070831118348</c:v>
                </c:pt>
                <c:pt idx="111">
                  <c:v>582.81070831118348</c:v>
                </c:pt>
                <c:pt idx="112">
                  <c:v>582.81070831118348</c:v>
                </c:pt>
                <c:pt idx="113">
                  <c:v>582.81070831118348</c:v>
                </c:pt>
                <c:pt idx="114">
                  <c:v>582.81070831118348</c:v>
                </c:pt>
                <c:pt idx="115">
                  <c:v>582.81070831118348</c:v>
                </c:pt>
                <c:pt idx="116">
                  <c:v>582.81070831118348</c:v>
                </c:pt>
                <c:pt idx="117">
                  <c:v>582.81070831118348</c:v>
                </c:pt>
                <c:pt idx="118">
                  <c:v>582.81070831118348</c:v>
                </c:pt>
                <c:pt idx="119">
                  <c:v>582.81070831118348</c:v>
                </c:pt>
                <c:pt idx="120">
                  <c:v>582.81070831118348</c:v>
                </c:pt>
                <c:pt idx="121">
                  <c:v>582.81070831118348</c:v>
                </c:pt>
                <c:pt idx="122">
                  <c:v>582.81070831118348</c:v>
                </c:pt>
                <c:pt idx="123">
                  <c:v>582.81070831118348</c:v>
                </c:pt>
                <c:pt idx="124">
                  <c:v>582.81070831118348</c:v>
                </c:pt>
                <c:pt idx="125">
                  <c:v>582.81070831118348</c:v>
                </c:pt>
                <c:pt idx="126">
                  <c:v>582.81070831118348</c:v>
                </c:pt>
                <c:pt idx="127">
                  <c:v>582.81070831118348</c:v>
                </c:pt>
                <c:pt idx="128">
                  <c:v>582.81070831118348</c:v>
                </c:pt>
                <c:pt idx="129">
                  <c:v>582.81070831118348</c:v>
                </c:pt>
                <c:pt idx="130">
                  <c:v>582.81070831118348</c:v>
                </c:pt>
                <c:pt idx="131">
                  <c:v>582.81070831118348</c:v>
                </c:pt>
                <c:pt idx="132">
                  <c:v>582.81070831118348</c:v>
                </c:pt>
                <c:pt idx="133">
                  <c:v>582.81070831118348</c:v>
                </c:pt>
                <c:pt idx="134">
                  <c:v>582.81070831118348</c:v>
                </c:pt>
                <c:pt idx="135">
                  <c:v>582.81070831118348</c:v>
                </c:pt>
                <c:pt idx="136">
                  <c:v>582.81070831118348</c:v>
                </c:pt>
                <c:pt idx="137">
                  <c:v>582.81070831118348</c:v>
                </c:pt>
                <c:pt idx="138">
                  <c:v>582.81070831118348</c:v>
                </c:pt>
                <c:pt idx="139">
                  <c:v>582.81070831118348</c:v>
                </c:pt>
                <c:pt idx="140">
                  <c:v>582.81070831118348</c:v>
                </c:pt>
                <c:pt idx="141">
                  <c:v>582.81070831118348</c:v>
                </c:pt>
                <c:pt idx="142">
                  <c:v>582.81070831118348</c:v>
                </c:pt>
                <c:pt idx="143">
                  <c:v>582.81070831118348</c:v>
                </c:pt>
                <c:pt idx="144">
                  <c:v>582.81070831118348</c:v>
                </c:pt>
                <c:pt idx="145">
                  <c:v>582.81070831118348</c:v>
                </c:pt>
                <c:pt idx="146">
                  <c:v>582.81070831118348</c:v>
                </c:pt>
                <c:pt idx="147">
                  <c:v>582.81070831118348</c:v>
                </c:pt>
                <c:pt idx="148">
                  <c:v>582.81070831118348</c:v>
                </c:pt>
                <c:pt idx="149">
                  <c:v>582.81070831118348</c:v>
                </c:pt>
                <c:pt idx="150">
                  <c:v>582.81070831118348</c:v>
                </c:pt>
                <c:pt idx="151">
                  <c:v>582.81070831118348</c:v>
                </c:pt>
                <c:pt idx="152">
                  <c:v>582.81070831118348</c:v>
                </c:pt>
                <c:pt idx="153">
                  <c:v>582.81070831118348</c:v>
                </c:pt>
                <c:pt idx="154">
                  <c:v>582.81070831118348</c:v>
                </c:pt>
                <c:pt idx="155">
                  <c:v>582.81070831118348</c:v>
                </c:pt>
                <c:pt idx="156">
                  <c:v>582.81070831118348</c:v>
                </c:pt>
                <c:pt idx="157">
                  <c:v>582.81070831118348</c:v>
                </c:pt>
                <c:pt idx="158">
                  <c:v>582.81070831118348</c:v>
                </c:pt>
                <c:pt idx="159">
                  <c:v>582.81070831118348</c:v>
                </c:pt>
                <c:pt idx="160">
                  <c:v>582.81070831118348</c:v>
                </c:pt>
                <c:pt idx="161">
                  <c:v>582.81070831118348</c:v>
                </c:pt>
                <c:pt idx="162">
                  <c:v>582.81070831118348</c:v>
                </c:pt>
                <c:pt idx="163">
                  <c:v>582.81070831118348</c:v>
                </c:pt>
                <c:pt idx="164">
                  <c:v>582.81070831118348</c:v>
                </c:pt>
                <c:pt idx="165">
                  <c:v>582.81070831118348</c:v>
                </c:pt>
                <c:pt idx="166">
                  <c:v>582.81070831118348</c:v>
                </c:pt>
                <c:pt idx="167">
                  <c:v>582.81070831118348</c:v>
                </c:pt>
                <c:pt idx="168">
                  <c:v>582.81070831118348</c:v>
                </c:pt>
                <c:pt idx="169">
                  <c:v>582.81070831118348</c:v>
                </c:pt>
                <c:pt idx="170">
                  <c:v>582.81070831118348</c:v>
                </c:pt>
                <c:pt idx="171">
                  <c:v>582.81070831118348</c:v>
                </c:pt>
                <c:pt idx="172">
                  <c:v>582.81070831118348</c:v>
                </c:pt>
                <c:pt idx="173">
                  <c:v>582.81070831118348</c:v>
                </c:pt>
                <c:pt idx="174">
                  <c:v>582.81070831118348</c:v>
                </c:pt>
                <c:pt idx="175">
                  <c:v>582.81070831118348</c:v>
                </c:pt>
                <c:pt idx="176">
                  <c:v>582.81070831118348</c:v>
                </c:pt>
                <c:pt idx="177">
                  <c:v>582.81070831118348</c:v>
                </c:pt>
                <c:pt idx="178">
                  <c:v>582.81070831118348</c:v>
                </c:pt>
                <c:pt idx="179">
                  <c:v>582.81070831118348</c:v>
                </c:pt>
                <c:pt idx="180">
                  <c:v>582.81070831118348</c:v>
                </c:pt>
                <c:pt idx="181">
                  <c:v>582.81070831118348</c:v>
                </c:pt>
                <c:pt idx="182">
                  <c:v>582.81070831118348</c:v>
                </c:pt>
                <c:pt idx="183">
                  <c:v>582.81070831118348</c:v>
                </c:pt>
                <c:pt idx="184">
                  <c:v>582.81070831118348</c:v>
                </c:pt>
                <c:pt idx="185">
                  <c:v>582.81070831118348</c:v>
                </c:pt>
                <c:pt idx="186">
                  <c:v>582.81070831118348</c:v>
                </c:pt>
                <c:pt idx="187">
                  <c:v>582.81070831118348</c:v>
                </c:pt>
                <c:pt idx="188">
                  <c:v>582.81070831118348</c:v>
                </c:pt>
                <c:pt idx="189">
                  <c:v>582.81070831118348</c:v>
                </c:pt>
                <c:pt idx="190">
                  <c:v>582.81070831118348</c:v>
                </c:pt>
                <c:pt idx="191">
                  <c:v>582.81070831118348</c:v>
                </c:pt>
                <c:pt idx="192">
                  <c:v>582.81070831118348</c:v>
                </c:pt>
                <c:pt idx="193">
                  <c:v>582.81070831118348</c:v>
                </c:pt>
                <c:pt idx="194">
                  <c:v>582.81070831118348</c:v>
                </c:pt>
                <c:pt idx="195">
                  <c:v>582.81070831118348</c:v>
                </c:pt>
                <c:pt idx="196">
                  <c:v>582.81070831118348</c:v>
                </c:pt>
                <c:pt idx="197">
                  <c:v>582.81070831118348</c:v>
                </c:pt>
                <c:pt idx="198">
                  <c:v>582.81070831118348</c:v>
                </c:pt>
                <c:pt idx="199">
                  <c:v>582.81070831118348</c:v>
                </c:pt>
                <c:pt idx="200">
                  <c:v>582.81070831118348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1.9458220534450461</c:v>
                </c:pt>
                <c:pt idx="2">
                  <c:v>2.6052688850930608</c:v>
                </c:pt>
                <c:pt idx="3">
                  <c:v>3.4891415557971848</c:v>
                </c:pt>
                <c:pt idx="4">
                  <c:v>4.6741181602470476</c:v>
                </c:pt>
                <c:pt idx="5">
                  <c:v>6.2631708985707881</c:v>
                </c:pt>
                <c:pt idx="6">
                  <c:v>8.3946132843882353</c:v>
                </c:pt>
                <c:pt idx="7">
                  <c:v>11.254269980071941</c:v>
                </c:pt>
                <c:pt idx="8">
                  <c:v>15.091850089369855</c:v>
                </c:pt>
                <c:pt idx="9">
                  <c:v>20.242979807927657</c:v>
                </c:pt>
                <c:pt idx="10">
                  <c:v>27.158855862714148</c:v>
                </c:pt>
                <c:pt idx="11">
                  <c:v>36.446162634511545</c:v>
                </c:pt>
                <c:pt idx="12">
                  <c:v>48.920814605502024</c:v>
                </c:pt>
                <c:pt idx="13">
                  <c:v>65.680324592462512</c:v>
                </c:pt>
                <c:pt idx="14">
                  <c:v>88.201268835208964</c:v>
                </c:pt>
                <c:pt idx="15">
                  <c:v>118.47057319245452</c:v>
                </c:pt>
                <c:pt idx="16">
                  <c:v>159.16238397770385</c:v>
                </c:pt>
                <c:pt idx="17">
                  <c:v>213.87638708828857</c:v>
                </c:pt>
                <c:pt idx="18">
                  <c:v>249.45083193351374</c:v>
                </c:pt>
                <c:pt idx="19">
                  <c:v>191.70629212824224</c:v>
                </c:pt>
                <c:pt idx="20">
                  <c:v>224.21412124760153</c:v>
                </c:pt>
                <c:pt idx="21">
                  <c:v>256.61377815964903</c:v>
                </c:pt>
                <c:pt idx="22">
                  <c:v>288.92084404193173</c:v>
                </c:pt>
                <c:pt idx="23">
                  <c:v>321.14712390710332</c:v>
                </c:pt>
                <c:pt idx="24">
                  <c:v>353.30185772822512</c:v>
                </c:pt>
                <c:pt idx="25">
                  <c:v>326.3543163378294</c:v>
                </c:pt>
                <c:pt idx="26">
                  <c:v>360.75594324759282</c:v>
                </c:pt>
                <c:pt idx="27">
                  <c:v>395.08583028956542</c:v>
                </c:pt>
                <c:pt idx="28">
                  <c:v>429.35107936368263</c:v>
                </c:pt>
                <c:pt idx="29">
                  <c:v>463.55756684766487</c:v>
                </c:pt>
                <c:pt idx="30">
                  <c:v>497.71023178052701</c:v>
                </c:pt>
                <c:pt idx="31">
                  <c:v>435.68351151059488</c:v>
                </c:pt>
                <c:pt idx="32">
                  <c:v>469.69197316489391</c:v>
                </c:pt>
                <c:pt idx="33">
                  <c:v>503.64799795470162</c:v>
                </c:pt>
                <c:pt idx="34">
                  <c:v>537.55561252775112</c:v>
                </c:pt>
                <c:pt idx="35">
                  <c:v>571.41829472308314</c:v>
                </c:pt>
                <c:pt idx="36">
                  <c:v>605.23907710876153</c:v>
                </c:pt>
                <c:pt idx="37">
                  <c:v>537.00784127826716</c:v>
                </c:pt>
                <c:pt idx="38">
                  <c:v>570.20016327230462</c:v>
                </c:pt>
                <c:pt idx="39">
                  <c:v>603.35213343256157</c:v>
                </c:pt>
                <c:pt idx="40">
                  <c:v>636.46627691773801</c:v>
                </c:pt>
                <c:pt idx="41">
                  <c:v>669.54483509592194</c:v>
                </c:pt>
                <c:pt idx="42">
                  <c:v>702.58981015801282</c:v>
                </c:pt>
                <c:pt idx="43">
                  <c:v>627.08345171628036</c:v>
                </c:pt>
                <c:pt idx="44">
                  <c:v>659.00252576221885</c:v>
                </c:pt>
                <c:pt idx="45">
                  <c:v>690.88977874756938</c:v>
                </c:pt>
                <c:pt idx="46">
                  <c:v>722.74688334869063</c:v>
                </c:pt>
                <c:pt idx="47">
                  <c:v>754.57535300520556</c:v>
                </c:pt>
                <c:pt idx="48">
                  <c:v>786.3765632872063</c:v>
                </c:pt>
                <c:pt idx="49">
                  <c:v>697.55164646215064</c:v>
                </c:pt>
                <c:pt idx="50">
                  <c:v>727.76378638109611</c:v>
                </c:pt>
                <c:pt idx="51">
                  <c:v>757.95036730683603</c:v>
                </c:pt>
                <c:pt idx="52">
                  <c:v>788.11254862353928</c:v>
                </c:pt>
                <c:pt idx="53">
                  <c:v>818.25139388662035</c:v>
                </c:pt>
                <c:pt idx="54">
                  <c:v>848.36788205009941</c:v>
                </c:pt>
                <c:pt idx="55">
                  <c:v>1.2574858937744013</c:v>
                </c:pt>
                <c:pt idx="56">
                  <c:v>1.2574858937744013</c:v>
                </c:pt>
                <c:pt idx="57">
                  <c:v>1.2574858937744013</c:v>
                </c:pt>
                <c:pt idx="58">
                  <c:v>1.2574858937744013</c:v>
                </c:pt>
                <c:pt idx="59">
                  <c:v>1.2574858937744013</c:v>
                </c:pt>
                <c:pt idx="60">
                  <c:v>1.2574858937744013</c:v>
                </c:pt>
                <c:pt idx="61">
                  <c:v>1.2574858937744013</c:v>
                </c:pt>
                <c:pt idx="62">
                  <c:v>1.2574858937744013</c:v>
                </c:pt>
                <c:pt idx="63">
                  <c:v>1.2574858937744013</c:v>
                </c:pt>
                <c:pt idx="64">
                  <c:v>1.2574858937744013</c:v>
                </c:pt>
                <c:pt idx="65">
                  <c:v>1.2574858937744013</c:v>
                </c:pt>
                <c:pt idx="66">
                  <c:v>1.2574858937744013</c:v>
                </c:pt>
                <c:pt idx="67">
                  <c:v>1.2574858937744013</c:v>
                </c:pt>
                <c:pt idx="68">
                  <c:v>1.2574858937744013</c:v>
                </c:pt>
                <c:pt idx="69">
                  <c:v>1.2574858937744013</c:v>
                </c:pt>
                <c:pt idx="70">
                  <c:v>1.2574858937744013</c:v>
                </c:pt>
                <c:pt idx="71">
                  <c:v>1.2574858937744013</c:v>
                </c:pt>
                <c:pt idx="72">
                  <c:v>1.2574858937744013</c:v>
                </c:pt>
                <c:pt idx="73">
                  <c:v>1.2574858937744013</c:v>
                </c:pt>
                <c:pt idx="74">
                  <c:v>1.2574858937744013</c:v>
                </c:pt>
                <c:pt idx="75">
                  <c:v>1.2574858937744013</c:v>
                </c:pt>
                <c:pt idx="76">
                  <c:v>1.2574858937744013</c:v>
                </c:pt>
                <c:pt idx="77">
                  <c:v>1.2574858937744013</c:v>
                </c:pt>
                <c:pt idx="78">
                  <c:v>1.2574858937744013</c:v>
                </c:pt>
                <c:pt idx="79">
                  <c:v>1.2574858937744013</c:v>
                </c:pt>
                <c:pt idx="80">
                  <c:v>1.2574858937744013</c:v>
                </c:pt>
                <c:pt idx="81">
                  <c:v>1.2574858937744013</c:v>
                </c:pt>
                <c:pt idx="82">
                  <c:v>1.2574858937744013</c:v>
                </c:pt>
                <c:pt idx="83">
                  <c:v>1.2574858937744013</c:v>
                </c:pt>
                <c:pt idx="84">
                  <c:v>1.2574858937744013</c:v>
                </c:pt>
                <c:pt idx="85">
                  <c:v>1.2574858937744013</c:v>
                </c:pt>
                <c:pt idx="86">
                  <c:v>1.2574858937744013</c:v>
                </c:pt>
                <c:pt idx="87">
                  <c:v>1.2574858937744013</c:v>
                </c:pt>
                <c:pt idx="88">
                  <c:v>1.2574858937744013</c:v>
                </c:pt>
                <c:pt idx="89">
                  <c:v>1.2574858937744013</c:v>
                </c:pt>
                <c:pt idx="90">
                  <c:v>1.2574858937744013</c:v>
                </c:pt>
                <c:pt idx="91">
                  <c:v>1.2574858937744013</c:v>
                </c:pt>
                <c:pt idx="92">
                  <c:v>1.2574858937744013</c:v>
                </c:pt>
                <c:pt idx="93">
                  <c:v>1.2574858937744013</c:v>
                </c:pt>
                <c:pt idx="94">
                  <c:v>1.2574858937744013</c:v>
                </c:pt>
                <c:pt idx="95">
                  <c:v>1.2574858937744013</c:v>
                </c:pt>
                <c:pt idx="96">
                  <c:v>1.2574858937744013</c:v>
                </c:pt>
                <c:pt idx="97">
                  <c:v>1.2574858937744013</c:v>
                </c:pt>
                <c:pt idx="98">
                  <c:v>1.2574858937744013</c:v>
                </c:pt>
                <c:pt idx="99">
                  <c:v>1.2574858937744013</c:v>
                </c:pt>
                <c:pt idx="100">
                  <c:v>1.2574858937744013</c:v>
                </c:pt>
                <c:pt idx="101">
                  <c:v>1.2574858937744013</c:v>
                </c:pt>
                <c:pt idx="102">
                  <c:v>1.2574858937744013</c:v>
                </c:pt>
                <c:pt idx="103">
                  <c:v>1.2574858937744013</c:v>
                </c:pt>
                <c:pt idx="104">
                  <c:v>1.2574858937744013</c:v>
                </c:pt>
                <c:pt idx="105">
                  <c:v>1.2574858937744013</c:v>
                </c:pt>
                <c:pt idx="106">
                  <c:v>1.2574858937744013</c:v>
                </c:pt>
                <c:pt idx="107">
                  <c:v>1.2574858937744013</c:v>
                </c:pt>
                <c:pt idx="108">
                  <c:v>1.2574858937744013</c:v>
                </c:pt>
                <c:pt idx="109">
                  <c:v>1.2574858937744013</c:v>
                </c:pt>
                <c:pt idx="110">
                  <c:v>1.2574858937744013</c:v>
                </c:pt>
                <c:pt idx="111">
                  <c:v>1.2574858937744013</c:v>
                </c:pt>
                <c:pt idx="112">
                  <c:v>1.2574858937744013</c:v>
                </c:pt>
                <c:pt idx="113">
                  <c:v>1.2574858937744013</c:v>
                </c:pt>
                <c:pt idx="114">
                  <c:v>1.2574858937744013</c:v>
                </c:pt>
                <c:pt idx="115">
                  <c:v>1.2574858937744013</c:v>
                </c:pt>
                <c:pt idx="116">
                  <c:v>1.2574858937744013</c:v>
                </c:pt>
                <c:pt idx="117">
                  <c:v>1.2574858937744013</c:v>
                </c:pt>
                <c:pt idx="118">
                  <c:v>1.2574858937744013</c:v>
                </c:pt>
                <c:pt idx="119">
                  <c:v>1.2574858937744013</c:v>
                </c:pt>
                <c:pt idx="120">
                  <c:v>1.2574858937744013</c:v>
                </c:pt>
                <c:pt idx="121">
                  <c:v>1.2574858937744013</c:v>
                </c:pt>
                <c:pt idx="122">
                  <c:v>1.2574858937744013</c:v>
                </c:pt>
                <c:pt idx="123">
                  <c:v>1.2574858937744013</c:v>
                </c:pt>
                <c:pt idx="124">
                  <c:v>1.2574858937744013</c:v>
                </c:pt>
                <c:pt idx="125">
                  <c:v>1.2574858937744013</c:v>
                </c:pt>
                <c:pt idx="126">
                  <c:v>1.2574858937744013</c:v>
                </c:pt>
                <c:pt idx="127">
                  <c:v>1.2574858937744013</c:v>
                </c:pt>
                <c:pt idx="128">
                  <c:v>1.2574858937744013</c:v>
                </c:pt>
                <c:pt idx="129">
                  <c:v>1.2574858937744013</c:v>
                </c:pt>
                <c:pt idx="130">
                  <c:v>1.2574858937744013</c:v>
                </c:pt>
                <c:pt idx="131">
                  <c:v>1.2574858937744013</c:v>
                </c:pt>
                <c:pt idx="132">
                  <c:v>1.2574858937744013</c:v>
                </c:pt>
                <c:pt idx="133">
                  <c:v>1.2574858937744013</c:v>
                </c:pt>
                <c:pt idx="134">
                  <c:v>1.2574858937744013</c:v>
                </c:pt>
                <c:pt idx="135">
                  <c:v>1.2574858937744013</c:v>
                </c:pt>
                <c:pt idx="136">
                  <c:v>1.2574858937744013</c:v>
                </c:pt>
                <c:pt idx="137">
                  <c:v>1.2574858937744013</c:v>
                </c:pt>
                <c:pt idx="138">
                  <c:v>1.2574858937744013</c:v>
                </c:pt>
                <c:pt idx="139">
                  <c:v>1.2574858937744013</c:v>
                </c:pt>
                <c:pt idx="140">
                  <c:v>1.2574858937744013</c:v>
                </c:pt>
                <c:pt idx="141">
                  <c:v>1.2574858937744013</c:v>
                </c:pt>
                <c:pt idx="142">
                  <c:v>1.2574858937744013</c:v>
                </c:pt>
                <c:pt idx="143">
                  <c:v>1.2574858937744013</c:v>
                </c:pt>
                <c:pt idx="144">
                  <c:v>1.2574858937744013</c:v>
                </c:pt>
                <c:pt idx="145">
                  <c:v>1.2574858937744013</c:v>
                </c:pt>
                <c:pt idx="146">
                  <c:v>1.2574858937744013</c:v>
                </c:pt>
                <c:pt idx="147">
                  <c:v>1.2574858937744013</c:v>
                </c:pt>
                <c:pt idx="148">
                  <c:v>1.2574858937744013</c:v>
                </c:pt>
                <c:pt idx="149">
                  <c:v>1.2574858937744013</c:v>
                </c:pt>
                <c:pt idx="150">
                  <c:v>1.2574858937744013</c:v>
                </c:pt>
                <c:pt idx="151">
                  <c:v>1.2574858937744013</c:v>
                </c:pt>
                <c:pt idx="152">
                  <c:v>1.2574858937744013</c:v>
                </c:pt>
                <c:pt idx="153">
                  <c:v>1.2574858937744013</c:v>
                </c:pt>
                <c:pt idx="154">
                  <c:v>1.2574858937744013</c:v>
                </c:pt>
                <c:pt idx="155">
                  <c:v>1.2574858937744013</c:v>
                </c:pt>
                <c:pt idx="156">
                  <c:v>1.2574858937744013</c:v>
                </c:pt>
                <c:pt idx="157">
                  <c:v>1.2574858937744013</c:v>
                </c:pt>
                <c:pt idx="158">
                  <c:v>1.2574858937744013</c:v>
                </c:pt>
                <c:pt idx="159">
                  <c:v>1.2574858937744013</c:v>
                </c:pt>
                <c:pt idx="160">
                  <c:v>1.2574858937744013</c:v>
                </c:pt>
                <c:pt idx="161">
                  <c:v>1.2574858937744013</c:v>
                </c:pt>
                <c:pt idx="162">
                  <c:v>1.2574858937744013</c:v>
                </c:pt>
                <c:pt idx="163">
                  <c:v>1.2574858937744013</c:v>
                </c:pt>
                <c:pt idx="164">
                  <c:v>1.2574858937744013</c:v>
                </c:pt>
                <c:pt idx="165">
                  <c:v>1.2574858937744013</c:v>
                </c:pt>
                <c:pt idx="166">
                  <c:v>1.2574858937744013</c:v>
                </c:pt>
                <c:pt idx="167">
                  <c:v>1.2574858937744013</c:v>
                </c:pt>
                <c:pt idx="168">
                  <c:v>1.2574858937744013</c:v>
                </c:pt>
                <c:pt idx="169">
                  <c:v>1.2574858937744013</c:v>
                </c:pt>
                <c:pt idx="170">
                  <c:v>1.2574858937744013</c:v>
                </c:pt>
                <c:pt idx="171">
                  <c:v>1.2574858937744013</c:v>
                </c:pt>
                <c:pt idx="172">
                  <c:v>1.2574858937744013</c:v>
                </c:pt>
                <c:pt idx="173">
                  <c:v>1.2574858937744013</c:v>
                </c:pt>
                <c:pt idx="174">
                  <c:v>1.2574858937744013</c:v>
                </c:pt>
                <c:pt idx="175">
                  <c:v>1.2574858937744013</c:v>
                </c:pt>
                <c:pt idx="176">
                  <c:v>1.2574858937744013</c:v>
                </c:pt>
                <c:pt idx="177">
                  <c:v>1.2574858937744013</c:v>
                </c:pt>
                <c:pt idx="178">
                  <c:v>1.2574858937744013</c:v>
                </c:pt>
                <c:pt idx="179">
                  <c:v>1.2574858937744013</c:v>
                </c:pt>
                <c:pt idx="180">
                  <c:v>1.2574858937744013</c:v>
                </c:pt>
                <c:pt idx="181">
                  <c:v>1.2574858937744013</c:v>
                </c:pt>
                <c:pt idx="182">
                  <c:v>1.2574858937744013</c:v>
                </c:pt>
                <c:pt idx="183">
                  <c:v>1.2574858937744013</c:v>
                </c:pt>
                <c:pt idx="184">
                  <c:v>1.2574858937744013</c:v>
                </c:pt>
                <c:pt idx="185">
                  <c:v>1.2574858937744013</c:v>
                </c:pt>
                <c:pt idx="186">
                  <c:v>1.2574858937744013</c:v>
                </c:pt>
                <c:pt idx="187">
                  <c:v>1.2574858937744013</c:v>
                </c:pt>
                <c:pt idx="188">
                  <c:v>1.2574858937744013</c:v>
                </c:pt>
                <c:pt idx="189">
                  <c:v>1.2574858937744013</c:v>
                </c:pt>
                <c:pt idx="190">
                  <c:v>1.2574858937744013</c:v>
                </c:pt>
                <c:pt idx="191">
                  <c:v>1.2574858937744013</c:v>
                </c:pt>
                <c:pt idx="192">
                  <c:v>1.2574858937744013</c:v>
                </c:pt>
                <c:pt idx="193">
                  <c:v>1.2574858937744013</c:v>
                </c:pt>
                <c:pt idx="194">
                  <c:v>1.2574858937744013</c:v>
                </c:pt>
                <c:pt idx="195">
                  <c:v>1.2574858937744013</c:v>
                </c:pt>
                <c:pt idx="196">
                  <c:v>1.2574858937744013</c:v>
                </c:pt>
                <c:pt idx="197">
                  <c:v>1.2574858937744013</c:v>
                </c:pt>
                <c:pt idx="198">
                  <c:v>1.2574858937744013</c:v>
                </c:pt>
                <c:pt idx="199">
                  <c:v>1.2574858937744013</c:v>
                </c:pt>
                <c:pt idx="200">
                  <c:v>1.2574858937744013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1.8655160624789655</c:v>
                </c:pt>
                <c:pt idx="2">
                  <c:v>2.3400079018677378</c:v>
                </c:pt>
                <c:pt idx="3">
                  <c:v>2.9356638792402276</c:v>
                </c:pt>
                <c:pt idx="4">
                  <c:v>3.6835391888056521</c:v>
                </c:pt>
                <c:pt idx="5">
                  <c:v>40.806334401268529</c:v>
                </c:pt>
                <c:pt idx="6">
                  <c:v>76.796784957185864</c:v>
                </c:pt>
                <c:pt idx="7">
                  <c:v>112.34277891272471</c:v>
                </c:pt>
                <c:pt idx="8">
                  <c:v>147.60928450895565</c:v>
                </c:pt>
                <c:pt idx="9">
                  <c:v>182.67330314587085</c:v>
                </c:pt>
                <c:pt idx="10">
                  <c:v>220.74591090639532</c:v>
                </c:pt>
                <c:pt idx="11">
                  <c:v>258.66741145937146</c:v>
                </c:pt>
                <c:pt idx="12">
                  <c:v>296.46309592590688</c:v>
                </c:pt>
                <c:pt idx="13">
                  <c:v>334.1512582946221</c:v>
                </c:pt>
                <c:pt idx="14">
                  <c:v>371.74572167824164</c:v>
                </c:pt>
                <c:pt idx="15">
                  <c:v>373.31029224620079</c:v>
                </c:pt>
                <c:pt idx="16">
                  <c:v>374.87471987861073</c:v>
                </c:pt>
                <c:pt idx="17">
                  <c:v>376.43900525724325</c:v>
                </c:pt>
                <c:pt idx="18">
                  <c:v>378.00314905773104</c:v>
                </c:pt>
                <c:pt idx="19">
                  <c:v>379.5671519496496</c:v>
                </c:pt>
                <c:pt idx="20">
                  <c:v>383.47654706920798</c:v>
                </c:pt>
                <c:pt idx="21">
                  <c:v>387.38507585051519</c:v>
                </c:pt>
                <c:pt idx="22">
                  <c:v>391.29274827945255</c:v>
                </c:pt>
                <c:pt idx="23">
                  <c:v>395.19957412592345</c:v>
                </c:pt>
                <c:pt idx="24">
                  <c:v>399.10556295066203</c:v>
                </c:pt>
                <c:pt idx="25">
                  <c:v>2.7316976789924749E-12</c:v>
                </c:pt>
                <c:pt idx="26">
                  <c:v>2.7316976789924749E-12</c:v>
                </c:pt>
                <c:pt idx="27">
                  <c:v>2.7316976789924749E-12</c:v>
                </c:pt>
                <c:pt idx="28">
                  <c:v>2.7316976789924749E-12</c:v>
                </c:pt>
                <c:pt idx="29">
                  <c:v>2.7316976789924749E-12</c:v>
                </c:pt>
                <c:pt idx="30">
                  <c:v>2.7316976789924749E-12</c:v>
                </c:pt>
                <c:pt idx="31">
                  <c:v>2.7316976789924749E-12</c:v>
                </c:pt>
                <c:pt idx="32">
                  <c:v>2.7316976789924749E-12</c:v>
                </c:pt>
                <c:pt idx="33">
                  <c:v>2.7316976789924749E-12</c:v>
                </c:pt>
                <c:pt idx="34">
                  <c:v>2.7316976789924749E-12</c:v>
                </c:pt>
                <c:pt idx="35">
                  <c:v>2.7316976789924749E-12</c:v>
                </c:pt>
                <c:pt idx="36">
                  <c:v>2.7316976789924749E-12</c:v>
                </c:pt>
                <c:pt idx="37">
                  <c:v>2.7316976789924749E-12</c:v>
                </c:pt>
                <c:pt idx="38">
                  <c:v>2.7316976789924749E-12</c:v>
                </c:pt>
                <c:pt idx="39">
                  <c:v>2.7316976789924749E-12</c:v>
                </c:pt>
                <c:pt idx="40">
                  <c:v>2.7316976789924749E-12</c:v>
                </c:pt>
                <c:pt idx="41">
                  <c:v>2.7316976789924749E-12</c:v>
                </c:pt>
                <c:pt idx="42">
                  <c:v>2.7316976789924749E-12</c:v>
                </c:pt>
                <c:pt idx="43">
                  <c:v>2.7316976789924749E-12</c:v>
                </c:pt>
                <c:pt idx="44">
                  <c:v>2.7316976789924749E-12</c:v>
                </c:pt>
                <c:pt idx="45">
                  <c:v>2.7316976789924749E-12</c:v>
                </c:pt>
                <c:pt idx="46">
                  <c:v>2.7316976789924749E-12</c:v>
                </c:pt>
                <c:pt idx="47">
                  <c:v>2.7316976789924749E-12</c:v>
                </c:pt>
                <c:pt idx="48">
                  <c:v>2.7316976789924749E-12</c:v>
                </c:pt>
                <c:pt idx="49">
                  <c:v>2.7316976789924749E-12</c:v>
                </c:pt>
                <c:pt idx="50">
                  <c:v>2.7316976789924749E-12</c:v>
                </c:pt>
                <c:pt idx="51">
                  <c:v>2.7316976789924749E-12</c:v>
                </c:pt>
                <c:pt idx="52">
                  <c:v>2.7316976789924749E-12</c:v>
                </c:pt>
                <c:pt idx="53">
                  <c:v>2.7316976789924749E-12</c:v>
                </c:pt>
                <c:pt idx="54">
                  <c:v>2.7316976789924749E-12</c:v>
                </c:pt>
                <c:pt idx="55">
                  <c:v>2.7316976789924749E-12</c:v>
                </c:pt>
                <c:pt idx="56">
                  <c:v>2.7316976789924749E-12</c:v>
                </c:pt>
                <c:pt idx="57">
                  <c:v>2.7316976789924749E-12</c:v>
                </c:pt>
                <c:pt idx="58">
                  <c:v>2.7316976789924749E-12</c:v>
                </c:pt>
                <c:pt idx="59">
                  <c:v>2.7316976789924749E-12</c:v>
                </c:pt>
                <c:pt idx="60">
                  <c:v>2.7316976789924749E-12</c:v>
                </c:pt>
                <c:pt idx="61">
                  <c:v>2.7316976789924749E-12</c:v>
                </c:pt>
                <c:pt idx="62">
                  <c:v>2.7316976789924749E-12</c:v>
                </c:pt>
                <c:pt idx="63">
                  <c:v>2.7316976789924749E-12</c:v>
                </c:pt>
                <c:pt idx="64">
                  <c:v>2.7316976789924749E-12</c:v>
                </c:pt>
                <c:pt idx="65">
                  <c:v>2.7316976789924749E-12</c:v>
                </c:pt>
                <c:pt idx="66">
                  <c:v>2.7316976789924749E-12</c:v>
                </c:pt>
                <c:pt idx="67">
                  <c:v>2.7316976789924749E-12</c:v>
                </c:pt>
                <c:pt idx="68">
                  <c:v>2.7316976789924749E-12</c:v>
                </c:pt>
                <c:pt idx="69">
                  <c:v>2.7316976789924749E-12</c:v>
                </c:pt>
                <c:pt idx="70">
                  <c:v>2.7316976789924749E-12</c:v>
                </c:pt>
                <c:pt idx="71">
                  <c:v>2.7316976789924749E-12</c:v>
                </c:pt>
                <c:pt idx="72">
                  <c:v>2.7316976789924749E-12</c:v>
                </c:pt>
                <c:pt idx="73">
                  <c:v>2.7316976789924749E-12</c:v>
                </c:pt>
                <c:pt idx="74">
                  <c:v>2.7316976789924749E-12</c:v>
                </c:pt>
                <c:pt idx="75">
                  <c:v>2.7316976789924749E-12</c:v>
                </c:pt>
                <c:pt idx="76">
                  <c:v>2.7316976789924749E-12</c:v>
                </c:pt>
                <c:pt idx="77">
                  <c:v>2.7316976789924749E-12</c:v>
                </c:pt>
                <c:pt idx="78">
                  <c:v>2.7316976789924749E-12</c:v>
                </c:pt>
                <c:pt idx="79">
                  <c:v>2.7316976789924749E-12</c:v>
                </c:pt>
                <c:pt idx="80">
                  <c:v>2.7316976789924749E-12</c:v>
                </c:pt>
                <c:pt idx="81">
                  <c:v>2.7316976789924749E-12</c:v>
                </c:pt>
                <c:pt idx="82">
                  <c:v>2.7316976789924749E-12</c:v>
                </c:pt>
                <c:pt idx="83">
                  <c:v>2.7316976789924749E-12</c:v>
                </c:pt>
                <c:pt idx="84">
                  <c:v>2.7316976789924749E-12</c:v>
                </c:pt>
                <c:pt idx="85">
                  <c:v>2.7316976789924749E-12</c:v>
                </c:pt>
                <c:pt idx="86">
                  <c:v>2.7316976789924749E-12</c:v>
                </c:pt>
                <c:pt idx="87">
                  <c:v>2.7316976789924749E-12</c:v>
                </c:pt>
                <c:pt idx="88">
                  <c:v>2.7316976789924749E-12</c:v>
                </c:pt>
                <c:pt idx="89">
                  <c:v>2.7316976789924749E-12</c:v>
                </c:pt>
                <c:pt idx="90">
                  <c:v>2.7316976789924749E-12</c:v>
                </c:pt>
                <c:pt idx="91">
                  <c:v>2.7316976789924749E-12</c:v>
                </c:pt>
                <c:pt idx="92">
                  <c:v>2.7316976789924749E-12</c:v>
                </c:pt>
                <c:pt idx="93">
                  <c:v>2.7316976789924749E-12</c:v>
                </c:pt>
                <c:pt idx="94">
                  <c:v>2.7316976789924749E-12</c:v>
                </c:pt>
                <c:pt idx="95">
                  <c:v>2.7316976789924749E-12</c:v>
                </c:pt>
                <c:pt idx="96">
                  <c:v>2.7316976789924749E-12</c:v>
                </c:pt>
                <c:pt idx="97">
                  <c:v>2.7316976789924749E-12</c:v>
                </c:pt>
                <c:pt idx="98">
                  <c:v>2.7316976789924749E-12</c:v>
                </c:pt>
                <c:pt idx="99">
                  <c:v>2.7316976789924749E-12</c:v>
                </c:pt>
                <c:pt idx="100">
                  <c:v>2.7316976789924749E-12</c:v>
                </c:pt>
                <c:pt idx="101">
                  <c:v>2.7316976789924749E-12</c:v>
                </c:pt>
                <c:pt idx="102">
                  <c:v>2.7316976789924749E-12</c:v>
                </c:pt>
                <c:pt idx="103">
                  <c:v>2.7316976789924749E-12</c:v>
                </c:pt>
                <c:pt idx="104">
                  <c:v>2.7316976789924749E-12</c:v>
                </c:pt>
                <c:pt idx="105">
                  <c:v>2.7316976789924749E-12</c:v>
                </c:pt>
                <c:pt idx="106">
                  <c:v>2.7316976789924749E-12</c:v>
                </c:pt>
                <c:pt idx="107">
                  <c:v>2.7316976789924749E-12</c:v>
                </c:pt>
                <c:pt idx="108">
                  <c:v>2.7316976789924749E-12</c:v>
                </c:pt>
                <c:pt idx="109">
                  <c:v>2.7316976789924749E-12</c:v>
                </c:pt>
                <c:pt idx="110">
                  <c:v>2.7316976789924749E-12</c:v>
                </c:pt>
                <c:pt idx="111">
                  <c:v>2.7316976789924749E-12</c:v>
                </c:pt>
                <c:pt idx="112">
                  <c:v>2.7316976789924749E-12</c:v>
                </c:pt>
                <c:pt idx="113">
                  <c:v>2.7316976789924749E-12</c:v>
                </c:pt>
                <c:pt idx="114">
                  <c:v>2.7316976789924749E-12</c:v>
                </c:pt>
                <c:pt idx="115">
                  <c:v>2.7316976789924749E-12</c:v>
                </c:pt>
                <c:pt idx="116">
                  <c:v>2.7316976789924749E-12</c:v>
                </c:pt>
                <c:pt idx="117">
                  <c:v>2.7316976789924749E-12</c:v>
                </c:pt>
                <c:pt idx="118">
                  <c:v>2.7316976789924749E-12</c:v>
                </c:pt>
                <c:pt idx="119">
                  <c:v>2.7316976789924749E-12</c:v>
                </c:pt>
                <c:pt idx="120">
                  <c:v>2.7316976789924749E-12</c:v>
                </c:pt>
                <c:pt idx="121">
                  <c:v>2.7316976789924749E-12</c:v>
                </c:pt>
                <c:pt idx="122">
                  <c:v>2.7316976789924749E-12</c:v>
                </c:pt>
                <c:pt idx="123">
                  <c:v>2.7316976789924749E-12</c:v>
                </c:pt>
                <c:pt idx="124">
                  <c:v>2.7316976789924749E-12</c:v>
                </c:pt>
                <c:pt idx="125">
                  <c:v>2.7316976789924749E-12</c:v>
                </c:pt>
                <c:pt idx="126">
                  <c:v>2.7316976789924749E-12</c:v>
                </c:pt>
                <c:pt idx="127">
                  <c:v>2.7316976789924749E-12</c:v>
                </c:pt>
                <c:pt idx="128">
                  <c:v>2.7316976789924749E-12</c:v>
                </c:pt>
                <c:pt idx="129">
                  <c:v>2.7316976789924749E-12</c:v>
                </c:pt>
                <c:pt idx="130">
                  <c:v>2.7316976789924749E-12</c:v>
                </c:pt>
                <c:pt idx="131">
                  <c:v>2.7316976789924749E-12</c:v>
                </c:pt>
                <c:pt idx="132">
                  <c:v>2.7316976789924749E-12</c:v>
                </c:pt>
                <c:pt idx="133">
                  <c:v>2.7316976789924749E-12</c:v>
                </c:pt>
                <c:pt idx="134">
                  <c:v>2.7316976789924749E-12</c:v>
                </c:pt>
                <c:pt idx="135">
                  <c:v>2.7316976789924749E-12</c:v>
                </c:pt>
                <c:pt idx="136">
                  <c:v>2.7316976789924749E-12</c:v>
                </c:pt>
                <c:pt idx="137">
                  <c:v>2.7316976789924749E-12</c:v>
                </c:pt>
                <c:pt idx="138">
                  <c:v>2.7316976789924749E-12</c:v>
                </c:pt>
                <c:pt idx="139">
                  <c:v>2.7316976789924749E-12</c:v>
                </c:pt>
                <c:pt idx="140">
                  <c:v>2.7316976789924749E-12</c:v>
                </c:pt>
                <c:pt idx="141">
                  <c:v>2.7316976789924749E-12</c:v>
                </c:pt>
                <c:pt idx="142">
                  <c:v>2.7316976789924749E-12</c:v>
                </c:pt>
                <c:pt idx="143">
                  <c:v>2.7316976789924749E-12</c:v>
                </c:pt>
                <c:pt idx="144">
                  <c:v>2.7316976789924749E-12</c:v>
                </c:pt>
                <c:pt idx="145">
                  <c:v>2.7316976789924749E-12</c:v>
                </c:pt>
                <c:pt idx="146">
                  <c:v>2.7316976789924749E-12</c:v>
                </c:pt>
                <c:pt idx="147">
                  <c:v>2.7316976789924749E-12</c:v>
                </c:pt>
                <c:pt idx="148">
                  <c:v>2.7316976789924749E-12</c:v>
                </c:pt>
                <c:pt idx="149">
                  <c:v>2.7316976789924749E-12</c:v>
                </c:pt>
                <c:pt idx="150">
                  <c:v>2.7316976789924749E-12</c:v>
                </c:pt>
                <c:pt idx="151">
                  <c:v>2.7316976789924749E-12</c:v>
                </c:pt>
                <c:pt idx="152">
                  <c:v>2.7316976789924749E-12</c:v>
                </c:pt>
                <c:pt idx="153">
                  <c:v>2.7316976789924749E-12</c:v>
                </c:pt>
                <c:pt idx="154">
                  <c:v>2.7316976789924749E-12</c:v>
                </c:pt>
                <c:pt idx="155">
                  <c:v>2.7316976789924749E-12</c:v>
                </c:pt>
                <c:pt idx="156">
                  <c:v>2.7316976789924749E-12</c:v>
                </c:pt>
                <c:pt idx="157">
                  <c:v>2.7316976789924749E-12</c:v>
                </c:pt>
                <c:pt idx="158">
                  <c:v>2.7316976789924749E-12</c:v>
                </c:pt>
                <c:pt idx="159">
                  <c:v>2.7316976789924749E-12</c:v>
                </c:pt>
                <c:pt idx="160">
                  <c:v>2.7316976789924749E-12</c:v>
                </c:pt>
                <c:pt idx="161">
                  <c:v>2.7316976789924749E-12</c:v>
                </c:pt>
                <c:pt idx="162">
                  <c:v>2.7316976789924749E-12</c:v>
                </c:pt>
                <c:pt idx="163">
                  <c:v>2.7316976789924749E-12</c:v>
                </c:pt>
                <c:pt idx="164">
                  <c:v>2.7316976789924749E-12</c:v>
                </c:pt>
                <c:pt idx="165">
                  <c:v>2.7316976789924749E-12</c:v>
                </c:pt>
                <c:pt idx="166">
                  <c:v>2.7316976789924749E-12</c:v>
                </c:pt>
                <c:pt idx="167">
                  <c:v>2.7316976789924749E-12</c:v>
                </c:pt>
                <c:pt idx="168">
                  <c:v>2.7316976789924749E-12</c:v>
                </c:pt>
                <c:pt idx="169">
                  <c:v>2.7316976789924749E-12</c:v>
                </c:pt>
                <c:pt idx="170">
                  <c:v>2.7316976789924749E-12</c:v>
                </c:pt>
                <c:pt idx="171">
                  <c:v>2.7316976789924749E-12</c:v>
                </c:pt>
                <c:pt idx="172">
                  <c:v>2.7316976789924749E-12</c:v>
                </c:pt>
                <c:pt idx="173">
                  <c:v>2.7316976789924749E-12</c:v>
                </c:pt>
                <c:pt idx="174">
                  <c:v>2.7316976789924749E-12</c:v>
                </c:pt>
                <c:pt idx="175">
                  <c:v>2.7316976789924749E-12</c:v>
                </c:pt>
                <c:pt idx="176">
                  <c:v>2.7316976789924749E-12</c:v>
                </c:pt>
                <c:pt idx="177">
                  <c:v>2.7316976789924749E-12</c:v>
                </c:pt>
                <c:pt idx="178">
                  <c:v>2.7316976789924749E-12</c:v>
                </c:pt>
                <c:pt idx="179">
                  <c:v>2.7316976789924749E-12</c:v>
                </c:pt>
                <c:pt idx="180">
                  <c:v>2.7316976789924749E-12</c:v>
                </c:pt>
                <c:pt idx="181">
                  <c:v>2.7316976789924749E-12</c:v>
                </c:pt>
                <c:pt idx="182">
                  <c:v>2.7316976789924749E-12</c:v>
                </c:pt>
                <c:pt idx="183">
                  <c:v>2.7316976789924749E-12</c:v>
                </c:pt>
                <c:pt idx="184">
                  <c:v>2.7316976789924749E-12</c:v>
                </c:pt>
                <c:pt idx="185">
                  <c:v>2.7316976789924749E-12</c:v>
                </c:pt>
                <c:pt idx="186">
                  <c:v>2.7316976789924749E-12</c:v>
                </c:pt>
                <c:pt idx="187">
                  <c:v>2.7316976789924749E-12</c:v>
                </c:pt>
                <c:pt idx="188">
                  <c:v>2.7316976789924749E-12</c:v>
                </c:pt>
                <c:pt idx="189">
                  <c:v>2.7316976789924749E-12</c:v>
                </c:pt>
                <c:pt idx="190">
                  <c:v>2.7316976789924749E-12</c:v>
                </c:pt>
                <c:pt idx="191">
                  <c:v>2.7316976789924749E-12</c:v>
                </c:pt>
                <c:pt idx="192">
                  <c:v>2.7316976789924749E-12</c:v>
                </c:pt>
                <c:pt idx="193">
                  <c:v>2.7316976789924749E-12</c:v>
                </c:pt>
                <c:pt idx="194">
                  <c:v>2.7316976789924749E-12</c:v>
                </c:pt>
                <c:pt idx="195">
                  <c:v>2.7316976789924749E-12</c:v>
                </c:pt>
                <c:pt idx="196">
                  <c:v>2.7316976789924749E-12</c:v>
                </c:pt>
                <c:pt idx="197">
                  <c:v>2.7316976789924749E-12</c:v>
                </c:pt>
                <c:pt idx="198">
                  <c:v>2.7316976789924749E-12</c:v>
                </c:pt>
                <c:pt idx="199">
                  <c:v>2.7316976789924749E-12</c:v>
                </c:pt>
                <c:pt idx="200">
                  <c:v>2.7316976789924749E-12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13" zoomScaleNormal="100" workbookViewId="0">
      <selection activeCell="C227" sqref="C227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11.68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325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13</v>
      </c>
      <c r="C9" s="264">
        <v>5.7299999999999997E-2</v>
      </c>
      <c r="D9" s="33">
        <f t="shared" ref="D9:D18" si="0">C9*$C$5</f>
        <v>0.66926399999999997</v>
      </c>
      <c r="E9" s="265">
        <v>100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14</v>
      </c>
      <c r="C10" s="264">
        <v>0.10314</v>
      </c>
      <c r="D10" s="33">
        <f t="shared" si="0"/>
        <v>1.2046751999999998</v>
      </c>
      <c r="E10" s="265">
        <v>131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12</v>
      </c>
      <c r="C11" s="264">
        <v>0.12033000000000001</v>
      </c>
      <c r="D11" s="33">
        <f t="shared" si="0"/>
        <v>1.4054544</v>
      </c>
      <c r="E11" s="265">
        <v>131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325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22</v>
      </c>
      <c r="C12" s="264">
        <v>7.4490000000000001E-2</v>
      </c>
      <c r="D12" s="33">
        <f t="shared" si="0"/>
        <v>0.87004320000000002</v>
      </c>
      <c r="E12" s="265">
        <v>80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325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25</v>
      </c>
      <c r="C13" s="32">
        <v>6.8760000000000002E-2</v>
      </c>
      <c r="D13" s="33">
        <f t="shared" si="0"/>
        <v>0.80311679999999996</v>
      </c>
      <c r="E13" s="34">
        <v>115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325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8</v>
      </c>
      <c r="C14" s="32">
        <v>3.4380000000000001E-2</v>
      </c>
      <c r="D14" s="33">
        <f t="shared" si="0"/>
        <v>0.40155839999999998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325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18</v>
      </c>
      <c r="C15" s="32">
        <v>0.26932</v>
      </c>
      <c r="D15" s="33">
        <f t="shared" si="0"/>
        <v>3.1456575999999998</v>
      </c>
      <c r="E15" s="34">
        <v>54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325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129</v>
      </c>
      <c r="C16" s="32">
        <v>0.27226</v>
      </c>
      <c r="D16" s="33">
        <f t="shared" si="0"/>
        <v>3.1799968000000001</v>
      </c>
      <c r="E16" s="34">
        <v>24</v>
      </c>
      <c r="F16" s="35" t="str">
        <f t="array" ref="F16">IF(E16="","",IF(INDEX(A:A,MAX(IF(ISNUMBER($A$218:$A$237),ROW($A$218:$A$237),"")))&lt;&gt;E16,"Corrigez : révolution incorrecte","OK"))</f>
        <v>OK</v>
      </c>
      <c r="G16" s="23" t="s">
        <v>325</v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0.99998000000000009</v>
      </c>
      <c r="D19" s="38">
        <f>SUM(D9:D18)</f>
        <v>11.6797664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rouge d'Amérique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10</v>
      </c>
      <c r="B36" s="259">
        <v>35</v>
      </c>
      <c r="C36" s="259"/>
      <c r="D36" s="259">
        <v>0</v>
      </c>
      <c r="E36" s="260"/>
      <c r="F36" s="260"/>
      <c r="G36" s="260"/>
      <c r="H36" s="260"/>
      <c r="I36" s="49">
        <f>IFERROR(B36/A36,"")</f>
        <v>3.5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15</v>
      </c>
      <c r="B37" s="259">
        <v>88</v>
      </c>
      <c r="C37" s="259">
        <v>1</v>
      </c>
      <c r="D37" s="259">
        <v>30</v>
      </c>
      <c r="E37" s="260"/>
      <c r="F37" s="260"/>
      <c r="G37" s="260"/>
      <c r="H37" s="260">
        <v>1</v>
      </c>
      <c r="I37" s="53">
        <f t="shared" ref="I37:I55" si="1">IF(A37&lt;&gt;0,(B37-(B36-D36))/(A37-A36),"")</f>
        <v>10.6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20</v>
      </c>
      <c r="B38" s="259">
        <v>117</v>
      </c>
      <c r="C38" s="259">
        <v>2</v>
      </c>
      <c r="D38" s="259">
        <v>29</v>
      </c>
      <c r="E38" s="260"/>
      <c r="F38" s="260"/>
      <c r="G38" s="260"/>
      <c r="H38" s="260">
        <v>1</v>
      </c>
      <c r="I38" s="53">
        <f t="shared" si="1"/>
        <v>11.8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25</v>
      </c>
      <c r="B39" s="259">
        <v>145</v>
      </c>
      <c r="C39" s="259">
        <v>3</v>
      </c>
      <c r="D39" s="259">
        <v>31</v>
      </c>
      <c r="E39" s="260"/>
      <c r="F39" s="260"/>
      <c r="G39" s="260"/>
      <c r="H39" s="260">
        <v>1</v>
      </c>
      <c r="I39" s="49">
        <f t="shared" si="1"/>
        <v>11.4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30</v>
      </c>
      <c r="B40" s="259">
        <v>169</v>
      </c>
      <c r="C40" s="259">
        <v>4</v>
      </c>
      <c r="D40" s="259">
        <v>32</v>
      </c>
      <c r="E40" s="260"/>
      <c r="F40" s="260"/>
      <c r="G40" s="260"/>
      <c r="H40" s="260">
        <v>1</v>
      </c>
      <c r="I40" s="49">
        <f t="shared" si="1"/>
        <v>11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35</v>
      </c>
      <c r="B41" s="259">
        <v>189</v>
      </c>
      <c r="C41" s="259">
        <v>5</v>
      </c>
      <c r="D41" s="259">
        <v>32</v>
      </c>
      <c r="E41" s="260">
        <v>1</v>
      </c>
      <c r="F41" s="260"/>
      <c r="G41" s="260"/>
      <c r="H41" s="260"/>
      <c r="I41" s="53">
        <f t="shared" si="1"/>
        <v>10.4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40</v>
      </c>
      <c r="B42" s="259">
        <v>206</v>
      </c>
      <c r="C42" s="259">
        <v>6</v>
      </c>
      <c r="D42" s="259">
        <v>31</v>
      </c>
      <c r="E42" s="260">
        <v>1</v>
      </c>
      <c r="F42" s="260"/>
      <c r="G42" s="260"/>
      <c r="H42" s="260"/>
      <c r="I42" s="53">
        <f t="shared" si="1"/>
        <v>9.8000000000000007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45</v>
      </c>
      <c r="B43" s="259">
        <v>219</v>
      </c>
      <c r="C43" s="259">
        <v>7</v>
      </c>
      <c r="D43" s="259">
        <v>30</v>
      </c>
      <c r="E43" s="260">
        <v>1</v>
      </c>
      <c r="F43" s="260"/>
      <c r="G43" s="260"/>
      <c r="H43" s="260"/>
      <c r="I43" s="49">
        <f t="shared" si="1"/>
        <v>8.8000000000000007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50</v>
      </c>
      <c r="B44" s="259">
        <v>230</v>
      </c>
      <c r="C44" s="259">
        <v>8</v>
      </c>
      <c r="D44" s="259">
        <v>28</v>
      </c>
      <c r="E44" s="260">
        <v>1</v>
      </c>
      <c r="F44" s="260"/>
      <c r="G44" s="260"/>
      <c r="H44" s="260"/>
      <c r="I44" s="49">
        <f t="shared" si="1"/>
        <v>8.1999999999999993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55</v>
      </c>
      <c r="B45" s="261">
        <v>239</v>
      </c>
      <c r="C45" s="259">
        <v>9</v>
      </c>
      <c r="D45" s="261">
        <v>26</v>
      </c>
      <c r="E45" s="260">
        <v>1</v>
      </c>
      <c r="F45" s="260"/>
      <c r="G45" s="260"/>
      <c r="H45" s="260"/>
      <c r="I45" s="49">
        <f t="shared" si="1"/>
        <v>7.4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60</v>
      </c>
      <c r="B46" s="262">
        <v>246</v>
      </c>
      <c r="C46" s="259">
        <v>10</v>
      </c>
      <c r="D46" s="262">
        <v>24</v>
      </c>
      <c r="E46" s="260">
        <v>1</v>
      </c>
      <c r="F46" s="260"/>
      <c r="G46" s="260"/>
      <c r="H46" s="260"/>
      <c r="I46" s="49">
        <f t="shared" si="1"/>
        <v>6.6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65</v>
      </c>
      <c r="B47" s="261">
        <v>252</v>
      </c>
      <c r="C47" s="259">
        <v>11</v>
      </c>
      <c r="D47" s="261">
        <v>22</v>
      </c>
      <c r="E47" s="260">
        <v>1</v>
      </c>
      <c r="F47" s="260"/>
      <c r="G47" s="260"/>
      <c r="H47" s="260"/>
      <c r="I47" s="49">
        <f t="shared" si="1"/>
        <v>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70</v>
      </c>
      <c r="B48" s="261">
        <v>257</v>
      </c>
      <c r="C48" s="259">
        <v>12</v>
      </c>
      <c r="D48" s="261">
        <v>21</v>
      </c>
      <c r="E48" s="260">
        <v>1</v>
      </c>
      <c r="F48" s="260"/>
      <c r="G48" s="260"/>
      <c r="H48" s="260"/>
      <c r="I48" s="49">
        <f t="shared" si="1"/>
        <v>5.4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75</v>
      </c>
      <c r="B49" s="261">
        <v>261</v>
      </c>
      <c r="C49" s="259">
        <v>13</v>
      </c>
      <c r="D49" s="261">
        <v>19</v>
      </c>
      <c r="E49" s="260">
        <v>1</v>
      </c>
      <c r="F49" s="260"/>
      <c r="G49" s="260"/>
      <c r="H49" s="260"/>
      <c r="I49" s="49">
        <f t="shared" si="1"/>
        <v>5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80</v>
      </c>
      <c r="B50" s="261">
        <v>264</v>
      </c>
      <c r="C50" s="261">
        <v>14</v>
      </c>
      <c r="D50" s="261">
        <v>17</v>
      </c>
      <c r="E50" s="260">
        <v>1</v>
      </c>
      <c r="F50" s="260"/>
      <c r="G50" s="260"/>
      <c r="H50" s="260"/>
      <c r="I50" s="49">
        <f t="shared" si="1"/>
        <v>4.4000000000000004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85</v>
      </c>
      <c r="B51" s="261">
        <v>267</v>
      </c>
      <c r="C51" s="261">
        <v>15</v>
      </c>
      <c r="D51" s="261">
        <v>16</v>
      </c>
      <c r="E51" s="260">
        <v>1</v>
      </c>
      <c r="F51" s="260"/>
      <c r="G51" s="260"/>
      <c r="H51" s="260"/>
      <c r="I51" s="49">
        <f t="shared" si="1"/>
        <v>4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90</v>
      </c>
      <c r="B52" s="261">
        <v>268</v>
      </c>
      <c r="C52" s="261">
        <v>16</v>
      </c>
      <c r="D52" s="261">
        <v>14</v>
      </c>
      <c r="E52" s="260">
        <v>1</v>
      </c>
      <c r="F52" s="260"/>
      <c r="G52" s="260"/>
      <c r="H52" s="260"/>
      <c r="I52" s="49">
        <f t="shared" si="1"/>
        <v>3.4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95</v>
      </c>
      <c r="B53" s="261">
        <v>270</v>
      </c>
      <c r="C53" s="261">
        <v>17</v>
      </c>
      <c r="D53" s="261">
        <v>13</v>
      </c>
      <c r="E53" s="260">
        <v>1</v>
      </c>
      <c r="F53" s="260"/>
      <c r="G53" s="260"/>
      <c r="H53" s="260"/>
      <c r="I53" s="49">
        <f t="shared" si="1"/>
        <v>3.2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100</v>
      </c>
      <c r="B54" s="261">
        <v>273</v>
      </c>
      <c r="C54" s="261">
        <v>18</v>
      </c>
      <c r="D54" s="261">
        <v>13</v>
      </c>
      <c r="E54" s="260">
        <v>1</v>
      </c>
      <c r="F54" s="260"/>
      <c r="G54" s="260"/>
      <c r="H54" s="260"/>
      <c r="I54" s="49">
        <f t="shared" si="1"/>
        <v>3.2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121.8846154</v>
      </c>
      <c r="C62" s="261"/>
      <c r="D62" s="261"/>
      <c r="E62" s="260"/>
      <c r="F62" s="260"/>
      <c r="G62" s="260"/>
      <c r="H62" s="260"/>
      <c r="I62" s="53">
        <f>IFERROR(B62/A62,"")</f>
        <v>4.0628205133333335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35</v>
      </c>
      <c r="B63" s="261">
        <v>201.29</v>
      </c>
      <c r="C63" s="261">
        <v>1</v>
      </c>
      <c r="D63" s="261">
        <v>69.58</v>
      </c>
      <c r="E63" s="260">
        <v>1</v>
      </c>
      <c r="F63" s="260"/>
      <c r="G63" s="260"/>
      <c r="H63" s="260"/>
      <c r="I63" s="49">
        <f>IF(A63&lt;&gt;0,(B63-(B62-D62))/(A63-A62),"")</f>
        <v>15.881076919999998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41</v>
      </c>
      <c r="B64" s="261">
        <v>208.88</v>
      </c>
      <c r="C64" s="261">
        <v>2</v>
      </c>
      <c r="D64" s="261">
        <v>47.41</v>
      </c>
      <c r="E64" s="260">
        <v>1</v>
      </c>
      <c r="F64" s="260"/>
      <c r="G64" s="260"/>
      <c r="H64" s="260"/>
      <c r="I64" s="49">
        <f>IF(A64&lt;&gt;0,(B64-(B63-D63))/(A64-A63),"")</f>
        <v>12.86166666666667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48</v>
      </c>
      <c r="B65" s="261">
        <v>252.89</v>
      </c>
      <c r="C65" s="261">
        <v>3</v>
      </c>
      <c r="D65" s="261">
        <v>61.12</v>
      </c>
      <c r="E65" s="260">
        <v>1</v>
      </c>
      <c r="F65" s="260"/>
      <c r="G65" s="260"/>
      <c r="H65" s="260"/>
      <c r="I65" s="49">
        <f>IF(A65&lt;&gt;0,(B65-(B64-D64))/(A65-A64),"")</f>
        <v>13.059999999999999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55</v>
      </c>
      <c r="B66" s="261">
        <v>277.67</v>
      </c>
      <c r="C66" s="261">
        <v>4</v>
      </c>
      <c r="D66" s="261">
        <v>58.24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12.271428571428576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63</v>
      </c>
      <c r="B67" s="261">
        <v>312.58999999999997</v>
      </c>
      <c r="C67" s="261">
        <v>5</v>
      </c>
      <c r="D67" s="261">
        <v>54.21</v>
      </c>
      <c r="E67" s="260">
        <v>1</v>
      </c>
      <c r="F67" s="260"/>
      <c r="G67" s="260"/>
      <c r="H67" s="260"/>
      <c r="I67" s="49">
        <f t="shared" si="2"/>
        <v>11.644999999999996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71</v>
      </c>
      <c r="B68" s="261">
        <v>348.69</v>
      </c>
      <c r="C68" s="261">
        <v>6</v>
      </c>
      <c r="D68" s="261">
        <v>52.07</v>
      </c>
      <c r="E68" s="260">
        <v>1</v>
      </c>
      <c r="F68" s="260"/>
      <c r="G68" s="260"/>
      <c r="H68" s="260"/>
      <c r="I68" s="49">
        <f t="shared" si="2"/>
        <v>11.28875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80</v>
      </c>
      <c r="B69" s="261">
        <v>395.71</v>
      </c>
      <c r="C69" s="261">
        <v>7</v>
      </c>
      <c r="D69" s="261">
        <v>59.57</v>
      </c>
      <c r="E69" s="260">
        <v>1</v>
      </c>
      <c r="F69" s="260"/>
      <c r="G69" s="260"/>
      <c r="H69" s="260"/>
      <c r="I69" s="49">
        <f t="shared" si="2"/>
        <v>11.009999999999998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89</v>
      </c>
      <c r="B70" s="261">
        <v>429.83</v>
      </c>
      <c r="C70" s="261">
        <v>8</v>
      </c>
      <c r="D70" s="261">
        <v>64.5</v>
      </c>
      <c r="E70" s="260">
        <v>1</v>
      </c>
      <c r="F70" s="260"/>
      <c r="G70" s="260"/>
      <c r="H70" s="260"/>
      <c r="I70" s="49">
        <f t="shared" si="2"/>
        <v>10.41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99</v>
      </c>
      <c r="B71" s="261">
        <v>464.8</v>
      </c>
      <c r="C71" s="261">
        <v>9</v>
      </c>
      <c r="D71" s="261">
        <v>62.94</v>
      </c>
      <c r="E71" s="260">
        <v>1</v>
      </c>
      <c r="F71" s="260"/>
      <c r="G71" s="260"/>
      <c r="H71" s="260"/>
      <c r="I71" s="49">
        <f t="shared" si="2"/>
        <v>9.9470000000000027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109</v>
      </c>
      <c r="B72" s="261">
        <v>498.97</v>
      </c>
      <c r="C72" s="261">
        <v>10</v>
      </c>
      <c r="D72" s="261">
        <v>66.959999999999994</v>
      </c>
      <c r="E72" s="260">
        <v>1</v>
      </c>
      <c r="F72" s="260"/>
      <c r="G72" s="260"/>
      <c r="H72" s="260"/>
      <c r="I72" s="49">
        <f t="shared" si="2"/>
        <v>9.7110000000000021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119</v>
      </c>
      <c r="B73" s="261">
        <v>526.04</v>
      </c>
      <c r="C73" s="261">
        <v>11</v>
      </c>
      <c r="D73" s="261">
        <v>196.46</v>
      </c>
      <c r="E73" s="260">
        <v>1</v>
      </c>
      <c r="F73" s="260"/>
      <c r="G73" s="260"/>
      <c r="H73" s="260"/>
      <c r="I73" s="49">
        <f t="shared" si="2"/>
        <v>9.4029999999999916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123</v>
      </c>
      <c r="B74" s="261">
        <v>328.09</v>
      </c>
      <c r="C74" s="261">
        <v>12</v>
      </c>
      <c r="D74" s="261">
        <v>100.6</v>
      </c>
      <c r="E74" s="260">
        <v>1</v>
      </c>
      <c r="F74" s="260"/>
      <c r="G74" s="260"/>
      <c r="H74" s="260"/>
      <c r="I74" s="49">
        <f t="shared" si="2"/>
        <v>-0.37249999999998806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127</v>
      </c>
      <c r="B75" s="261">
        <v>228.28</v>
      </c>
      <c r="C75" s="261">
        <v>13</v>
      </c>
      <c r="D75" s="261">
        <v>65.02</v>
      </c>
      <c r="E75" s="260">
        <v>1</v>
      </c>
      <c r="F75" s="260"/>
      <c r="G75" s="260"/>
      <c r="H75" s="260"/>
      <c r="I75" s="49">
        <f t="shared" si="2"/>
        <v>0.19750000000000512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131</v>
      </c>
      <c r="B76" s="261">
        <v>163.65</v>
      </c>
      <c r="C76" s="261">
        <v>14</v>
      </c>
      <c r="D76" s="261">
        <v>143.84</v>
      </c>
      <c r="E76" s="260">
        <v>1</v>
      </c>
      <c r="F76" s="260"/>
      <c r="G76" s="260"/>
      <c r="H76" s="260"/>
      <c r="I76" s="49">
        <f t="shared" si="2"/>
        <v>9.7500000000003695E-2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pubescent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30</v>
      </c>
      <c r="B88" s="261">
        <v>121.8846154</v>
      </c>
      <c r="C88" s="261"/>
      <c r="D88" s="261"/>
      <c r="E88" s="260"/>
      <c r="F88" s="260"/>
      <c r="G88" s="260"/>
      <c r="H88" s="260"/>
      <c r="I88" s="53">
        <f>IFERROR(B88/A88,"")</f>
        <v>4.0628205133333335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35</v>
      </c>
      <c r="B89" s="261">
        <v>201.29</v>
      </c>
      <c r="C89" s="261">
        <v>1</v>
      </c>
      <c r="D89" s="261">
        <v>69.58</v>
      </c>
      <c r="E89" s="260">
        <v>1</v>
      </c>
      <c r="F89" s="260"/>
      <c r="G89" s="260"/>
      <c r="H89" s="260"/>
      <c r="I89" s="53">
        <f t="shared" ref="I89:I107" si="3">IF(A89&lt;&gt;0,(B89-(B88-D88))/(A89-A88),"")</f>
        <v>15.881076919999998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41</v>
      </c>
      <c r="B90" s="261">
        <v>208.88</v>
      </c>
      <c r="C90" s="261">
        <v>2</v>
      </c>
      <c r="D90" s="261">
        <v>47.41</v>
      </c>
      <c r="E90" s="260">
        <v>1</v>
      </c>
      <c r="F90" s="260"/>
      <c r="G90" s="260"/>
      <c r="H90" s="260"/>
      <c r="I90" s="53">
        <f t="shared" si="3"/>
        <v>12.86166666666667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48</v>
      </c>
      <c r="B91" s="261">
        <v>252.89</v>
      </c>
      <c r="C91" s="261">
        <v>3</v>
      </c>
      <c r="D91" s="261">
        <v>61.12</v>
      </c>
      <c r="E91" s="260">
        <v>1</v>
      </c>
      <c r="F91" s="260"/>
      <c r="G91" s="260"/>
      <c r="H91" s="260"/>
      <c r="I91" s="53">
        <f t="shared" si="3"/>
        <v>13.059999999999999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55</v>
      </c>
      <c r="B92" s="261">
        <v>277.67</v>
      </c>
      <c r="C92" s="261">
        <v>4</v>
      </c>
      <c r="D92" s="261">
        <v>58.24</v>
      </c>
      <c r="E92" s="260">
        <v>1</v>
      </c>
      <c r="F92" s="260"/>
      <c r="G92" s="260"/>
      <c r="H92" s="260"/>
      <c r="I92" s="53">
        <f t="shared" si="3"/>
        <v>12.271428571428576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63</v>
      </c>
      <c r="B93" s="261">
        <v>312.58999999999997</v>
      </c>
      <c r="C93" s="261">
        <v>5</v>
      </c>
      <c r="D93" s="261">
        <v>54.21</v>
      </c>
      <c r="E93" s="260">
        <v>1</v>
      </c>
      <c r="F93" s="260"/>
      <c r="G93" s="260"/>
      <c r="H93" s="260"/>
      <c r="I93" s="53">
        <f t="shared" si="3"/>
        <v>11.644999999999996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71</v>
      </c>
      <c r="B94" s="261">
        <v>348.69</v>
      </c>
      <c r="C94" s="261">
        <v>6</v>
      </c>
      <c r="D94" s="261">
        <v>52.07</v>
      </c>
      <c r="E94" s="260">
        <v>1</v>
      </c>
      <c r="F94" s="260"/>
      <c r="G94" s="260"/>
      <c r="H94" s="260"/>
      <c r="I94" s="53">
        <f t="shared" si="3"/>
        <v>11.28875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80</v>
      </c>
      <c r="B95" s="261">
        <v>395.71</v>
      </c>
      <c r="C95" s="261">
        <v>7</v>
      </c>
      <c r="D95" s="261">
        <v>59.57</v>
      </c>
      <c r="E95" s="260">
        <v>1</v>
      </c>
      <c r="F95" s="260"/>
      <c r="G95" s="260"/>
      <c r="H95" s="260"/>
      <c r="I95" s="53">
        <f t="shared" si="3"/>
        <v>11.009999999999998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89</v>
      </c>
      <c r="B96" s="261">
        <v>429.83</v>
      </c>
      <c r="C96" s="261">
        <v>8</v>
      </c>
      <c r="D96" s="261">
        <v>64.5</v>
      </c>
      <c r="E96" s="260">
        <v>1</v>
      </c>
      <c r="F96" s="260"/>
      <c r="G96" s="260"/>
      <c r="H96" s="260"/>
      <c r="I96" s="53">
        <f t="shared" si="3"/>
        <v>10.41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99</v>
      </c>
      <c r="B97" s="261">
        <v>464.8</v>
      </c>
      <c r="C97" s="261">
        <v>9</v>
      </c>
      <c r="D97" s="261">
        <v>62.94</v>
      </c>
      <c r="E97" s="260">
        <v>1</v>
      </c>
      <c r="F97" s="260"/>
      <c r="G97" s="260"/>
      <c r="H97" s="260"/>
      <c r="I97" s="53">
        <f t="shared" si="3"/>
        <v>9.9470000000000027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109</v>
      </c>
      <c r="B98" s="261">
        <v>498.97</v>
      </c>
      <c r="C98" s="261">
        <v>10</v>
      </c>
      <c r="D98" s="261">
        <v>66.959999999999994</v>
      </c>
      <c r="E98" s="260">
        <v>1</v>
      </c>
      <c r="F98" s="260"/>
      <c r="G98" s="260"/>
      <c r="H98" s="260"/>
      <c r="I98" s="53">
        <f t="shared" si="3"/>
        <v>9.7110000000000021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119</v>
      </c>
      <c r="B99" s="261">
        <v>526.04</v>
      </c>
      <c r="C99" s="261">
        <v>11</v>
      </c>
      <c r="D99" s="261">
        <v>196.46</v>
      </c>
      <c r="E99" s="260">
        <v>1</v>
      </c>
      <c r="F99" s="260"/>
      <c r="G99" s="260"/>
      <c r="H99" s="260"/>
      <c r="I99" s="53">
        <f t="shared" si="3"/>
        <v>9.4029999999999916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123</v>
      </c>
      <c r="B100" s="261">
        <v>328.09</v>
      </c>
      <c r="C100" s="261">
        <v>12</v>
      </c>
      <c r="D100" s="261">
        <v>100.6</v>
      </c>
      <c r="E100" s="260">
        <v>1</v>
      </c>
      <c r="F100" s="260"/>
      <c r="G100" s="260"/>
      <c r="H100" s="260"/>
      <c r="I100" s="53">
        <f t="shared" si="3"/>
        <v>-0.37249999999998806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127</v>
      </c>
      <c r="B101" s="261">
        <v>228.28</v>
      </c>
      <c r="C101" s="261">
        <v>13</v>
      </c>
      <c r="D101" s="261">
        <v>65.02</v>
      </c>
      <c r="E101" s="260">
        <v>1</v>
      </c>
      <c r="F101" s="260"/>
      <c r="G101" s="260"/>
      <c r="H101" s="260"/>
      <c r="I101" s="53">
        <f t="shared" si="3"/>
        <v>0.19750000000000512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131</v>
      </c>
      <c r="B102" s="261">
        <v>163.65</v>
      </c>
      <c r="C102" s="261">
        <v>14</v>
      </c>
      <c r="D102" s="261">
        <v>143.84</v>
      </c>
      <c r="E102" s="260">
        <v>1</v>
      </c>
      <c r="F102" s="260"/>
      <c r="G102" s="260"/>
      <c r="H102" s="260"/>
      <c r="I102" s="53">
        <f t="shared" si="3"/>
        <v>9.7500000000003695E-2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Erable plane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10</v>
      </c>
      <c r="B114" s="261">
        <v>19</v>
      </c>
      <c r="C114" s="261">
        <v>1</v>
      </c>
      <c r="D114" s="261">
        <v>7</v>
      </c>
      <c r="E114" s="260"/>
      <c r="F114" s="260"/>
      <c r="G114" s="260"/>
      <c r="H114" s="260">
        <v>1</v>
      </c>
      <c r="I114" s="53">
        <f>IFERROR(B114/A114,"")</f>
        <v>1.9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15</v>
      </c>
      <c r="B115" s="261">
        <v>85</v>
      </c>
      <c r="C115" s="261">
        <v>2</v>
      </c>
      <c r="D115" s="261">
        <v>42</v>
      </c>
      <c r="E115" s="260"/>
      <c r="F115" s="260"/>
      <c r="G115" s="260"/>
      <c r="H115" s="260">
        <v>1</v>
      </c>
      <c r="I115" s="53">
        <f t="shared" ref="I115:I133" si="4">IF(A115&lt;&gt;0,(B115-(B114-D114))/(A115-A114),"")</f>
        <v>14.6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20</v>
      </c>
      <c r="B116" s="261">
        <v>123</v>
      </c>
      <c r="C116" s="261">
        <v>3</v>
      </c>
      <c r="D116" s="261">
        <v>42</v>
      </c>
      <c r="E116" s="260"/>
      <c r="F116" s="260"/>
      <c r="G116" s="260"/>
      <c r="H116" s="260">
        <v>1</v>
      </c>
      <c r="I116" s="53">
        <f t="shared" si="4"/>
        <v>16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25</v>
      </c>
      <c r="B117" s="261">
        <v>165</v>
      </c>
      <c r="C117" s="261">
        <v>4</v>
      </c>
      <c r="D117" s="261">
        <v>42</v>
      </c>
      <c r="E117" s="260"/>
      <c r="F117" s="260"/>
      <c r="G117" s="260"/>
      <c r="H117" s="260">
        <v>1</v>
      </c>
      <c r="I117" s="53">
        <f t="shared" si="4"/>
        <v>16.8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30</v>
      </c>
      <c r="B118" s="261">
        <v>205</v>
      </c>
      <c r="C118" s="261">
        <v>5</v>
      </c>
      <c r="D118" s="261">
        <v>42</v>
      </c>
      <c r="E118" s="260"/>
      <c r="F118" s="260"/>
      <c r="G118" s="260"/>
      <c r="H118" s="260">
        <v>1</v>
      </c>
      <c r="I118" s="53">
        <f t="shared" si="4"/>
        <v>16.399999999999999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35</v>
      </c>
      <c r="B119" s="261">
        <v>239</v>
      </c>
      <c r="C119" s="261">
        <v>6</v>
      </c>
      <c r="D119" s="261">
        <v>42</v>
      </c>
      <c r="E119" s="260">
        <v>1</v>
      </c>
      <c r="F119" s="260"/>
      <c r="G119" s="260"/>
      <c r="H119" s="260"/>
      <c r="I119" s="53">
        <f t="shared" si="4"/>
        <v>15.2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40</v>
      </c>
      <c r="B120" s="261">
        <v>263</v>
      </c>
      <c r="C120" s="261">
        <v>7</v>
      </c>
      <c r="D120" s="261">
        <v>40</v>
      </c>
      <c r="E120" s="260">
        <v>1</v>
      </c>
      <c r="F120" s="260"/>
      <c r="G120" s="260"/>
      <c r="H120" s="260"/>
      <c r="I120" s="53">
        <f t="shared" si="4"/>
        <v>13.2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45</v>
      </c>
      <c r="B121" s="261">
        <v>280</v>
      </c>
      <c r="C121" s="261">
        <v>8</v>
      </c>
      <c r="D121" s="261">
        <v>26</v>
      </c>
      <c r="E121" s="260">
        <v>1</v>
      </c>
      <c r="F121" s="260"/>
      <c r="G121" s="260"/>
      <c r="H121" s="260"/>
      <c r="I121" s="53">
        <f t="shared" si="4"/>
        <v>11.4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50</v>
      </c>
      <c r="B122" s="261">
        <v>303</v>
      </c>
      <c r="C122" s="261">
        <v>9</v>
      </c>
      <c r="D122" s="261">
        <v>21</v>
      </c>
      <c r="E122" s="260">
        <v>1</v>
      </c>
      <c r="F122" s="260"/>
      <c r="G122" s="260"/>
      <c r="H122" s="260"/>
      <c r="I122" s="53">
        <f t="shared" si="4"/>
        <v>9.8000000000000007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55</v>
      </c>
      <c r="B123" s="261">
        <v>324</v>
      </c>
      <c r="C123" s="261">
        <v>10</v>
      </c>
      <c r="D123" s="261">
        <v>18</v>
      </c>
      <c r="E123" s="260">
        <v>1</v>
      </c>
      <c r="F123" s="260"/>
      <c r="G123" s="260"/>
      <c r="H123" s="260"/>
      <c r="I123" s="53">
        <f t="shared" si="4"/>
        <v>8.4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60</v>
      </c>
      <c r="B124" s="261">
        <v>343</v>
      </c>
      <c r="C124" s="261">
        <v>11</v>
      </c>
      <c r="D124" s="261">
        <v>17</v>
      </c>
      <c r="E124" s="260">
        <v>1</v>
      </c>
      <c r="F124" s="260"/>
      <c r="G124" s="260"/>
      <c r="H124" s="260"/>
      <c r="I124" s="53">
        <f t="shared" si="4"/>
        <v>7.4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65</v>
      </c>
      <c r="B125" s="261">
        <v>356</v>
      </c>
      <c r="C125" s="261">
        <v>12</v>
      </c>
      <c r="D125" s="261">
        <v>16</v>
      </c>
      <c r="E125" s="260">
        <v>1</v>
      </c>
      <c r="F125" s="260"/>
      <c r="G125" s="260"/>
      <c r="H125" s="260"/>
      <c r="I125" s="53">
        <f t="shared" si="4"/>
        <v>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70</v>
      </c>
      <c r="B126" s="261">
        <v>366</v>
      </c>
      <c r="C126" s="261">
        <v>13</v>
      </c>
      <c r="D126" s="261">
        <v>15</v>
      </c>
      <c r="E126" s="260">
        <v>1</v>
      </c>
      <c r="F126" s="260"/>
      <c r="G126" s="260"/>
      <c r="H126" s="260"/>
      <c r="I126" s="53">
        <f t="shared" si="4"/>
        <v>5.2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75</v>
      </c>
      <c r="B127" s="261">
        <v>375</v>
      </c>
      <c r="C127" s="261">
        <v>14</v>
      </c>
      <c r="D127" s="261">
        <v>14</v>
      </c>
      <c r="E127" s="260">
        <v>1</v>
      </c>
      <c r="F127" s="260"/>
      <c r="G127" s="260"/>
      <c r="H127" s="260"/>
      <c r="I127" s="53">
        <f t="shared" si="4"/>
        <v>4.8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>
        <v>80</v>
      </c>
      <c r="B128" s="261">
        <v>381</v>
      </c>
      <c r="C128" s="261">
        <v>15</v>
      </c>
      <c r="D128" s="261">
        <v>13</v>
      </c>
      <c r="E128" s="260">
        <v>1</v>
      </c>
      <c r="F128" s="260"/>
      <c r="G128" s="260"/>
      <c r="H128" s="260"/>
      <c r="I128" s="53">
        <f t="shared" si="4"/>
        <v>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Hêtre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20</v>
      </c>
      <c r="B140" s="60">
        <v>56</v>
      </c>
      <c r="C140" s="50"/>
      <c r="D140" s="60">
        <v>0</v>
      </c>
      <c r="E140" s="51"/>
      <c r="F140" s="51"/>
      <c r="G140" s="51"/>
      <c r="H140" s="51"/>
      <c r="I140" s="57">
        <f>IFERROR(B140/A140,"")</f>
        <v>2.8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25</v>
      </c>
      <c r="B141" s="60">
        <v>111</v>
      </c>
      <c r="C141" s="50">
        <v>1</v>
      </c>
      <c r="D141" s="60">
        <v>26</v>
      </c>
      <c r="E141" s="51"/>
      <c r="F141" s="51"/>
      <c r="G141" s="51"/>
      <c r="H141" s="51">
        <v>1</v>
      </c>
      <c r="I141" s="57">
        <f t="shared" ref="I141:I159" si="5">IF(A141&lt;&gt;0,(B141-(B140-D140))/(A141-A140),"")</f>
        <v>11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30</v>
      </c>
      <c r="B142" s="60">
        <v>146</v>
      </c>
      <c r="C142" s="50">
        <v>2</v>
      </c>
      <c r="D142" s="60">
        <v>35</v>
      </c>
      <c r="E142" s="51"/>
      <c r="F142" s="51"/>
      <c r="G142" s="51"/>
      <c r="H142" s="51">
        <v>1</v>
      </c>
      <c r="I142" s="57">
        <f t="shared" si="5"/>
        <v>12.2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35</v>
      </c>
      <c r="B143" s="60">
        <v>175</v>
      </c>
      <c r="C143" s="50">
        <v>3</v>
      </c>
      <c r="D143" s="60">
        <v>35</v>
      </c>
      <c r="E143" s="51">
        <v>1</v>
      </c>
      <c r="F143" s="51"/>
      <c r="G143" s="51"/>
      <c r="H143" s="51"/>
      <c r="I143" s="57">
        <f t="shared" si="5"/>
        <v>12.8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40</v>
      </c>
      <c r="B144" s="60">
        <v>207</v>
      </c>
      <c r="C144" s="50">
        <v>4</v>
      </c>
      <c r="D144" s="60">
        <v>35</v>
      </c>
      <c r="E144" s="51">
        <v>1</v>
      </c>
      <c r="F144" s="51"/>
      <c r="G144" s="51"/>
      <c r="H144" s="51"/>
      <c r="I144" s="57">
        <f t="shared" si="5"/>
        <v>13.4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45</v>
      </c>
      <c r="B145" s="60">
        <v>241</v>
      </c>
      <c r="C145" s="50">
        <v>5</v>
      </c>
      <c r="D145" s="60">
        <v>35</v>
      </c>
      <c r="E145" s="51">
        <v>1</v>
      </c>
      <c r="F145" s="51"/>
      <c r="G145" s="51"/>
      <c r="H145" s="51"/>
      <c r="I145" s="57">
        <f t="shared" si="5"/>
        <v>13.8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50</v>
      </c>
      <c r="B146" s="60">
        <v>274</v>
      </c>
      <c r="C146" s="50">
        <v>6</v>
      </c>
      <c r="D146" s="60">
        <v>35</v>
      </c>
      <c r="E146" s="51">
        <v>1</v>
      </c>
      <c r="F146" s="51"/>
      <c r="G146" s="51"/>
      <c r="H146" s="51"/>
      <c r="I146" s="57">
        <f t="shared" si="5"/>
        <v>13.6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55</v>
      </c>
      <c r="B147" s="60">
        <v>306</v>
      </c>
      <c r="C147" s="50">
        <v>7</v>
      </c>
      <c r="D147" s="60">
        <v>35</v>
      </c>
      <c r="E147" s="51">
        <v>1</v>
      </c>
      <c r="F147" s="51"/>
      <c r="G147" s="51"/>
      <c r="H147" s="51"/>
      <c r="I147" s="57">
        <f>IF(A147&lt;&gt;0,(B147-(B146-D146))/(A147-A146),"")</f>
        <v>13.4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60</v>
      </c>
      <c r="B148" s="60">
        <v>336</v>
      </c>
      <c r="C148" s="50">
        <v>8</v>
      </c>
      <c r="D148" s="60">
        <v>35</v>
      </c>
      <c r="E148" s="51">
        <v>1</v>
      </c>
      <c r="F148" s="51"/>
      <c r="G148" s="51"/>
      <c r="H148" s="51"/>
      <c r="I148" s="57">
        <f t="shared" si="5"/>
        <v>13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65</v>
      </c>
      <c r="B149" s="60">
        <v>363</v>
      </c>
      <c r="C149" s="50">
        <v>9</v>
      </c>
      <c r="D149" s="60">
        <v>35</v>
      </c>
      <c r="E149" s="51">
        <v>1</v>
      </c>
      <c r="F149" s="51"/>
      <c r="G149" s="51"/>
      <c r="H149" s="51"/>
      <c r="I149" s="57">
        <f t="shared" si="5"/>
        <v>12.4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70</v>
      </c>
      <c r="B150" s="60">
        <v>387</v>
      </c>
      <c r="C150" s="50">
        <v>10</v>
      </c>
      <c r="D150" s="60">
        <v>35</v>
      </c>
      <c r="E150" s="51">
        <v>1</v>
      </c>
      <c r="F150" s="51"/>
      <c r="G150" s="51"/>
      <c r="H150" s="51"/>
      <c r="I150" s="57">
        <f t="shared" si="5"/>
        <v>11.8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75</v>
      </c>
      <c r="B151" s="60">
        <v>407</v>
      </c>
      <c r="C151" s="50">
        <v>11</v>
      </c>
      <c r="D151" s="60">
        <v>35</v>
      </c>
      <c r="E151" s="51">
        <v>1</v>
      </c>
      <c r="F151" s="51"/>
      <c r="G151" s="51"/>
      <c r="H151" s="51"/>
      <c r="I151" s="57">
        <f t="shared" si="5"/>
        <v>11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80</v>
      </c>
      <c r="B152" s="60">
        <v>424</v>
      </c>
      <c r="C152" s="50">
        <v>12</v>
      </c>
      <c r="D152" s="60">
        <v>34</v>
      </c>
      <c r="E152" s="54">
        <v>1</v>
      </c>
      <c r="F152" s="54"/>
      <c r="G152" s="54"/>
      <c r="H152" s="54"/>
      <c r="I152" s="57">
        <f t="shared" si="5"/>
        <v>10.4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85</v>
      </c>
      <c r="B153" s="60">
        <v>438</v>
      </c>
      <c r="C153" s="50">
        <v>13</v>
      </c>
      <c r="D153" s="60">
        <v>33</v>
      </c>
      <c r="E153" s="54">
        <v>1</v>
      </c>
      <c r="F153" s="54"/>
      <c r="G153" s="54"/>
      <c r="H153" s="54"/>
      <c r="I153" s="57">
        <f t="shared" si="5"/>
        <v>9.6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90</v>
      </c>
      <c r="B154" s="56">
        <v>451</v>
      </c>
      <c r="C154" s="50">
        <v>14</v>
      </c>
      <c r="D154" s="50">
        <v>31</v>
      </c>
      <c r="E154" s="54">
        <v>1</v>
      </c>
      <c r="F154" s="54"/>
      <c r="G154" s="54"/>
      <c r="H154" s="54"/>
      <c r="I154" s="57">
        <f t="shared" si="5"/>
        <v>9.1999999999999993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>
        <v>95</v>
      </c>
      <c r="B155" s="56">
        <v>463</v>
      </c>
      <c r="C155" s="50">
        <v>15</v>
      </c>
      <c r="D155" s="50">
        <v>30</v>
      </c>
      <c r="E155" s="54">
        <v>1</v>
      </c>
      <c r="F155" s="54"/>
      <c r="G155" s="54"/>
      <c r="H155" s="54"/>
      <c r="I155" s="57">
        <f t="shared" si="5"/>
        <v>8.6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>
        <v>100</v>
      </c>
      <c r="B156" s="56">
        <v>474</v>
      </c>
      <c r="C156" s="50">
        <v>16</v>
      </c>
      <c r="D156" s="50">
        <v>29</v>
      </c>
      <c r="E156" s="54">
        <v>1</v>
      </c>
      <c r="F156" s="54"/>
      <c r="G156" s="54"/>
      <c r="H156" s="54"/>
      <c r="I156" s="57">
        <f t="shared" si="5"/>
        <v>8.1999999999999993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>
        <v>105</v>
      </c>
      <c r="B157" s="56">
        <v>484</v>
      </c>
      <c r="C157" s="50">
        <v>17</v>
      </c>
      <c r="D157" s="50">
        <v>28</v>
      </c>
      <c r="E157" s="54">
        <v>1</v>
      </c>
      <c r="F157" s="54"/>
      <c r="G157" s="54"/>
      <c r="H157" s="54"/>
      <c r="I157" s="57">
        <f t="shared" si="5"/>
        <v>7.8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>
        <v>110</v>
      </c>
      <c r="B158" s="56">
        <v>493</v>
      </c>
      <c r="C158" s="50">
        <v>18</v>
      </c>
      <c r="D158" s="50">
        <v>27</v>
      </c>
      <c r="E158" s="54">
        <v>1</v>
      </c>
      <c r="F158" s="54"/>
      <c r="G158" s="54"/>
      <c r="H158" s="54"/>
      <c r="I158" s="57">
        <f t="shared" si="5"/>
        <v>7.4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>
        <v>115</v>
      </c>
      <c r="B159" s="56">
        <v>501</v>
      </c>
      <c r="C159" s="50">
        <v>19</v>
      </c>
      <c r="D159" s="58">
        <v>26</v>
      </c>
      <c r="E159" s="54">
        <v>1</v>
      </c>
      <c r="F159" s="54"/>
      <c r="G159" s="54"/>
      <c r="H159" s="54"/>
      <c r="I159" s="57">
        <f t="shared" si="5"/>
        <v>7</v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Châtaignier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10</v>
      </c>
      <c r="B166" s="60">
        <v>19</v>
      </c>
      <c r="C166" s="60">
        <v>1</v>
      </c>
      <c r="D166" s="60">
        <v>7</v>
      </c>
      <c r="E166" s="51"/>
      <c r="F166" s="51"/>
      <c r="G166" s="51"/>
      <c r="H166" s="51">
        <v>1</v>
      </c>
      <c r="I166" s="49">
        <f>IFERROR(B166/A166,"")</f>
        <v>1.9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15</v>
      </c>
      <c r="B167" s="60">
        <v>85</v>
      </c>
      <c r="C167" s="60">
        <v>2</v>
      </c>
      <c r="D167" s="60">
        <v>42</v>
      </c>
      <c r="E167" s="51"/>
      <c r="F167" s="51"/>
      <c r="G167" s="51"/>
      <c r="H167" s="51">
        <v>1</v>
      </c>
      <c r="I167" s="49">
        <f t="shared" ref="I167:I185" si="6">IF(A167&lt;&gt;0,(B167-(B166-D166))/(A167-A166),"")</f>
        <v>14.6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20</v>
      </c>
      <c r="B168" s="60">
        <v>123</v>
      </c>
      <c r="C168" s="60">
        <v>3</v>
      </c>
      <c r="D168" s="60">
        <v>42</v>
      </c>
      <c r="E168" s="51"/>
      <c r="F168" s="51"/>
      <c r="G168" s="51"/>
      <c r="H168" s="51">
        <v>1</v>
      </c>
      <c r="I168" s="49">
        <f t="shared" si="6"/>
        <v>16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25</v>
      </c>
      <c r="B169" s="60">
        <v>165</v>
      </c>
      <c r="C169" s="60">
        <v>4</v>
      </c>
      <c r="D169" s="60">
        <v>42</v>
      </c>
      <c r="E169" s="51"/>
      <c r="F169" s="51"/>
      <c r="G169" s="51"/>
      <c r="H169" s="51">
        <v>1</v>
      </c>
      <c r="I169" s="49">
        <f t="shared" si="6"/>
        <v>16.8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30</v>
      </c>
      <c r="B170" s="60">
        <v>205</v>
      </c>
      <c r="C170" s="60">
        <v>5</v>
      </c>
      <c r="D170" s="60">
        <v>42</v>
      </c>
      <c r="E170" s="51"/>
      <c r="F170" s="51"/>
      <c r="G170" s="51"/>
      <c r="H170" s="51">
        <v>1</v>
      </c>
      <c r="I170" s="49">
        <f t="shared" si="6"/>
        <v>16.399999999999999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35</v>
      </c>
      <c r="B171" s="60">
        <v>239</v>
      </c>
      <c r="C171" s="60">
        <v>6</v>
      </c>
      <c r="D171" s="60">
        <v>42</v>
      </c>
      <c r="E171" s="51">
        <v>1</v>
      </c>
      <c r="F171" s="51"/>
      <c r="G171" s="51"/>
      <c r="H171" s="51"/>
      <c r="I171" s="49">
        <f t="shared" si="6"/>
        <v>15.2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40</v>
      </c>
      <c r="B172" s="60">
        <v>263</v>
      </c>
      <c r="C172" s="60">
        <v>7</v>
      </c>
      <c r="D172" s="60">
        <v>40</v>
      </c>
      <c r="E172" s="51">
        <v>1</v>
      </c>
      <c r="F172" s="51"/>
      <c r="G172" s="51"/>
      <c r="H172" s="51"/>
      <c r="I172" s="49">
        <f t="shared" si="6"/>
        <v>13.2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45</v>
      </c>
      <c r="B173" s="50">
        <v>280</v>
      </c>
      <c r="C173" s="50">
        <v>8</v>
      </c>
      <c r="D173" s="50">
        <v>26</v>
      </c>
      <c r="E173" s="51">
        <v>1</v>
      </c>
      <c r="F173" s="51"/>
      <c r="G173" s="51"/>
      <c r="H173" s="51"/>
      <c r="I173" s="49">
        <f t="shared" si="6"/>
        <v>11.4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50</v>
      </c>
      <c r="B174" s="50">
        <v>303</v>
      </c>
      <c r="C174" s="50">
        <v>9</v>
      </c>
      <c r="D174" s="50">
        <v>21</v>
      </c>
      <c r="E174" s="51">
        <v>1</v>
      </c>
      <c r="F174" s="51"/>
      <c r="G174" s="51"/>
      <c r="H174" s="51"/>
      <c r="I174" s="49">
        <f t="shared" si="6"/>
        <v>9.8000000000000007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55</v>
      </c>
      <c r="B175" s="50">
        <v>324</v>
      </c>
      <c r="C175" s="50">
        <v>10</v>
      </c>
      <c r="D175" s="50">
        <v>18</v>
      </c>
      <c r="E175" s="51">
        <v>1</v>
      </c>
      <c r="F175" s="51"/>
      <c r="G175" s="51"/>
      <c r="H175" s="51"/>
      <c r="I175" s="49">
        <f t="shared" si="6"/>
        <v>8.4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60</v>
      </c>
      <c r="B176" s="50">
        <v>343</v>
      </c>
      <c r="C176" s="50">
        <v>11</v>
      </c>
      <c r="D176" s="50">
        <v>17</v>
      </c>
      <c r="E176" s="51">
        <v>1</v>
      </c>
      <c r="F176" s="51"/>
      <c r="G176" s="51"/>
      <c r="H176" s="51"/>
      <c r="I176" s="49">
        <f t="shared" si="6"/>
        <v>7.4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65</v>
      </c>
      <c r="B177" s="50">
        <v>356</v>
      </c>
      <c r="C177" s="50">
        <v>12</v>
      </c>
      <c r="D177" s="50">
        <v>16</v>
      </c>
      <c r="E177" s="51">
        <v>1</v>
      </c>
      <c r="F177" s="51"/>
      <c r="G177" s="51"/>
      <c r="H177" s="51"/>
      <c r="I177" s="49">
        <f t="shared" si="6"/>
        <v>6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70</v>
      </c>
      <c r="B178" s="50">
        <v>366</v>
      </c>
      <c r="C178" s="50">
        <v>13</v>
      </c>
      <c r="D178" s="50">
        <v>15</v>
      </c>
      <c r="E178" s="51">
        <v>1</v>
      </c>
      <c r="F178" s="51"/>
      <c r="G178" s="51"/>
      <c r="H178" s="51"/>
      <c r="I178" s="49">
        <f t="shared" si="6"/>
        <v>5.2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75</v>
      </c>
      <c r="B179" s="50">
        <v>375</v>
      </c>
      <c r="C179" s="50">
        <v>14</v>
      </c>
      <c r="D179" s="50">
        <v>14</v>
      </c>
      <c r="E179" s="51">
        <v>1</v>
      </c>
      <c r="F179" s="51"/>
      <c r="G179" s="51"/>
      <c r="H179" s="51"/>
      <c r="I179" s="49">
        <f t="shared" si="6"/>
        <v>4.8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80</v>
      </c>
      <c r="B180" s="50">
        <v>381</v>
      </c>
      <c r="C180" s="50">
        <v>15</v>
      </c>
      <c r="D180" s="50">
        <v>13</v>
      </c>
      <c r="E180" s="51">
        <v>1</v>
      </c>
      <c r="F180" s="51"/>
      <c r="G180" s="51"/>
      <c r="H180" s="51"/>
      <c r="I180" s="49">
        <f t="shared" si="6"/>
        <v>4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Douglas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17</v>
      </c>
      <c r="B192" s="60">
        <v>172.88</v>
      </c>
      <c r="C192" s="60"/>
      <c r="D192" s="60"/>
      <c r="E192" s="51"/>
      <c r="F192" s="51"/>
      <c r="G192" s="51"/>
      <c r="H192" s="51"/>
      <c r="I192" s="49">
        <f>IFERROR(B192/A192,"")</f>
        <v>10.169411764705883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18</v>
      </c>
      <c r="B193" s="60">
        <v>202.42</v>
      </c>
      <c r="C193" s="60">
        <v>1</v>
      </c>
      <c r="D193" s="60">
        <v>74.819999999999993</v>
      </c>
      <c r="E193" s="51"/>
      <c r="F193" s="51"/>
      <c r="G193" s="51">
        <v>1</v>
      </c>
      <c r="H193" s="51"/>
      <c r="I193" s="49">
        <f t="shared" ref="I193:I211" si="7">IF(A193&lt;&gt;0,(B193-(B192-D192))/(A193-A192),"")</f>
        <v>29.539999999999992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24</v>
      </c>
      <c r="B194" s="60">
        <v>289.16000000000003</v>
      </c>
      <c r="C194" s="60">
        <v>2</v>
      </c>
      <c r="D194" s="60">
        <v>51.39</v>
      </c>
      <c r="E194" s="51"/>
      <c r="F194" s="51">
        <v>1</v>
      </c>
      <c r="G194" s="51"/>
      <c r="H194" s="51"/>
      <c r="I194" s="49">
        <f t="shared" si="7"/>
        <v>26.926666666666673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30</v>
      </c>
      <c r="B195" s="60">
        <v>410.69</v>
      </c>
      <c r="C195" s="60">
        <v>3</v>
      </c>
      <c r="D195" s="60">
        <v>80.97</v>
      </c>
      <c r="E195" s="51"/>
      <c r="F195" s="51">
        <v>1</v>
      </c>
      <c r="G195" s="51"/>
      <c r="H195" s="51"/>
      <c r="I195" s="49">
        <f t="shared" si="7"/>
        <v>28.819999999999993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36</v>
      </c>
      <c r="B196" s="60">
        <v>501.69</v>
      </c>
      <c r="C196" s="60">
        <v>4</v>
      </c>
      <c r="D196" s="60">
        <v>85.88</v>
      </c>
      <c r="E196" s="51">
        <v>1</v>
      </c>
      <c r="F196" s="51"/>
      <c r="G196" s="51"/>
      <c r="H196" s="51"/>
      <c r="I196" s="49">
        <f t="shared" si="7"/>
        <v>28.661666666666662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42</v>
      </c>
      <c r="B197" s="60">
        <v>584.37</v>
      </c>
      <c r="C197" s="60">
        <v>5</v>
      </c>
      <c r="D197" s="60">
        <v>91.25</v>
      </c>
      <c r="E197" s="51">
        <v>1</v>
      </c>
      <c r="F197" s="51"/>
      <c r="G197" s="51"/>
      <c r="H197" s="51"/>
      <c r="I197" s="49">
        <f t="shared" si="7"/>
        <v>28.093333333333334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48</v>
      </c>
      <c r="B198" s="60">
        <v>655.72</v>
      </c>
      <c r="C198" s="60">
        <v>6</v>
      </c>
      <c r="D198" s="60">
        <v>101.34</v>
      </c>
      <c r="E198" s="51">
        <v>1</v>
      </c>
      <c r="F198" s="51"/>
      <c r="G198" s="51"/>
      <c r="H198" s="51"/>
      <c r="I198" s="49">
        <f t="shared" si="7"/>
        <v>27.100000000000005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54</v>
      </c>
      <c r="B199" s="50">
        <v>708.61</v>
      </c>
      <c r="C199" s="50">
        <v>7</v>
      </c>
      <c r="D199" s="50">
        <v>707.75</v>
      </c>
      <c r="E199" s="51">
        <v>1</v>
      </c>
      <c r="F199" s="51"/>
      <c r="G199" s="51"/>
      <c r="H199" s="51"/>
      <c r="I199" s="49">
        <f t="shared" si="7"/>
        <v>25.705000000000002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Peuplier Robusta</v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>
        <v>4</v>
      </c>
      <c r="B218" s="60">
        <v>2.5641025640000001</v>
      </c>
      <c r="C218" s="50"/>
      <c r="D218" s="60"/>
      <c r="E218" s="63"/>
      <c r="F218" s="63"/>
      <c r="G218" s="63"/>
      <c r="H218" s="63"/>
      <c r="I218" s="53">
        <f>IFERROR(B218/A218,"")</f>
        <v>0.64102564100000003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>
        <v>9</v>
      </c>
      <c r="B219" s="60">
        <v>143.58974359999999</v>
      </c>
      <c r="C219" s="50"/>
      <c r="D219" s="60"/>
      <c r="E219" s="63"/>
      <c r="F219" s="63"/>
      <c r="G219" s="63"/>
      <c r="H219" s="63"/>
      <c r="I219" s="53">
        <f t="shared" ref="I219:I237" si="8">IF(A219&lt;&gt;0,(B219-(B218-D218))/(A219-A218),"")</f>
        <v>28.205128207199998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>
        <v>14</v>
      </c>
      <c r="B220" s="60">
        <v>297.43589739999999</v>
      </c>
      <c r="C220" s="50"/>
      <c r="D220" s="60"/>
      <c r="E220" s="63"/>
      <c r="F220" s="63"/>
      <c r="G220" s="63"/>
      <c r="H220" s="63"/>
      <c r="I220" s="53">
        <f t="shared" si="8"/>
        <v>30.769230759999999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>
        <v>19</v>
      </c>
      <c r="B221" s="55">
        <v>303.84615380000002</v>
      </c>
      <c r="C221" s="55"/>
      <c r="D221" s="55"/>
      <c r="E221" s="63"/>
      <c r="F221" s="63"/>
      <c r="G221" s="63"/>
      <c r="H221" s="63"/>
      <c r="I221" s="53">
        <f t="shared" si="8"/>
        <v>1.2820512800000075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>
        <v>24</v>
      </c>
      <c r="B222" s="55">
        <v>319.8717949</v>
      </c>
      <c r="C222" s="55" t="s">
        <v>324</v>
      </c>
      <c r="D222" s="55">
        <v>319.8717949</v>
      </c>
      <c r="E222" s="63">
        <v>0.77</v>
      </c>
      <c r="F222" s="63">
        <v>0.21</v>
      </c>
      <c r="G222" s="63">
        <v>0</v>
      </c>
      <c r="H222" s="63">
        <v>0</v>
      </c>
      <c r="I222" s="53">
        <f t="shared" si="8"/>
        <v>3.2051282199999944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6" zoomScale="115" zoomScaleNormal="115" workbookViewId="0">
      <selection activeCell="G21" sqref="G21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26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Chêne rouge d'Amérique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sessile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Chêne pubescent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Erable plane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Hêtre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Châtaignier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>Douglas</v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>Peuplier Robusta</v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252.49539407921907</v>
      </c>
      <c r="T3" s="59">
        <f>IF('Données projet'!E9&gt;30,$R$33-$H$33,LOOKUP('Données projet'!$E$9,$A$3:$A$203,R3:R203)-LOOKUP('Données projet'!$E$9,$A$3:$A$203,$H$3:$H$203))</f>
        <v>263.36387286233929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370.05613271587413</v>
      </c>
      <c r="AO3" s="59">
        <f>IF('Données projet'!E10&gt;30,$AM$33-$H$33,LOOKUP('Données projet'!$E$10,$A$3:$A$203,AM3:AM203)-LOOKUP('Données projet'!$E$10,$A$3:$A$203,$H$3:$H$203))</f>
        <v>183.24480056442525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428.72181435671394</v>
      </c>
      <c r="BJ3" s="59">
        <f>IF('Données projet'!E11&gt;30,$BH$33-$H$33,LOOKUP('Données projet'!$E$11,$A$3:$A$203,BH3:BH203)-LOOKUP('Données projet'!$E$11,$A$3:$A$203,$H$3:$H$203))</f>
        <v>211.84936043087572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296.737543892524</v>
      </c>
      <c r="CE3" s="59">
        <f>IF('Données projet'!E12&gt;30,$CC$33-$H$33,LOOKUP('Données projet'!$E$12,$A$3:$A$203,CC3:CC203)-LOOKUP('Données projet'!$E$12,$A$3:$A$203,$H$3:$H$203))</f>
        <v>296.38358650317099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391.93999504334352</v>
      </c>
      <c r="CZ3" s="59">
        <f>IF('Données projet'!E13&gt;30,$CX$33-$H$33,LOOKUP('Données projet'!$E$13,$A$3:$A$203,CX3:CX203)-LOOKUP('Données projet'!$E$13,$A$3:$A$203,$H$3:$H$203))</f>
        <v>215.4484906985528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267.92147257573157</v>
      </c>
      <c r="DU3" s="59">
        <f>IF('Données projet'!E14&gt;30,$DS$33-$H$33,LOOKUP('Données projet'!$E$14,$A$3:$A$203,DS3:DS203)-LOOKUP('Données projet'!$E$14,$A$3:$A$203,$H$3:$H$203))</f>
        <v>269.06662611892438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326.29985515186428</v>
      </c>
      <c r="EP3" s="59">
        <f>IF('Données projet'!E15&gt;30,$EN$33-$H$33,LOOKUP('Données projet'!$E$15,$A$3:$A$203,EN3:EN203)-LOOKUP('Données projet'!$E$15,$A$3:$A$203,$H$3:$H$203))</f>
        <v>437.68177084535927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211.14768428403215</v>
      </c>
      <c r="FK3" s="59">
        <f>IF('Données projet'!E16&gt;30,$FI$33-$H$33,LOOKUP('Données projet'!$E$16,$A$3:$A$203,FI3:FI203)-LOOKUP('Données projet'!$E$16,$A$3:$A$203,$H$3:$H$203))</f>
        <v>350.7800157534798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0.87360000000000015</v>
      </c>
      <c r="D4" s="11">
        <f>IFERROR(EXP(-1.0587+0.8836*LN(C4)+0.284),0)</f>
        <v>0.40897418972440713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9.9005726926094599</v>
      </c>
      <c r="H4" s="66">
        <f t="shared" ref="H4:H67" si="1">(B4+E4+F4)*44/12+(C4+D4)*0.475*44/12</f>
        <v>295.56715004710333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3.5</v>
      </c>
      <c r="N4" s="13">
        <f>IF('Données projet'!$A$36&gt;35,N3+M4-V3,IF(A4&lt;'Données projet'!$A$36,$K$205^A4,IF(A4='Données projet'!$A$36,'Données projet'!$B$36,N3+M4-V3)))</f>
        <v>1.4269435884576509</v>
      </c>
      <c r="O4" s="13">
        <f>N4*VLOOKUP('Données projet'!$B$9,Paramètres!$A$1:$I$89,3,0)*VLOOKUP('Données projet'!$B$9,Paramètres!$A$1:$I$89,5,0)</f>
        <v>1.246577918876604</v>
      </c>
      <c r="P4" s="13">
        <f>EXP(-1.0587+0.8836*LN(O4)+0.284)</f>
        <v>0.55992486380829476</v>
      </c>
      <c r="Q4" s="20">
        <f t="shared" ref="Q4:Q34" si="2">(O4+P4)*0.475*44/12</f>
        <v>3.1463256798428652</v>
      </c>
      <c r="R4" s="59">
        <f t="shared" si="0"/>
        <v>296.47965901317616</v>
      </c>
      <c r="S4" s="59">
        <f ca="1">AVERAGE(OFFSET($R$3,0,0,'Données projet'!$E$9+1,1))-AVERAGE(OFFSET($H$3,0,0,'Données projet'!$E$9+1,1))</f>
        <v>252.49539407921907</v>
      </c>
      <c r="T4" s="59">
        <f>$T$3</f>
        <v>263.36387286233929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4.0628205133333335</v>
      </c>
      <c r="AI4" s="13">
        <f>IF('Données projet'!$A$62&gt;35,AI3+AH4-AQ3,IF(A4&lt;'Données projet'!$A$62,$AF$205^A4,IF(A4='Données projet'!$A$62,'Données projet'!$B$62,AI3+AH4-AQ3)))</f>
        <v>1.1736311550493581</v>
      </c>
      <c r="AJ4" s="13">
        <f>AI4*VLOOKUP('Données projet'!$B$10,Paramètres!$A$1:$I$89,3,0)*VLOOKUP('Données projet'!$B$10,Paramètres!$A$1:$I$89,5,0)</f>
        <v>1.0619014690886592</v>
      </c>
      <c r="AK4" s="13">
        <f>EXP(-1.0587+0.8836*LN(AJ4)+0.284)</f>
        <v>0.48595950733071469</v>
      </c>
      <c r="AL4" s="20">
        <f t="shared" ref="AL4:AL67" si="4">(AJ4+AK4)*0.475*44/12</f>
        <v>2.6958578672637423</v>
      </c>
      <c r="AM4" s="59">
        <f t="shared" ref="AM4:AM67" si="5">AL4+(AD4+AE4)*44/12</f>
        <v>296.02919120059704</v>
      </c>
      <c r="AN4" s="59">
        <f ca="1">AVERAGE(OFFSET($AM$3,0,0,'Données projet'!$E$10+1,1))-AVERAGE(OFFSET($H$3,0,0,'Données projet'!$E$10+1,1))</f>
        <v>370.05613271587413</v>
      </c>
      <c r="AO4" s="59">
        <f>$AO$3</f>
        <v>183.24480056442525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4.0628205133333335</v>
      </c>
      <c r="BD4" s="12">
        <f>IF('Données projet'!$A$88&gt;35,BD3+BC4-BL3,IF(A4&lt;'Données projet'!$A$88,$BA$205^A4,IF(A4='Données projet'!$A$88,'Données projet'!$B$88,BD3+BC4-BL3)))</f>
        <v>1.1736311550493581</v>
      </c>
      <c r="BE4" s="13">
        <f>BD4*VLOOKUP('Données projet'!$B$11,Paramètres!$A$1:$I$89,3,0)*VLOOKUP('Données projet'!$B$11,Paramètres!$A$1:$I$89,5,0)</f>
        <v>1.1900619912200492</v>
      </c>
      <c r="BF4" s="13">
        <f>EXP(-1.0587+0.8836*LN(BE4)+0.284)</f>
        <v>0.53743426225495639</v>
      </c>
      <c r="BG4" s="20">
        <f t="shared" ref="BG4:BG67" si="7">(BE4+BF4)*0.475*44/12</f>
        <v>3.0087226414689678</v>
      </c>
      <c r="BH4" s="59">
        <f t="shared" ref="BH4:BH67" si="8">BG4+(AY4+AZ4)*44/12</f>
        <v>296.34205597480229</v>
      </c>
      <c r="BI4" s="59">
        <f ca="1">AVERAGE(OFFSET($BH$3,0,0,'Données projet'!$E$11+1,1))-AVERAGE(OFFSET($H$3,0,0,'Données projet'!$E$11+1,1))</f>
        <v>428.72181435671394</v>
      </c>
      <c r="BJ4" s="59">
        <f>$BJ$3</f>
        <v>211.84936043087572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1.9</v>
      </c>
      <c r="BY4" s="12">
        <f>IF('Données projet'!$A$114&gt;35,BY3+BX4-CG3,IF(A4&lt;'Données projet'!$A$114,$BV$205^A4,IF(A4='Données projet'!$A$114,'Données projet'!$B$114,BY3+BX4-CG3)))</f>
        <v>1.3423796509621049</v>
      </c>
      <c r="BZ4" s="13">
        <f>BY4*VLOOKUP('Données projet'!$B$12,Paramètres!$A$1:$I$89,3,0)*VLOOKUP('Données projet'!$B$12,Paramètres!$A$1:$I$89,5,0)</f>
        <v>1.0679972503054507</v>
      </c>
      <c r="CA4" s="13">
        <f>EXP(-1.0587+0.8836*LN(BZ4)+0.284)</f>
        <v>0.48842359485523285</v>
      </c>
      <c r="CB4" s="20">
        <f t="shared" ref="CB4:CB67" si="10">(BZ4+CA4)*0.475*44/12</f>
        <v>2.7107663053215236</v>
      </c>
      <c r="CC4" s="59">
        <f t="shared" ref="CC4:CC67" si="11">CB4+(BT4+BU4)*44/12</f>
        <v>296.04409963865481</v>
      </c>
      <c r="CD4" s="59">
        <f ca="1">AVERAGE(OFFSET($CC$3,0,0,'Données projet'!$E$12+1,1))-AVERAGE(OFFSET($H$3,0,0,'Données projet'!$E$12+1,1))</f>
        <v>296.737543892524</v>
      </c>
      <c r="CE4" s="59">
        <f>$CE$3</f>
        <v>296.38358650317099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2.8</v>
      </c>
      <c r="CT4" s="12">
        <f>IF('Données projet'!$A$140&gt;35,CT3+CS4-DB3,IF(A4&lt;'Données projet'!$A$140,$CQ$205^A4,IF(A4='Données projet'!$A$140,'Données projet'!$B$140,CT3+CS4-DB3)))</f>
        <v>1.2229519710813024</v>
      </c>
      <c r="CU4" s="17">
        <f>CT4*VLOOKUP('Données projet'!$B$13,Paramètres!$A$1:$I$89,3,0)*VLOOKUP('Données projet'!$B$13,Paramètres!$A$1:$I$89,5,0)</f>
        <v>1.0492927911877574</v>
      </c>
      <c r="CV4" s="13">
        <f>EXP(-1.0587+0.8836*LN(CU4)+0.284)</f>
        <v>0.48085748368030745</v>
      </c>
      <c r="CW4" s="20">
        <f t="shared" ref="CW4:CW67" si="13">(CU4+CV4)*0.475*44/12</f>
        <v>2.6650117287285462</v>
      </c>
      <c r="CX4" s="59">
        <f t="shared" ref="CX4:CX67" si="14">CW4+(CO4+CP4)*44/12</f>
        <v>295.99834506206184</v>
      </c>
      <c r="CY4" s="59">
        <f ca="1">AVERAGE(OFFSET($CX$3,0,0,'Données projet'!$E$13+1,1))-AVERAGE(OFFSET($H$3,0,0,'Données projet'!$E$13+1,1))</f>
        <v>391.93999504334352</v>
      </c>
      <c r="CZ4" s="59">
        <f>$CZ$3</f>
        <v>215.4484906985528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1.9</v>
      </c>
      <c r="DO4" s="12">
        <f>IF('Données projet'!$A$166&gt;35,DO3+DN4-DW3,IF(A4&lt;'Données projet'!$A$166,$DL$205^A4,IF(A4='Données projet'!$A$166,'Données projet'!$B$166,DO3+DN4-DW3)))</f>
        <v>1.3423796509621049</v>
      </c>
      <c r="DP4" s="17">
        <f>DO4*VLOOKUP('Données projet'!$B$14,Paramètres!$A$1:$I$89,3,0)*VLOOKUP('Données projet'!$B$14,Paramètres!$A$1:$I$89,5,0)</f>
        <v>0.98423276008541516</v>
      </c>
      <c r="DQ4" s="13">
        <f>EXP(-1.0587+0.8836*LN(DP4)+0.284)</f>
        <v>0.45441566615213064</v>
      </c>
      <c r="DR4" s="20">
        <f t="shared" ref="DR4:DR67" si="16">(DP4+DQ4)*0.475*44/12</f>
        <v>2.5056460090303925</v>
      </c>
      <c r="DS4" s="59">
        <f t="shared" ref="DS4:DS67" si="17">DR4+(DJ4+DK4)*44/12</f>
        <v>295.8389793423637</v>
      </c>
      <c r="DT4" s="59">
        <f ca="1">AVERAGE(OFFSET($DS$3,0,0,'Données projet'!$E$14+1,1))-AVERAGE(OFFSET($H$3,0,0,'Données projet'!$E$14+1,1))</f>
        <v>267.92147257573157</v>
      </c>
      <c r="DU4" s="59">
        <f>$DU$3</f>
        <v>269.06662611892438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10.169411764705883</v>
      </c>
      <c r="EJ4" s="12">
        <f>IF('Données projet'!$A$192&gt;35,EJ3+EI4-ER3,IF(A4&lt;'Données projet'!$A$192,$EG$205^A4,IF(A4='Données projet'!$A$192,'Données projet'!$B$192,EJ3+EI4-ER3)))</f>
        <v>1.3540417154604885</v>
      </c>
      <c r="EK4" s="17">
        <f>EJ4*VLOOKUP('Données projet'!$B$15,Paramètres!$A$1:$I$89,3,0)*VLOOKUP('Données projet'!$B$15,Paramètres!$A$1:$I$89,5,0)</f>
        <v>0.75690931894241309</v>
      </c>
      <c r="EL4" s="13">
        <f>EXP(-1.0587+0.8836*LN(EK4)+0.284)</f>
        <v>0.36030908494947955</v>
      </c>
      <c r="EM4" s="20">
        <f t="shared" ref="EM4:EM67" si="19">(EK4+EL4)*0.475*44/12</f>
        <v>1.9458220534450461</v>
      </c>
      <c r="EN4" s="59">
        <f t="shared" ref="EN4:EN67" si="20">EM4+(EE4+EF4)*44/12</f>
        <v>295.27915538677837</v>
      </c>
      <c r="EO4" s="59">
        <f ca="1">AVERAGE(OFFSET($EN$3,0,0,'Données projet'!$E$15+1,1))-AVERAGE(OFFSET($H$3,0,0,'Données projet'!$E$15+1,1))</f>
        <v>326.29985515186428</v>
      </c>
      <c r="EP4" s="59">
        <f>$EP$3</f>
        <v>437.68177084535927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0.64102564100000003</v>
      </c>
      <c r="FE4" s="12">
        <f>IF('Données projet'!$A$218&gt;35,FE3+FD4-FM3,IF(A4&lt;'Données projet'!$A$218,$FB$205^A4,IF(A4='Données projet'!$A$218,'Données projet'!$B$218,FE3+FD4-FM3)))</f>
        <v>1.2654175350526977</v>
      </c>
      <c r="FF4" s="17">
        <f>FE4*VLOOKUP('Données projet'!$B$16,Paramètres!$A$1:$I$89,3,0)*VLOOKUP('Données projet'!$B$16,Paramètres!$A$1:$I$89,5,0)</f>
        <v>0.72447684716837057</v>
      </c>
      <c r="FG4" s="13">
        <f>EXP(-1.0587+0.8836*LN(FF4)+0.284)</f>
        <v>0.34663285377649022</v>
      </c>
      <c r="FH4" s="20">
        <f t="shared" ref="FH4:FH67" si="22">(FF4+FG4)*0.475*44/12</f>
        <v>1.8655160624789655</v>
      </c>
      <c r="FI4" s="59">
        <f t="shared" ref="FI4:FI67" si="23">FH4+(EZ4+FA4)*44/12</f>
        <v>295.19884939581226</v>
      </c>
      <c r="FJ4" s="59">
        <f ca="1">AVERAGE(OFFSET($FI$3,0,0,'Données projet'!$E$16+1,1))-AVERAGE(OFFSET($H$3,0,0,'Données projet'!$E$16+1,1))</f>
        <v>211.14768428403215</v>
      </c>
      <c r="FK4" s="59">
        <f>$FK$3</f>
        <v>350.7800157534798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1.7472000000000003</v>
      </c>
      <c r="D5" s="11">
        <f t="shared" ref="D5:D68" si="32">IFERROR(EXP(-1.0587+0.8836*LN(C5)+0.284),0)</f>
        <v>0.75454649280048791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19.311727312845875</v>
      </c>
      <c r="H5" s="66">
        <f t="shared" si="1"/>
        <v>297.69054180829414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3.5</v>
      </c>
      <c r="N5" s="13">
        <f>IF('Données projet'!$A$36&gt;35,N4+M5-V4,IF(A5&lt;'Données projet'!$A$36,$K$205^A5,IF(A5='Données projet'!$A$36,'Données projet'!$B$36,N4+M5-V4)))</f>
        <v>2.0361680046403978</v>
      </c>
      <c r="O5" s="13">
        <f>N5*VLOOKUP('Données projet'!$B$9,Paramètres!$A$1:$I$89,3,0)*VLOOKUP('Données projet'!$B$9,Paramètres!$A$1:$I$89,5,0)</f>
        <v>1.7787963688538517</v>
      </c>
      <c r="P5" s="13">
        <f t="shared" ref="P5:P68" si="33">EXP(-1.0587+0.8836*LN(O5)+0.284)</f>
        <v>0.76659080447596062</v>
      </c>
      <c r="Q5" s="20">
        <f t="shared" si="2"/>
        <v>4.4332159935494238</v>
      </c>
      <c r="R5" s="59">
        <f t="shared" si="0"/>
        <v>297.76654932688274</v>
      </c>
      <c r="S5" s="59">
        <f ca="1">AVERAGE(OFFSET($R$3,0,0,'Données projet'!$E$9+1,1))-AVERAGE(OFFSET($H$3,0,0,'Données projet'!$E$9+1,1))</f>
        <v>252.49539407921907</v>
      </c>
      <c r="T5" s="59">
        <f t="shared" ref="T5:T68" si="34">$T$3</f>
        <v>263.36387286233929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4.0628205133333335</v>
      </c>
      <c r="AI5" s="13">
        <f>IF('Données projet'!$A$62&gt;35,AI4+AH5-AQ4,IF(A5&lt;'Données projet'!$A$62,$AF$205^A5,IF(A5='Données projet'!$A$62,'Données projet'!$B$62,AI4+AH5-AQ4)))</f>
        <v>1.3774100881024904</v>
      </c>
      <c r="AJ5" s="13">
        <f>AI5*VLOOKUP('Données projet'!$B$10,Paramètres!$A$1:$I$89,3,0)*VLOOKUP('Données projet'!$B$10,Paramètres!$A$1:$I$89,5,0)</f>
        <v>1.2462806477151334</v>
      </c>
      <c r="AK5" s="13">
        <f t="shared" ref="AK5:AK68" si="35">EXP(-1.0587+0.8836*LN(AJ5)+0.284)</f>
        <v>0.55980687934033857</v>
      </c>
      <c r="AL5" s="20">
        <f t="shared" si="4"/>
        <v>3.1456024429549463</v>
      </c>
      <c r="AM5" s="59">
        <f t="shared" si="5"/>
        <v>296.47893577628827</v>
      </c>
      <c r="AN5" s="59">
        <f ca="1">AVERAGE(OFFSET($AM$3,0,0,'Données projet'!$E$10+1,1))-AVERAGE(OFFSET($H$3,0,0,'Données projet'!$E$10+1,1))</f>
        <v>370.05613271587413</v>
      </c>
      <c r="AO5" s="59">
        <f t="shared" ref="AO5:AO68" si="36">$AO$3</f>
        <v>183.24480056442525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4.0628205133333335</v>
      </c>
      <c r="BD5" s="12">
        <f>IF('Données projet'!$A$88&gt;35,BD4+BC5-BL4,IF(A5&lt;'Données projet'!$A$88,$BA$205^A5,IF(A5='Données projet'!$A$88,'Données projet'!$B$88,BD4+BC5-BL4)))</f>
        <v>1.3774100881024904</v>
      </c>
      <c r="BE5" s="13">
        <f>BD5*VLOOKUP('Données projet'!$B$11,Paramètres!$A$1:$I$89,3,0)*VLOOKUP('Données projet'!$B$11,Paramètres!$A$1:$I$89,5,0)</f>
        <v>1.3966938293359255</v>
      </c>
      <c r="BF5" s="13">
        <f t="shared" ref="BF5:BF68" si="37">EXP(-1.0587+0.8836*LN(BE5)+0.284)</f>
        <v>0.61910384026868615</v>
      </c>
      <c r="BG5" s="20">
        <f t="shared" si="7"/>
        <v>3.5108476078946986</v>
      </c>
      <c r="BH5" s="59">
        <f t="shared" si="8"/>
        <v>296.84418094122799</v>
      </c>
      <c r="BI5" s="59">
        <f ca="1">AVERAGE(OFFSET($BH$3,0,0,'Données projet'!$E$11+1,1))-AVERAGE(OFFSET($H$3,0,0,'Données projet'!$E$11+1,1))</f>
        <v>428.72181435671394</v>
      </c>
      <c r="BJ5" s="59">
        <f t="shared" ref="BJ5:BJ68" si="38">$BJ$3</f>
        <v>211.84936043087572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1.9</v>
      </c>
      <c r="BY5" s="12">
        <f>IF('Données projet'!$A$114&gt;35,BY4+BX5-CG4,IF(A5&lt;'Données projet'!$A$114,$BV$205^A5,IF(A5='Données projet'!$A$114,'Données projet'!$B$114,BY4+BX5-CG4)))</f>
        <v>1.8019831273171425</v>
      </c>
      <c r="BZ5" s="13">
        <f>BY5*VLOOKUP('Données projet'!$B$12,Paramètres!$A$1:$I$89,3,0)*VLOOKUP('Données projet'!$B$12,Paramètres!$A$1:$I$89,5,0)</f>
        <v>1.4336577760935185</v>
      </c>
      <c r="CA5" s="13">
        <f t="shared" ref="CA5:CA68" si="39">EXP(-1.0587+0.8836*LN(BZ5)+0.284)</f>
        <v>0.63355934907379652</v>
      </c>
      <c r="CB5" s="20">
        <f t="shared" si="10"/>
        <v>3.6004031596664068</v>
      </c>
      <c r="CC5" s="59">
        <f t="shared" si="11"/>
        <v>296.93373649299974</v>
      </c>
      <c r="CD5" s="59">
        <f ca="1">AVERAGE(OFFSET($CC$3,0,0,'Données projet'!$E$12+1,1))-AVERAGE(OFFSET($H$3,0,0,'Données projet'!$E$12+1,1))</f>
        <v>296.737543892524</v>
      </c>
      <c r="CE5" s="59">
        <f t="shared" ref="CE5:CE68" si="40">$CE$3</f>
        <v>296.38358650317099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2.8</v>
      </c>
      <c r="CT5" s="12">
        <f>IF('Données projet'!$A$140&gt;35,CT4+CS5-DB4,IF(A5&lt;'Données projet'!$A$140,$CQ$205^A5,IF(A5='Données projet'!$A$140,'Données projet'!$B$140,CT4+CS5-DB4)))</f>
        <v>1.4956115235716427</v>
      </c>
      <c r="CU5" s="17">
        <f>CT5*VLOOKUP('Données projet'!$B$13,Paramètres!$A$1:$I$89,3,0)*VLOOKUP('Données projet'!$B$13,Paramètres!$A$1:$I$89,5,0)</f>
        <v>1.2832346872244698</v>
      </c>
      <c r="CV5" s="13">
        <f t="shared" ref="CV5:CV68" si="41">EXP(-1.0587+0.8836*LN(CU5)+0.284)</f>
        <v>0.57444879990343678</v>
      </c>
      <c r="CW5" s="20">
        <f t="shared" si="13"/>
        <v>3.2354654067477706</v>
      </c>
      <c r="CX5" s="59">
        <f t="shared" si="14"/>
        <v>296.56879874008109</v>
      </c>
      <c r="CY5" s="59">
        <f ca="1">AVERAGE(OFFSET($CX$3,0,0,'Données projet'!$E$13+1,1))-AVERAGE(OFFSET($H$3,0,0,'Données projet'!$E$13+1,1))</f>
        <v>391.93999504334352</v>
      </c>
      <c r="CZ5" s="59">
        <f t="shared" ref="CZ5:CZ68" si="42">$CZ$3</f>
        <v>215.4484906985528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1.9</v>
      </c>
      <c r="DO5" s="12">
        <f>IF('Données projet'!$A$166&gt;35,DO4+DN5-DW4,IF(A5&lt;'Données projet'!$A$166,$DL$205^A5,IF(A5='Données projet'!$A$166,'Données projet'!$B$166,DO4+DN5-DW4)))</f>
        <v>1.8019831273171425</v>
      </c>
      <c r="DP5" s="17">
        <f>DO5*VLOOKUP('Données projet'!$B$14,Paramètres!$A$1:$I$89,3,0)*VLOOKUP('Données projet'!$B$14,Paramètres!$A$1:$I$89,5,0)</f>
        <v>1.3212140289489287</v>
      </c>
      <c r="DQ5" s="13">
        <f t="shared" ref="DQ5:DQ68" si="43">EXP(-1.0587+0.8836*LN(DP5)+0.284)</f>
        <v>0.58944591680017422</v>
      </c>
      <c r="DR5" s="20">
        <f t="shared" si="16"/>
        <v>3.327732738846354</v>
      </c>
      <c r="DS5" s="59">
        <f t="shared" si="17"/>
        <v>296.66106607217966</v>
      </c>
      <c r="DT5" s="59">
        <f ca="1">AVERAGE(OFFSET($DS$3,0,0,'Données projet'!$E$14+1,1))-AVERAGE(OFFSET($H$3,0,0,'Données projet'!$E$14+1,1))</f>
        <v>267.92147257573157</v>
      </c>
      <c r="DU5" s="59">
        <f t="shared" ref="DU5:DU68" si="44">$DU$3</f>
        <v>269.06662611892438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10.169411764705883</v>
      </c>
      <c r="EJ5" s="12">
        <f>IF('Données projet'!$A$192&gt;35,EJ4+EI5-ER4,IF(A5&lt;'Données projet'!$A$192,$EG$205^A5,IF(A5='Données projet'!$A$192,'Données projet'!$B$192,EJ4+EI5-ER4)))</f>
        <v>1.8334289672071824</v>
      </c>
      <c r="EK5" s="17">
        <f>EJ5*VLOOKUP('Données projet'!$B$15,Paramètres!$A$1:$I$89,3,0)*VLOOKUP('Données projet'!$B$15,Paramètres!$A$1:$I$89,5,0)</f>
        <v>1.024886792668815</v>
      </c>
      <c r="EL5" s="13">
        <f t="shared" ref="EL5:EL68" si="45">EXP(-1.0587+0.8836*LN(EK5)+0.284)</f>
        <v>0.47096137102098057</v>
      </c>
      <c r="EM5" s="20">
        <f t="shared" si="19"/>
        <v>2.6052688850930608</v>
      </c>
      <c r="EN5" s="59">
        <f t="shared" si="20"/>
        <v>295.93860221842635</v>
      </c>
      <c r="EO5" s="59">
        <f ca="1">AVERAGE(OFFSET($EN$3,0,0,'Données projet'!$E$15+1,1))-AVERAGE(OFFSET($H$3,0,0,'Données projet'!$E$15+1,1))</f>
        <v>326.29985515186428</v>
      </c>
      <c r="EP5" s="59">
        <f t="shared" ref="EP5:EP68" si="46">$EP$3</f>
        <v>437.68177084535927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0.64102564100000003</v>
      </c>
      <c r="FE5" s="12">
        <f>IF('Données projet'!$A$218&gt;35,FE4+FD5-FM4,IF(A5&lt;'Données projet'!$A$218,$FB$205^A5,IF(A5='Données projet'!$A$218,'Données projet'!$B$218,FE4+FD5-FM4)))</f>
        <v>1.6012815380188454</v>
      </c>
      <c r="FF5" s="17">
        <f>FE5*VLOOKUP('Données projet'!$B$16,Paramètres!$A$1:$I$89,3,0)*VLOOKUP('Données projet'!$B$16,Paramètres!$A$1:$I$89,5,0)</f>
        <v>0.9167657061465494</v>
      </c>
      <c r="FG5" s="13">
        <f t="shared" ref="FG5:FG68" si="47">EXP(-1.0587+0.8836*LN(FF5)+0.284)</f>
        <v>0.42677950066746267</v>
      </c>
      <c r="FH5" s="20">
        <f t="shared" si="22"/>
        <v>2.3400079018677378</v>
      </c>
      <c r="FI5" s="59">
        <f t="shared" si="23"/>
        <v>295.67334123520106</v>
      </c>
      <c r="FJ5" s="59">
        <f ca="1">AVERAGE(OFFSET($FI$3,0,0,'Données projet'!$E$16+1,1))-AVERAGE(OFFSET($H$3,0,0,'Données projet'!$E$16+1,1))</f>
        <v>211.14768428403215</v>
      </c>
      <c r="FK5" s="59">
        <f t="shared" ref="FK5:FK68" si="48">$FK$3</f>
        <v>350.7800157534798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2.6208000000000005</v>
      </c>
      <c r="D6" s="11">
        <f t="shared" si="32"/>
        <v>1.0796431690647796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28.564824462956199</v>
      </c>
      <c r="H6" s="66">
        <f t="shared" si="1"/>
        <v>299.77827185278778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3.5</v>
      </c>
      <c r="N6" s="13">
        <f>IF('Données projet'!$A$36&gt;35,N5+M6-V5,IF(A6&lt;'Données projet'!$A$36,$K$205^A6,IF(A6='Données projet'!$A$36,'Données projet'!$B$36,N5+M6-V5)))</f>
        <v>2.905496879244224</v>
      </c>
      <c r="O6" s="13">
        <f>N6*VLOOKUP('Données projet'!$B$9,Paramètres!$A$1:$I$89,3,0)*VLOOKUP('Données projet'!$B$9,Paramètres!$A$1:$I$89,5,0)</f>
        <v>2.5382420737077545</v>
      </c>
      <c r="P6" s="13">
        <f t="shared" si="33"/>
        <v>1.049536285118966</v>
      </c>
      <c r="Q6" s="20">
        <f t="shared" si="2"/>
        <v>6.2487139749565381</v>
      </c>
      <c r="R6" s="59">
        <f t="shared" si="0"/>
        <v>299.58204730828987</v>
      </c>
      <c r="S6" s="59">
        <f ca="1">AVERAGE(OFFSET($R$3,0,0,'Données projet'!$E$9+1,1))-AVERAGE(OFFSET($H$3,0,0,'Données projet'!$E$9+1,1))</f>
        <v>252.49539407921907</v>
      </c>
      <c r="T6" s="59">
        <f t="shared" si="34"/>
        <v>263.36387286233929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4.0628205133333335</v>
      </c>
      <c r="AI6" s="13">
        <f>IF('Données projet'!$A$62&gt;35,AI5+AH6-AQ5,IF(A6&lt;'Données projet'!$A$62,$AF$205^A6,IF(A6='Données projet'!$A$62,'Données projet'!$B$62,AI5+AH6-AQ5)))</f>
        <v>1.6165713926763641</v>
      </c>
      <c r="AJ6" s="13">
        <f>AI6*VLOOKUP('Données projet'!$B$10,Paramètres!$A$1:$I$89,3,0)*VLOOKUP('Données projet'!$B$10,Paramètres!$A$1:$I$89,5,0)</f>
        <v>1.4626737960935743</v>
      </c>
      <c r="AK6" s="13">
        <f t="shared" si="35"/>
        <v>0.64487624468574989</v>
      </c>
      <c r="AL6" s="20">
        <f t="shared" si="4"/>
        <v>3.670649654357323</v>
      </c>
      <c r="AM6" s="59">
        <f t="shared" si="5"/>
        <v>297.00398298769062</v>
      </c>
      <c r="AN6" s="59">
        <f ca="1">AVERAGE(OFFSET($AM$3,0,0,'Données projet'!$E$10+1,1))-AVERAGE(OFFSET($H$3,0,0,'Données projet'!$E$10+1,1))</f>
        <v>370.05613271587413</v>
      </c>
      <c r="AO6" s="59">
        <f t="shared" si="36"/>
        <v>183.24480056442525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4.0628205133333335</v>
      </c>
      <c r="BD6" s="12">
        <f>IF('Données projet'!$A$88&gt;35,BD5+BC6-BL5,IF(A6&lt;'Données projet'!$A$88,$BA$205^A6,IF(A6='Données projet'!$A$88,'Données projet'!$B$88,BD5+BC6-BL5)))</f>
        <v>1.6165713926763641</v>
      </c>
      <c r="BE6" s="13">
        <f>BD6*VLOOKUP('Données projet'!$B$11,Paramètres!$A$1:$I$89,3,0)*VLOOKUP('Données projet'!$B$11,Paramètres!$A$1:$I$89,5,0)</f>
        <v>1.6392033921738332</v>
      </c>
      <c r="BF6" s="13">
        <f t="shared" si="37"/>
        <v>0.71318408958006496</v>
      </c>
      <c r="BG6" s="20">
        <f t="shared" si="7"/>
        <v>4.0970748640547061</v>
      </c>
      <c r="BH6" s="59">
        <f t="shared" si="8"/>
        <v>297.43040819738803</v>
      </c>
      <c r="BI6" s="59">
        <f ca="1">AVERAGE(OFFSET($BH$3,0,0,'Données projet'!$E$11+1,1))-AVERAGE(OFFSET($H$3,0,0,'Données projet'!$E$11+1,1))</f>
        <v>428.72181435671394</v>
      </c>
      <c r="BJ6" s="59">
        <f t="shared" si="38"/>
        <v>211.84936043087572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1.9</v>
      </c>
      <c r="BY6" s="12">
        <f>IF('Données projet'!$A$114&gt;35,BY5+BX6-CG5,IF(A6&lt;'Données projet'!$A$114,$BV$205^A6,IF(A6='Données projet'!$A$114,'Données projet'!$B$114,BY5+BX6-CG5)))</f>
        <v>2.4189454814875879</v>
      </c>
      <c r="BZ6" s="13">
        <f>BY6*VLOOKUP('Données projet'!$B$12,Paramètres!$A$1:$I$89,3,0)*VLOOKUP('Données projet'!$B$12,Paramètres!$A$1:$I$89,5,0)</f>
        <v>1.9245130250715252</v>
      </c>
      <c r="CA6" s="13">
        <f t="shared" si="39"/>
        <v>0.82182239561499026</v>
      </c>
      <c r="CB6" s="20">
        <f t="shared" si="10"/>
        <v>4.7832008576956815</v>
      </c>
      <c r="CC6" s="59">
        <f t="shared" si="11"/>
        <v>298.11653419102902</v>
      </c>
      <c r="CD6" s="59">
        <f ca="1">AVERAGE(OFFSET($CC$3,0,0,'Données projet'!$E$12+1,1))-AVERAGE(OFFSET($H$3,0,0,'Données projet'!$E$12+1,1))</f>
        <v>296.737543892524</v>
      </c>
      <c r="CE6" s="59">
        <f t="shared" si="40"/>
        <v>296.38358650317099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2.8</v>
      </c>
      <c r="CT6" s="12">
        <f>IF('Données projet'!$A$140&gt;35,CT5+CS6-DB5,IF(A6&lt;'Données projet'!$A$140,$CQ$205^A6,IF(A6='Données projet'!$A$140,'Données projet'!$B$140,CT5+CS6-DB5)))</f>
        <v>1.8290610607238502</v>
      </c>
      <c r="CU6" s="17">
        <f>CT6*VLOOKUP('Données projet'!$B$13,Paramètres!$A$1:$I$89,3,0)*VLOOKUP('Données projet'!$B$13,Paramètres!$A$1:$I$89,5,0)</f>
        <v>1.5693343901010637</v>
      </c>
      <c r="CV6" s="13">
        <f t="shared" si="41"/>
        <v>0.68625618797666377</v>
      </c>
      <c r="CW6" s="20">
        <f t="shared" si="13"/>
        <v>3.9284869234853752</v>
      </c>
      <c r="CX6" s="59">
        <f t="shared" si="14"/>
        <v>297.26182025681868</v>
      </c>
      <c r="CY6" s="59">
        <f ca="1">AVERAGE(OFFSET($CX$3,0,0,'Données projet'!$E$13+1,1))-AVERAGE(OFFSET($H$3,0,0,'Données projet'!$E$13+1,1))</f>
        <v>391.93999504334352</v>
      </c>
      <c r="CZ6" s="59">
        <f t="shared" si="42"/>
        <v>215.4484906985528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1.9</v>
      </c>
      <c r="DO6" s="12">
        <f>IF('Données projet'!$A$166&gt;35,DO5+DN6-DW5,IF(A6&lt;'Données projet'!$A$166,$DL$205^A6,IF(A6='Données projet'!$A$166,'Données projet'!$B$166,DO5+DN6-DW5)))</f>
        <v>2.4189454814875879</v>
      </c>
      <c r="DP6" s="17">
        <f>DO6*VLOOKUP('Données projet'!$B$14,Paramètres!$A$1:$I$89,3,0)*VLOOKUP('Données projet'!$B$14,Paramètres!$A$1:$I$89,5,0)</f>
        <v>1.7735708270266992</v>
      </c>
      <c r="DQ6" s="13">
        <f t="shared" si="43"/>
        <v>0.76460059525341872</v>
      </c>
      <c r="DR6" s="20">
        <f t="shared" si="16"/>
        <v>4.4206485604712045</v>
      </c>
      <c r="DS6" s="59">
        <f t="shared" si="17"/>
        <v>297.75398189380451</v>
      </c>
      <c r="DT6" s="59">
        <f ca="1">AVERAGE(OFFSET($DS$3,0,0,'Données projet'!$E$14+1,1))-AVERAGE(OFFSET($H$3,0,0,'Données projet'!$E$14+1,1))</f>
        <v>267.92147257573157</v>
      </c>
      <c r="DU6" s="59">
        <f t="shared" si="44"/>
        <v>269.06662611892438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10.169411764705883</v>
      </c>
      <c r="EJ6" s="12">
        <f>IF('Données projet'!$A$192&gt;35,EJ5+EI6-ER5,IF(A6&lt;'Données projet'!$A$192,$EG$205^A6,IF(A6='Données projet'!$A$192,'Données projet'!$B$192,EJ5+EI6-ER5)))</f>
        <v>2.4825393039321648</v>
      </c>
      <c r="EK6" s="17">
        <f>EJ6*VLOOKUP('Données projet'!$B$15,Paramètres!$A$1:$I$89,3,0)*VLOOKUP('Données projet'!$B$15,Paramètres!$A$1:$I$89,5,0)</f>
        <v>1.3877394708980801</v>
      </c>
      <c r="EL6" s="13">
        <f t="shared" si="45"/>
        <v>0.61559539367446658</v>
      </c>
      <c r="EM6" s="20">
        <f t="shared" si="19"/>
        <v>3.4891415557971848</v>
      </c>
      <c r="EN6" s="59">
        <f t="shared" si="20"/>
        <v>296.82247488913049</v>
      </c>
      <c r="EO6" s="59">
        <f ca="1">AVERAGE(OFFSET($EN$3,0,0,'Données projet'!$E$15+1,1))-AVERAGE(OFFSET($H$3,0,0,'Données projet'!$E$15+1,1))</f>
        <v>326.29985515186428</v>
      </c>
      <c r="EP6" s="59">
        <f t="shared" si="46"/>
        <v>437.68177084535927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0.64102564100000003</v>
      </c>
      <c r="FE6" s="12">
        <f>IF('Données projet'!$A$218&gt;35,FE5+FD6-FM5,IF(A6&lt;'Données projet'!$A$218,$FB$205^A6,IF(A6='Données projet'!$A$218,'Données projet'!$B$218,FE5+FD6-FM5)))</f>
        <v>2.0262897367652002</v>
      </c>
      <c r="FF6" s="17">
        <f>FE6*VLOOKUP('Données projet'!$B$16,Paramètres!$A$1:$I$89,3,0)*VLOOKUP('Données projet'!$B$16,Paramètres!$A$1:$I$89,5,0)</f>
        <v>1.1600914000928124</v>
      </c>
      <c r="FG6" s="13">
        <f t="shared" si="47"/>
        <v>0.52545723870540451</v>
      </c>
      <c r="FH6" s="20">
        <f t="shared" si="22"/>
        <v>2.9356638792402276</v>
      </c>
      <c r="FI6" s="59">
        <f t="shared" si="23"/>
        <v>296.26899721257354</v>
      </c>
      <c r="FJ6" s="59">
        <f ca="1">AVERAGE(OFFSET($FI$3,0,0,'Données projet'!$E$16+1,1))-AVERAGE(OFFSET($H$3,0,0,'Données projet'!$E$16+1,1))</f>
        <v>211.14768428403215</v>
      </c>
      <c r="FK6" s="59">
        <f t="shared" si="48"/>
        <v>350.7800157534798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3.4944000000000006</v>
      </c>
      <c r="D7" s="11">
        <f t="shared" si="32"/>
        <v>1.392118192547003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37.720491310889152</v>
      </c>
      <c r="H7" s="66">
        <f t="shared" si="1"/>
        <v>301.84401918535269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3.5</v>
      </c>
      <c r="N7" s="13">
        <f>IF('Données projet'!$A$36&gt;35,N6+M7-V6,IF(A7&lt;'Données projet'!$A$36,$K$205^A7,IF(A7='Données projet'!$A$36,'Données projet'!$B$36,N6+M7-V6)))</f>
        <v>4.1459801431212595</v>
      </c>
      <c r="O7" s="13">
        <f>N7*VLOOKUP('Données projet'!$B$9,Paramètres!$A$1:$I$89,3,0)*VLOOKUP('Données projet'!$B$9,Paramètres!$A$1:$I$89,5,0)</f>
        <v>3.6219282530307328</v>
      </c>
      <c r="P7" s="13">
        <f t="shared" si="33"/>
        <v>1.4369157669903438</v>
      </c>
      <c r="Q7" s="20">
        <f t="shared" si="2"/>
        <v>8.8108200015367082</v>
      </c>
      <c r="R7" s="59">
        <f t="shared" si="0"/>
        <v>302.14415333487</v>
      </c>
      <c r="S7" s="59">
        <f ca="1">AVERAGE(OFFSET($R$3,0,0,'Données projet'!$E$9+1,1))-AVERAGE(OFFSET($H$3,0,0,'Données projet'!$E$9+1,1))</f>
        <v>252.49539407921907</v>
      </c>
      <c r="T7" s="59">
        <f t="shared" si="34"/>
        <v>263.36387286233929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4.0628205133333335</v>
      </c>
      <c r="AI7" s="13">
        <f>IF('Données projet'!$A$62&gt;35,AI6+AH7-AQ6,IF(A7&lt;'Données projet'!$A$62,$AF$205^A7,IF(A7='Données projet'!$A$62,'Données projet'!$B$62,AI6+AH7-AQ6)))</f>
        <v>1.8972585508065105</v>
      </c>
      <c r="AJ7" s="13">
        <f>AI7*VLOOKUP('Données projet'!$B$10,Paramètres!$A$1:$I$89,3,0)*VLOOKUP('Données projet'!$B$10,Paramètres!$A$1:$I$89,5,0)</f>
        <v>1.7166395367697307</v>
      </c>
      <c r="AK7" s="13">
        <f t="shared" si="35"/>
        <v>0.74287291976482961</v>
      </c>
      <c r="AL7" s="20">
        <f t="shared" si="4"/>
        <v>4.2836508617976925</v>
      </c>
      <c r="AM7" s="59">
        <f t="shared" si="5"/>
        <v>297.61698419513101</v>
      </c>
      <c r="AN7" s="59">
        <f ca="1">AVERAGE(OFFSET($AM$3,0,0,'Données projet'!$E$10+1,1))-AVERAGE(OFFSET($H$3,0,0,'Données projet'!$E$10+1,1))</f>
        <v>370.05613271587413</v>
      </c>
      <c r="AO7" s="59">
        <f t="shared" si="36"/>
        <v>183.24480056442525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4.0628205133333335</v>
      </c>
      <c r="BD7" s="12">
        <f>IF('Données projet'!$A$88&gt;35,BD6+BC7-BL6,IF(A7&lt;'Données projet'!$A$88,$BA$205^A7,IF(A7='Données projet'!$A$88,'Données projet'!$B$88,BD6+BC7-BL6)))</f>
        <v>1.8972585508065105</v>
      </c>
      <c r="BE7" s="13">
        <f>BD7*VLOOKUP('Données projet'!$B$11,Paramètres!$A$1:$I$89,3,0)*VLOOKUP('Données projet'!$B$11,Paramètres!$A$1:$I$89,5,0)</f>
        <v>1.9238201705178017</v>
      </c>
      <c r="BF7" s="13">
        <f t="shared" si="37"/>
        <v>0.82156096045116445</v>
      </c>
      <c r="BG7" s="20">
        <f t="shared" si="7"/>
        <v>4.7815388031042829</v>
      </c>
      <c r="BH7" s="59">
        <f t="shared" si="8"/>
        <v>298.11487213643761</v>
      </c>
      <c r="BI7" s="59">
        <f ca="1">AVERAGE(OFFSET($BH$3,0,0,'Données projet'!$E$11+1,1))-AVERAGE(OFFSET($H$3,0,0,'Données projet'!$E$11+1,1))</f>
        <v>428.72181435671394</v>
      </c>
      <c r="BJ7" s="59">
        <f t="shared" si="38"/>
        <v>211.84936043087572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1.9</v>
      </c>
      <c r="BY7" s="12">
        <f>IF('Données projet'!$A$114&gt;35,BY6+BX7-CG6,IF(A7&lt;'Données projet'!$A$114,$BV$205^A7,IF(A7='Données projet'!$A$114,'Données projet'!$B$114,BY6+BX7-CG6)))</f>
        <v>3.247143191135669</v>
      </c>
      <c r="BZ7" s="13">
        <f>BY7*VLOOKUP('Données projet'!$B$12,Paramètres!$A$1:$I$89,3,0)*VLOOKUP('Données projet'!$B$12,Paramètres!$A$1:$I$89,5,0)</f>
        <v>2.5834271228675387</v>
      </c>
      <c r="CA7" s="13">
        <f t="shared" si="39"/>
        <v>1.066028069701316</v>
      </c>
      <c r="CB7" s="20">
        <f t="shared" si="10"/>
        <v>6.3561344603907548</v>
      </c>
      <c r="CC7" s="59">
        <f t="shared" si="11"/>
        <v>299.68946779372408</v>
      </c>
      <c r="CD7" s="59">
        <f ca="1">AVERAGE(OFFSET($CC$3,0,0,'Données projet'!$E$12+1,1))-AVERAGE(OFFSET($H$3,0,0,'Données projet'!$E$12+1,1))</f>
        <v>296.737543892524</v>
      </c>
      <c r="CE7" s="59">
        <f t="shared" si="40"/>
        <v>296.38358650317099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2.8</v>
      </c>
      <c r="CT7" s="12">
        <f>IF('Données projet'!$A$140&gt;35,CT6+CS7-DB6,IF(A7&lt;'Données projet'!$A$140,$CQ$205^A7,IF(A7='Données projet'!$A$140,'Données projet'!$B$140,CT6+CS7-DB6)))</f>
        <v>2.2368538294402907</v>
      </c>
      <c r="CU7" s="17">
        <f>CT7*VLOOKUP('Données projet'!$B$13,Paramètres!$A$1:$I$89,3,0)*VLOOKUP('Données projet'!$B$13,Paramètres!$A$1:$I$89,5,0)</f>
        <v>1.9192205856597695</v>
      </c>
      <c r="CV7" s="13">
        <f t="shared" si="41"/>
        <v>0.8198251186449117</v>
      </c>
      <c r="CW7" s="20">
        <f t="shared" si="13"/>
        <v>4.770504601663986</v>
      </c>
      <c r="CX7" s="59">
        <f t="shared" si="14"/>
        <v>298.10383793499727</v>
      </c>
      <c r="CY7" s="59">
        <f ca="1">AVERAGE(OFFSET($CX$3,0,0,'Données projet'!$E$13+1,1))-AVERAGE(OFFSET($H$3,0,0,'Données projet'!$E$13+1,1))</f>
        <v>391.93999504334352</v>
      </c>
      <c r="CZ7" s="59">
        <f t="shared" si="42"/>
        <v>215.4484906985528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1.9</v>
      </c>
      <c r="DO7" s="12">
        <f>IF('Données projet'!$A$166&gt;35,DO6+DN7-DW6,IF(A7&lt;'Données projet'!$A$166,$DL$205^A7,IF(A7='Données projet'!$A$166,'Données projet'!$B$166,DO6+DN7-DW6)))</f>
        <v>3.247143191135669</v>
      </c>
      <c r="DP7" s="17">
        <f>DO7*VLOOKUP('Données projet'!$B$14,Paramètres!$A$1:$I$89,3,0)*VLOOKUP('Données projet'!$B$14,Paramètres!$A$1:$I$89,5,0)</f>
        <v>2.3808053877406725</v>
      </c>
      <c r="DQ7" s="13">
        <f t="shared" si="43"/>
        <v>0.99180273134383279</v>
      </c>
      <c r="DR7" s="20">
        <f t="shared" si="16"/>
        <v>5.8739591407388465</v>
      </c>
      <c r="DS7" s="59">
        <f t="shared" si="17"/>
        <v>299.20729247407218</v>
      </c>
      <c r="DT7" s="59">
        <f ca="1">AVERAGE(OFFSET($DS$3,0,0,'Données projet'!$E$14+1,1))-AVERAGE(OFFSET($H$3,0,0,'Données projet'!$E$14+1,1))</f>
        <v>267.92147257573157</v>
      </c>
      <c r="DU7" s="59">
        <f t="shared" si="44"/>
        <v>269.06662611892438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10.169411764705883</v>
      </c>
      <c r="EJ7" s="12">
        <f>IF('Données projet'!$A$192&gt;35,EJ6+EI7-ER6,IF(A7&lt;'Données projet'!$A$192,$EG$205^A7,IF(A7='Données projet'!$A$192,'Données projet'!$B$192,EJ6+EI7-ER6)))</f>
        <v>3.3614617777943954</v>
      </c>
      <c r="EK7" s="17">
        <f>EJ7*VLOOKUP('Données projet'!$B$15,Paramètres!$A$1:$I$89,3,0)*VLOOKUP('Données projet'!$B$15,Paramètres!$A$1:$I$89,5,0)</f>
        <v>1.8790571337870672</v>
      </c>
      <c r="EL7" s="13">
        <f t="shared" si="45"/>
        <v>0.80464707305334315</v>
      </c>
      <c r="EM7" s="20">
        <f t="shared" si="19"/>
        <v>4.6741181602470476</v>
      </c>
      <c r="EN7" s="59">
        <f t="shared" si="20"/>
        <v>298.00745149358033</v>
      </c>
      <c r="EO7" s="59">
        <f ca="1">AVERAGE(OFFSET($EN$3,0,0,'Données projet'!$E$15+1,1))-AVERAGE(OFFSET($H$3,0,0,'Données projet'!$E$15+1,1))</f>
        <v>326.29985515186428</v>
      </c>
      <c r="EP7" s="59">
        <f t="shared" si="46"/>
        <v>437.68177084535927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>
        <f>VLOOKUP(A7,'Données projet'!$A$217:$I$237,2,0)</f>
        <v>2.5641025640000001</v>
      </c>
      <c r="FC7" s="12">
        <f>VLOOKUP(A7,'Données projet'!$A$217:$I$237,9,0)</f>
        <v>0.64102564100000003</v>
      </c>
      <c r="FD7" s="12">
        <f t="array" ref="FD7">INDEX(FC:FC,MIN(IF(ISNUMBER(FC7:FC203),ROW(FC7:FC203),"")))</f>
        <v>0.64102564100000003</v>
      </c>
      <c r="FE7" s="12">
        <f>IF('Données projet'!$A$218&gt;35,FE6+FD7-FM6,IF(A7&lt;'Données projet'!$A$218,$FB$205^A7,IF(A7='Données projet'!$A$218,'Données projet'!$B$218,FE6+FD7-FM6)))</f>
        <v>2.5641025640000001</v>
      </c>
      <c r="FF7" s="17">
        <f>FE7*VLOOKUP('Données projet'!$B$16,Paramètres!$A$1:$I$89,3,0)*VLOOKUP('Données projet'!$B$16,Paramètres!$A$1:$I$89,5,0)</f>
        <v>1.4679999999412801</v>
      </c>
      <c r="FG7" s="13">
        <f t="shared" si="47"/>
        <v>0.64695073047344853</v>
      </c>
      <c r="FH7" s="20">
        <f t="shared" si="22"/>
        <v>3.6835391888056521</v>
      </c>
      <c r="FI7" s="59">
        <f t="shared" si="23"/>
        <v>297.01687252213895</v>
      </c>
      <c r="FJ7" s="59">
        <f ca="1">AVERAGE(OFFSET($FI$3,0,0,'Données projet'!$E$16+1,1))-AVERAGE(OFFSET($H$3,0,0,'Données projet'!$E$16+1,1))</f>
        <v>211.14768428403215</v>
      </c>
      <c r="FK7" s="59">
        <f t="shared" si="48"/>
        <v>350.7800157534798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4.3680000000000003</v>
      </c>
      <c r="D8" s="11">
        <f t="shared" si="32"/>
        <v>1.6955312417477204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46.806206076649083</v>
      </c>
      <c r="H8" s="66">
        <f t="shared" si="1"/>
        <v>303.89398357937728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3.5</v>
      </c>
      <c r="N8" s="13">
        <f>IF('Données projet'!$A$36&gt;35,N7+M8-V7,IF(A8&lt;'Données projet'!$A$36,$K$205^A8,IF(A8='Données projet'!$A$36,'Données projet'!$B$36,N7+M8-V7)))</f>
        <v>5.9160797830996152</v>
      </c>
      <c r="O8" s="13">
        <f>N8*VLOOKUP('Données projet'!$B$9,Paramètres!$A$1:$I$89,3,0)*VLOOKUP('Données projet'!$B$9,Paramètres!$A$1:$I$89,5,0)</f>
        <v>5.1682872985158239</v>
      </c>
      <c r="P8" s="13">
        <f t="shared" si="33"/>
        <v>1.967275406006004</v>
      </c>
      <c r="Q8" s="20">
        <f t="shared" si="2"/>
        <v>12.427771710375517</v>
      </c>
      <c r="R8" s="59">
        <f t="shared" si="0"/>
        <v>305.76110504370882</v>
      </c>
      <c r="S8" s="59">
        <f ca="1">AVERAGE(OFFSET($R$3,0,0,'Données projet'!$E$9+1,1))-AVERAGE(OFFSET($H$3,0,0,'Données projet'!$E$9+1,1))</f>
        <v>252.49539407921907</v>
      </c>
      <c r="T8" s="59">
        <f t="shared" si="34"/>
        <v>263.36387286233929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4.0628205133333335</v>
      </c>
      <c r="AI8" s="13">
        <f>IF('Données projet'!$A$62&gt;35,AI7+AH8-AQ7,IF(A8&lt;'Données projet'!$A$62,$AF$205^A8,IF(A8='Données projet'!$A$62,'Données projet'!$B$62,AI7+AH8-AQ7)))</f>
        <v>2.2266817444103162</v>
      </c>
      <c r="AJ8" s="13">
        <f>AI8*VLOOKUP('Données projet'!$B$10,Paramètres!$A$1:$I$89,3,0)*VLOOKUP('Données projet'!$B$10,Paramètres!$A$1:$I$89,5,0)</f>
        <v>2.014701642342454</v>
      </c>
      <c r="AK8" s="13">
        <f t="shared" si="35"/>
        <v>0.85576136424260163</v>
      </c>
      <c r="AL8" s="20">
        <f t="shared" si="4"/>
        <v>4.999389736468971</v>
      </c>
      <c r="AM8" s="59">
        <f t="shared" si="5"/>
        <v>298.33272306980228</v>
      </c>
      <c r="AN8" s="59">
        <f ca="1">AVERAGE(OFFSET($AM$3,0,0,'Données projet'!$E$10+1,1))-AVERAGE(OFFSET($H$3,0,0,'Données projet'!$E$10+1,1))</f>
        <v>370.05613271587413</v>
      </c>
      <c r="AO8" s="59">
        <f t="shared" si="36"/>
        <v>183.24480056442525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4.0628205133333335</v>
      </c>
      <c r="BD8" s="12">
        <f>IF('Données projet'!$A$88&gt;35,BD7+BC8-BL7,IF(A8&lt;'Données projet'!$A$88,$BA$205^A8,IF(A8='Données projet'!$A$88,'Données projet'!$B$88,BD7+BC8-BL7)))</f>
        <v>2.2266817444103162</v>
      </c>
      <c r="BE8" s="13">
        <f>BD8*VLOOKUP('Données projet'!$B$11,Paramètres!$A$1:$I$89,3,0)*VLOOKUP('Données projet'!$B$11,Paramètres!$A$1:$I$89,5,0)</f>
        <v>2.2578552888320607</v>
      </c>
      <c r="BF8" s="13">
        <f t="shared" si="37"/>
        <v>0.94640699589199906</v>
      </c>
      <c r="BG8" s="20">
        <f t="shared" si="7"/>
        <v>5.58075681256107</v>
      </c>
      <c r="BH8" s="59">
        <f t="shared" si="8"/>
        <v>298.91409014589436</v>
      </c>
      <c r="BI8" s="59">
        <f ca="1">AVERAGE(OFFSET($BH$3,0,0,'Données projet'!$E$11+1,1))-AVERAGE(OFFSET($H$3,0,0,'Données projet'!$E$11+1,1))</f>
        <v>428.72181435671394</v>
      </c>
      <c r="BJ8" s="59">
        <f t="shared" si="38"/>
        <v>211.84936043087572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1.9</v>
      </c>
      <c r="BY8" s="12">
        <f>IF('Données projet'!$A$114&gt;35,BY7+BX8-CG7,IF(A8&lt;'Données projet'!$A$114,$BV$205^A8,IF(A8='Données projet'!$A$114,'Données projet'!$B$114,BY7+BX8-CG7)))</f>
        <v>4.3588989435406749</v>
      </c>
      <c r="BZ8" s="13">
        <f>BY8*VLOOKUP('Données projet'!$B$12,Paramètres!$A$1:$I$89,3,0)*VLOOKUP('Données projet'!$B$12,Paramètres!$A$1:$I$89,5,0)</f>
        <v>3.467939999480961</v>
      </c>
      <c r="CA8" s="13">
        <f t="shared" si="39"/>
        <v>1.382799801337496</v>
      </c>
      <c r="CB8" s="20">
        <f t="shared" si="10"/>
        <v>8.4483718197588118</v>
      </c>
      <c r="CC8" s="59">
        <f t="shared" si="11"/>
        <v>301.7817051530921</v>
      </c>
      <c r="CD8" s="59">
        <f ca="1">AVERAGE(OFFSET($CC$3,0,0,'Données projet'!$E$12+1,1))-AVERAGE(OFFSET($H$3,0,0,'Données projet'!$E$12+1,1))</f>
        <v>296.737543892524</v>
      </c>
      <c r="CE8" s="59">
        <f t="shared" si="40"/>
        <v>296.38358650317099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2.8</v>
      </c>
      <c r="CT8" s="12">
        <f>IF('Données projet'!$A$140&gt;35,CT7+CS8-DB7,IF(A8&lt;'Données projet'!$A$140,$CQ$205^A8,IF(A8='Données projet'!$A$140,'Données projet'!$B$140,CT7+CS8-DB7)))</f>
        <v>2.735564799734763</v>
      </c>
      <c r="CU8" s="17">
        <f>CT8*VLOOKUP('Données projet'!$B$13,Paramètres!$A$1:$I$89,3,0)*VLOOKUP('Données projet'!$B$13,Paramètres!$A$1:$I$89,5,0)</f>
        <v>2.3471145981724271</v>
      </c>
      <c r="CV8" s="13">
        <f t="shared" si="41"/>
        <v>0.97939113254888255</v>
      </c>
      <c r="CW8" s="20">
        <f t="shared" si="13"/>
        <v>5.7936641476729482</v>
      </c>
      <c r="CX8" s="59">
        <f t="shared" si="14"/>
        <v>299.12699748100624</v>
      </c>
      <c r="CY8" s="59">
        <f ca="1">AVERAGE(OFFSET($CX$3,0,0,'Données projet'!$E$13+1,1))-AVERAGE(OFFSET($H$3,0,0,'Données projet'!$E$13+1,1))</f>
        <v>391.93999504334352</v>
      </c>
      <c r="CZ8" s="59">
        <f t="shared" si="42"/>
        <v>215.4484906985528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1.9</v>
      </c>
      <c r="DO8" s="12">
        <f>IF('Données projet'!$A$166&gt;35,DO7+DN8-DW7,IF(A8&lt;'Données projet'!$A$166,$DL$205^A8,IF(A8='Données projet'!$A$166,'Données projet'!$B$166,DO7+DN8-DW7)))</f>
        <v>4.3588989435406749</v>
      </c>
      <c r="DP8" s="17">
        <f>DO8*VLOOKUP('Données projet'!$B$14,Paramètres!$A$1:$I$89,3,0)*VLOOKUP('Données projet'!$B$14,Paramètres!$A$1:$I$89,5,0)</f>
        <v>3.1959447054040226</v>
      </c>
      <c r="DQ8" s="13">
        <f t="shared" si="43"/>
        <v>1.2865182998910156</v>
      </c>
      <c r="DR8" s="20">
        <f t="shared" si="16"/>
        <v>7.8069564008888577</v>
      </c>
      <c r="DS8" s="59">
        <f t="shared" si="17"/>
        <v>301.14028973422216</v>
      </c>
      <c r="DT8" s="59">
        <f ca="1">AVERAGE(OFFSET($DS$3,0,0,'Données projet'!$E$14+1,1))-AVERAGE(OFFSET($H$3,0,0,'Données projet'!$E$14+1,1))</f>
        <v>267.92147257573157</v>
      </c>
      <c r="DU8" s="59">
        <f t="shared" si="44"/>
        <v>269.06662611892438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10.169411764705883</v>
      </c>
      <c r="EJ8" s="12">
        <f>IF('Données projet'!$A$192&gt;35,EJ7+EI8-ER7,IF(A8&lt;'Données projet'!$A$192,$EG$205^A8,IF(A8='Données projet'!$A$192,'Données projet'!$B$192,EJ7+EI8-ER7)))</f>
        <v>4.5515594720595862</v>
      </c>
      <c r="EK8" s="17">
        <f>EJ8*VLOOKUP('Données projet'!$B$15,Paramètres!$A$1:$I$89,3,0)*VLOOKUP('Données projet'!$B$15,Paramètres!$A$1:$I$89,5,0)</f>
        <v>2.5443217448813087</v>
      </c>
      <c r="EL8" s="13">
        <f t="shared" si="45"/>
        <v>1.051757239944024</v>
      </c>
      <c r="EM8" s="20">
        <f t="shared" si="19"/>
        <v>6.2631708985707881</v>
      </c>
      <c r="EN8" s="59">
        <f t="shared" si="20"/>
        <v>299.59650423190408</v>
      </c>
      <c r="EO8" s="59">
        <f ca="1">AVERAGE(OFFSET($EN$3,0,0,'Données projet'!$E$15+1,1))-AVERAGE(OFFSET($H$3,0,0,'Données projet'!$E$15+1,1))</f>
        <v>326.29985515186428</v>
      </c>
      <c r="EP8" s="59">
        <f t="shared" si="46"/>
        <v>437.68177084535927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28.205128207199998</v>
      </c>
      <c r="FE8" s="12">
        <f>IF('Données projet'!$A$218&gt;35,FE7+FD8-FM7,IF(A8&lt;'Données projet'!$A$218,$FB$205^A8,IF(A8='Données projet'!$A$218,'Données projet'!$B$218,FE7+FD8-FM7)))</f>
        <v>30.769230771199997</v>
      </c>
      <c r="FF8" s="17">
        <f>FE8*VLOOKUP('Données projet'!$B$16,Paramètres!$A$1:$I$89,3,0)*VLOOKUP('Données projet'!$B$16,Paramètres!$A$1:$I$89,5,0)</f>
        <v>17.616000001127421</v>
      </c>
      <c r="FG8" s="13">
        <f t="shared" si="47"/>
        <v>5.8134742962516395</v>
      </c>
      <c r="FH8" s="20">
        <f t="shared" si="22"/>
        <v>40.806334401268529</v>
      </c>
      <c r="FI8" s="59">
        <f t="shared" si="23"/>
        <v>334.13966773460186</v>
      </c>
      <c r="FJ8" s="59">
        <f ca="1">AVERAGE(OFFSET($FI$3,0,0,'Données projet'!$E$16+1,1))-AVERAGE(OFFSET($H$3,0,0,'Données projet'!$E$16+1,1))</f>
        <v>211.14768428403215</v>
      </c>
      <c r="FK8" s="59">
        <f t="shared" si="48"/>
        <v>350.7800157534798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5.2416</v>
      </c>
      <c r="D9" s="11">
        <f t="shared" si="32"/>
        <v>1.9919129059043814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55.83764348417418</v>
      </c>
      <c r="H9" s="66">
        <f t="shared" si="1"/>
        <v>305.93170164445013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3.5</v>
      </c>
      <c r="N9" s="13">
        <f>IF('Données projet'!$A$36&gt;35,N8+M9-V8,IF(A9&lt;'Données projet'!$A$36,$K$205^A9,IF(A9='Données projet'!$A$36,'Données projet'!$B$36,N8+M9-V8)))</f>
        <v>8.4419121152979262</v>
      </c>
      <c r="O9" s="13">
        <f>N9*VLOOKUP('Données projet'!$B$9,Paramètres!$A$1:$I$89,3,0)*VLOOKUP('Données projet'!$B$9,Paramètres!$A$1:$I$89,5,0)</f>
        <v>7.3748544239242699</v>
      </c>
      <c r="P9" s="13">
        <f t="shared" si="33"/>
        <v>2.6933885840659002</v>
      </c>
      <c r="Q9" s="20">
        <f t="shared" si="2"/>
        <v>17.535523238916209</v>
      </c>
      <c r="R9" s="59">
        <f t="shared" si="0"/>
        <v>310.86885657224951</v>
      </c>
      <c r="S9" s="59">
        <f ca="1">AVERAGE(OFFSET($R$3,0,0,'Données projet'!$E$9+1,1))-AVERAGE(OFFSET($H$3,0,0,'Données projet'!$E$9+1,1))</f>
        <v>252.49539407921907</v>
      </c>
      <c r="T9" s="59">
        <f t="shared" si="34"/>
        <v>263.36387286233929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4.0628205133333335</v>
      </c>
      <c r="AI9" s="13">
        <f>IF('Données projet'!$A$62&gt;35,AI8+AH9-AQ8,IF(A9&lt;'Données projet'!$A$62,$AF$205^A9,IF(A9='Données projet'!$A$62,'Données projet'!$B$62,AI8+AH9-AQ8)))</f>
        <v>2.613303067619599</v>
      </c>
      <c r="AJ9" s="13">
        <f>AI9*VLOOKUP('Données projet'!$B$10,Paramètres!$A$1:$I$89,3,0)*VLOOKUP('Données projet'!$B$10,Paramètres!$A$1:$I$89,5,0)</f>
        <v>2.3645166155822133</v>
      </c>
      <c r="AK9" s="13">
        <f t="shared" si="35"/>
        <v>0.98580456097685032</v>
      </c>
      <c r="AL9" s="20">
        <f t="shared" si="4"/>
        <v>5.8351427158403695</v>
      </c>
      <c r="AM9" s="59">
        <f t="shared" si="5"/>
        <v>299.16847604917371</v>
      </c>
      <c r="AN9" s="59">
        <f ca="1">AVERAGE(OFFSET($AM$3,0,0,'Données projet'!$E$10+1,1))-AVERAGE(OFFSET($H$3,0,0,'Données projet'!$E$10+1,1))</f>
        <v>370.05613271587413</v>
      </c>
      <c r="AO9" s="59">
        <f t="shared" si="36"/>
        <v>183.24480056442525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4.0628205133333335</v>
      </c>
      <c r="BD9" s="12">
        <f>IF('Données projet'!$A$88&gt;35,BD8+BC9-BL8,IF(A9&lt;'Données projet'!$A$88,$BA$205^A9,IF(A9='Données projet'!$A$88,'Données projet'!$B$88,BD8+BC9-BL8)))</f>
        <v>2.613303067619599</v>
      </c>
      <c r="BE9" s="13">
        <f>BD9*VLOOKUP('Données projet'!$B$11,Paramètres!$A$1:$I$89,3,0)*VLOOKUP('Données projet'!$B$11,Paramètres!$A$1:$I$89,5,0)</f>
        <v>2.6498893105662735</v>
      </c>
      <c r="BF9" s="13">
        <f t="shared" si="37"/>
        <v>1.0902248828637717</v>
      </c>
      <c r="BG9" s="20">
        <f t="shared" si="7"/>
        <v>6.5140322202239958</v>
      </c>
      <c r="BH9" s="59">
        <f t="shared" si="8"/>
        <v>299.84736555355732</v>
      </c>
      <c r="BI9" s="59">
        <f ca="1">AVERAGE(OFFSET($BH$3,0,0,'Données projet'!$E$11+1,1))-AVERAGE(OFFSET($H$3,0,0,'Données projet'!$E$11+1,1))</f>
        <v>428.72181435671394</v>
      </c>
      <c r="BJ9" s="59">
        <f t="shared" si="38"/>
        <v>211.84936043087572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1.9</v>
      </c>
      <c r="BY9" s="12">
        <f>IF('Données projet'!$A$114&gt;35,BY8+BX9-CG8,IF(A9&lt;'Données projet'!$A$114,$BV$205^A9,IF(A9='Données projet'!$A$114,'Données projet'!$B$114,BY8+BX9-CG8)))</f>
        <v>5.8512972424092187</v>
      </c>
      <c r="BZ9" s="13">
        <f>BY9*VLOOKUP('Données projet'!$B$12,Paramètres!$A$1:$I$89,3,0)*VLOOKUP('Données projet'!$B$12,Paramètres!$A$1:$I$89,5,0)</f>
        <v>4.6552920860607747</v>
      </c>
      <c r="CA9" s="13">
        <f t="shared" si="39"/>
        <v>1.7937006960002178</v>
      </c>
      <c r="CB9" s="20">
        <f t="shared" si="10"/>
        <v>11.231995762089561</v>
      </c>
      <c r="CC9" s="59">
        <f t="shared" si="11"/>
        <v>304.5653290954229</v>
      </c>
      <c r="CD9" s="59">
        <f ca="1">AVERAGE(OFFSET($CC$3,0,0,'Données projet'!$E$12+1,1))-AVERAGE(OFFSET($H$3,0,0,'Données projet'!$E$12+1,1))</f>
        <v>296.737543892524</v>
      </c>
      <c r="CE9" s="59">
        <f t="shared" si="40"/>
        <v>296.38358650317099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2.8</v>
      </c>
      <c r="CT9" s="12">
        <f>IF('Données projet'!$A$140&gt;35,CT8+CS9-DB8,IF(A9&lt;'Données projet'!$A$140,$CQ$205^A9,IF(A9='Données projet'!$A$140,'Données projet'!$B$140,CT8+CS9-DB8)))</f>
        <v>3.3454643638562565</v>
      </c>
      <c r="CU9" s="17">
        <f>CT9*VLOOKUP('Données projet'!$B$13,Paramètres!$A$1:$I$89,3,0)*VLOOKUP('Données projet'!$B$13,Paramètres!$A$1:$I$89,5,0)</f>
        <v>2.8704084241886685</v>
      </c>
      <c r="CV9" s="13">
        <f t="shared" si="41"/>
        <v>1.170014151433729</v>
      </c>
      <c r="CW9" s="20">
        <f t="shared" si="13"/>
        <v>7.0370693192090075</v>
      </c>
      <c r="CX9" s="59">
        <f t="shared" si="14"/>
        <v>300.37040265254234</v>
      </c>
      <c r="CY9" s="59">
        <f ca="1">AVERAGE(OFFSET($CX$3,0,0,'Données projet'!$E$13+1,1))-AVERAGE(OFFSET($H$3,0,0,'Données projet'!$E$13+1,1))</f>
        <v>391.93999504334352</v>
      </c>
      <c r="CZ9" s="59">
        <f t="shared" si="42"/>
        <v>215.4484906985528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1.9</v>
      </c>
      <c r="DO9" s="12">
        <f>IF('Données projet'!$A$166&gt;35,DO8+DN9-DW8,IF(A9&lt;'Données projet'!$A$166,$DL$205^A9,IF(A9='Données projet'!$A$166,'Données projet'!$B$166,DO8+DN9-DW8)))</f>
        <v>5.8512972424092187</v>
      </c>
      <c r="DP9" s="17">
        <f>DO9*VLOOKUP('Données projet'!$B$14,Paramètres!$A$1:$I$89,3,0)*VLOOKUP('Données projet'!$B$14,Paramètres!$A$1:$I$89,5,0)</f>
        <v>4.290171138134439</v>
      </c>
      <c r="DQ9" s="13">
        <f t="shared" si="43"/>
        <v>1.6688090117596963</v>
      </c>
      <c r="DR9" s="20">
        <f t="shared" si="16"/>
        <v>10.378557094398952</v>
      </c>
      <c r="DS9" s="59">
        <f t="shared" si="17"/>
        <v>303.71189042773227</v>
      </c>
      <c r="DT9" s="59">
        <f ca="1">AVERAGE(OFFSET($DS$3,0,0,'Données projet'!$E$14+1,1))-AVERAGE(OFFSET($H$3,0,0,'Données projet'!$E$14+1,1))</f>
        <v>267.92147257573157</v>
      </c>
      <c r="DU9" s="59">
        <f t="shared" si="44"/>
        <v>269.06662611892438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10.169411764705883</v>
      </c>
      <c r="EJ9" s="12">
        <f>IF('Données projet'!$A$192&gt;35,EJ8+EI9-ER8,IF(A9&lt;'Données projet'!$A$192,$EG$205^A9,IF(A9='Données projet'!$A$192,'Données projet'!$B$192,EJ8+EI9-ER8)))</f>
        <v>6.1630013955679974</v>
      </c>
      <c r="EK9" s="17">
        <f>EJ9*VLOOKUP('Données projet'!$B$15,Paramètres!$A$1:$I$89,3,0)*VLOOKUP('Données projet'!$B$15,Paramètres!$A$1:$I$89,5,0)</f>
        <v>3.4451177801225104</v>
      </c>
      <c r="EL9" s="13">
        <f t="shared" si="45"/>
        <v>1.3747558759855676</v>
      </c>
      <c r="EM9" s="20">
        <f t="shared" si="19"/>
        <v>8.3946132843882353</v>
      </c>
      <c r="EN9" s="59">
        <f t="shared" si="20"/>
        <v>301.72794661772156</v>
      </c>
      <c r="EO9" s="59">
        <f ca="1">AVERAGE(OFFSET($EN$3,0,0,'Données projet'!$E$15+1,1))-AVERAGE(OFFSET($H$3,0,0,'Données projet'!$E$15+1,1))</f>
        <v>326.29985515186428</v>
      </c>
      <c r="EP9" s="59">
        <f t="shared" si="46"/>
        <v>437.68177084535927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28.205128207199998</v>
      </c>
      <c r="FE9" s="12">
        <f>IF('Données projet'!$A$218&gt;35,FE8+FD9-FM8,IF(A9&lt;'Données projet'!$A$218,$FB$205^A9,IF(A9='Données projet'!$A$218,'Données projet'!$B$218,FE8+FD9-FM8)))</f>
        <v>58.974358978399991</v>
      </c>
      <c r="FF9" s="17">
        <f>FE9*VLOOKUP('Données projet'!$B$16,Paramètres!$A$1:$I$89,3,0)*VLOOKUP('Données projet'!$B$16,Paramètres!$A$1:$I$89,5,0)</f>
        <v>33.764000002313558</v>
      </c>
      <c r="FG9" s="13">
        <f t="shared" si="47"/>
        <v>10.32984781999412</v>
      </c>
      <c r="FH9" s="20">
        <f t="shared" si="22"/>
        <v>76.796784957185864</v>
      </c>
      <c r="FI9" s="59">
        <f t="shared" si="23"/>
        <v>370.13011829051919</v>
      </c>
      <c r="FJ9" s="59">
        <f ca="1">AVERAGE(OFFSET($FI$3,0,0,'Données projet'!$E$16+1,1))-AVERAGE(OFFSET($H$3,0,0,'Données projet'!$E$16+1,1))</f>
        <v>211.14768428403215</v>
      </c>
      <c r="FK9" s="59">
        <f t="shared" si="48"/>
        <v>350.7800157534798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6.1151999999999997</v>
      </c>
      <c r="D10" s="11">
        <f t="shared" si="32"/>
        <v>2.2825722273844922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64.824908421915381</v>
      </c>
      <c r="H10" s="66">
        <f t="shared" si="1"/>
        <v>307.95945329602796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3.5</v>
      </c>
      <c r="N10" s="13">
        <f>IF('Données projet'!$A$36&gt;35,N9+M10-V9,IF(A10&lt;'Données projet'!$A$36,$K$205^A10,IF(A10='Données projet'!$A$36,'Données projet'!$B$36,N9+M10-V9)))</f>
        <v>12.04613236724734</v>
      </c>
      <c r="O10" s="13">
        <f>N10*VLOOKUP('Données projet'!$B$9,Paramètres!$A$1:$I$89,3,0)*VLOOKUP('Données projet'!$B$9,Paramètres!$A$1:$I$89,5,0)</f>
        <v>10.523501236027279</v>
      </c>
      <c r="P10" s="13">
        <f t="shared" si="33"/>
        <v>3.6875071190486755</v>
      </c>
      <c r="Q10" s="20">
        <f t="shared" si="2"/>
        <v>24.750839551757284</v>
      </c>
      <c r="R10" s="59">
        <f t="shared" si="0"/>
        <v>318.0841728850906</v>
      </c>
      <c r="S10" s="59">
        <f ca="1">AVERAGE(OFFSET($R$3,0,0,'Données projet'!$E$9+1,1))-AVERAGE(OFFSET($H$3,0,0,'Données projet'!$E$9+1,1))</f>
        <v>252.49539407921907</v>
      </c>
      <c r="T10" s="59">
        <f t="shared" si="34"/>
        <v>263.36387286233929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4.0628205133333335</v>
      </c>
      <c r="AI10" s="13">
        <f>IF('Données projet'!$A$62&gt;35,AI9+AH10-AQ9,IF(A10&lt;'Données projet'!$A$62,$AF$205^A10,IF(A10='Données projet'!$A$62,'Données projet'!$B$62,AI9+AH10-AQ9)))</f>
        <v>3.0670538977444211</v>
      </c>
      <c r="AJ10" s="13">
        <f>AI10*VLOOKUP('Données projet'!$B$10,Paramètres!$A$1:$I$89,3,0)*VLOOKUP('Données projet'!$B$10,Paramètres!$A$1:$I$89,5,0)</f>
        <v>2.7750703666791523</v>
      </c>
      <c r="AK10" s="13">
        <f t="shared" si="35"/>
        <v>1.1356093801954581</v>
      </c>
      <c r="AL10" s="20">
        <f t="shared" si="4"/>
        <v>6.8111005591399456</v>
      </c>
      <c r="AM10" s="59">
        <f t="shared" si="5"/>
        <v>300.14443389247327</v>
      </c>
      <c r="AN10" s="59">
        <f ca="1">AVERAGE(OFFSET($AM$3,0,0,'Données projet'!$E$10+1,1))-AVERAGE(OFFSET($H$3,0,0,'Données projet'!$E$10+1,1))</f>
        <v>370.05613271587413</v>
      </c>
      <c r="AO10" s="59">
        <f t="shared" si="36"/>
        <v>183.24480056442525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4.0628205133333335</v>
      </c>
      <c r="BD10" s="12">
        <f>IF('Données projet'!$A$88&gt;35,BD9+BC10-BL9,IF(A10&lt;'Données projet'!$A$88,$BA$205^A10,IF(A10='Données projet'!$A$88,'Données projet'!$B$88,BD9+BC10-BL9)))</f>
        <v>3.0670538977444211</v>
      </c>
      <c r="BE10" s="13">
        <f>BD10*VLOOKUP('Données projet'!$B$11,Paramètres!$A$1:$I$89,3,0)*VLOOKUP('Données projet'!$B$11,Paramètres!$A$1:$I$89,5,0)</f>
        <v>3.1099926523128434</v>
      </c>
      <c r="BF10" s="13">
        <f t="shared" si="37"/>
        <v>1.2558976216094697</v>
      </c>
      <c r="BG10" s="20">
        <f t="shared" si="7"/>
        <v>7.6039255604146936</v>
      </c>
      <c r="BH10" s="59">
        <f t="shared" si="8"/>
        <v>300.93725889374798</v>
      </c>
      <c r="BI10" s="59">
        <f ca="1">AVERAGE(OFFSET($BH$3,0,0,'Données projet'!$E$11+1,1))-AVERAGE(OFFSET($H$3,0,0,'Données projet'!$E$11+1,1))</f>
        <v>428.72181435671394</v>
      </c>
      <c r="BJ10" s="59">
        <f t="shared" si="38"/>
        <v>211.84936043087572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1.9</v>
      </c>
      <c r="BY10" s="12">
        <f>IF('Données projet'!$A$114&gt;35,BY9+BX10-CG9,IF(A10&lt;'Données projet'!$A$114,$BV$205^A10,IF(A10='Données projet'!$A$114,'Données projet'!$B$114,BY9+BX10-CG9)))</f>
        <v>7.8546623499408135</v>
      </c>
      <c r="BZ10" s="13">
        <f>BY10*VLOOKUP('Données projet'!$B$12,Paramètres!$A$1:$I$89,3,0)*VLOOKUP('Données projet'!$B$12,Paramètres!$A$1:$I$89,5,0)</f>
        <v>6.2491693656129108</v>
      </c>
      <c r="CA10" s="13">
        <f t="shared" si="39"/>
        <v>2.326701366112224</v>
      </c>
      <c r="CB10" s="20">
        <f t="shared" si="10"/>
        <v>14.936308191087944</v>
      </c>
      <c r="CC10" s="59">
        <f t="shared" si="11"/>
        <v>308.26964152442127</v>
      </c>
      <c r="CD10" s="59">
        <f ca="1">AVERAGE(OFFSET($CC$3,0,0,'Données projet'!$E$12+1,1))-AVERAGE(OFFSET($H$3,0,0,'Données projet'!$E$12+1,1))</f>
        <v>296.737543892524</v>
      </c>
      <c r="CE10" s="59">
        <f t="shared" si="40"/>
        <v>296.38358650317099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2.8</v>
      </c>
      <c r="CT10" s="12">
        <f>IF('Données projet'!$A$140&gt;35,CT9+CS10-DB9,IF(A10&lt;'Données projet'!$A$140,$CQ$205^A10,IF(A10='Données projet'!$A$140,'Données projet'!$B$140,CT9+CS10-DB9)))</f>
        <v>4.091342237960264</v>
      </c>
      <c r="CU10" s="17">
        <f>CT10*VLOOKUP('Données projet'!$B$13,Paramètres!$A$1:$I$89,3,0)*VLOOKUP('Données projet'!$B$13,Paramètres!$A$1:$I$89,5,0)</f>
        <v>3.510371640169907</v>
      </c>
      <c r="CV10" s="13">
        <f t="shared" si="41"/>
        <v>1.3977389309136552</v>
      </c>
      <c r="CW10" s="20">
        <f t="shared" si="13"/>
        <v>8.5482925779705372</v>
      </c>
      <c r="CX10" s="59">
        <f t="shared" si="14"/>
        <v>301.88162591130384</v>
      </c>
      <c r="CY10" s="59">
        <f ca="1">AVERAGE(OFFSET($CX$3,0,0,'Données projet'!$E$13+1,1))-AVERAGE(OFFSET($H$3,0,0,'Données projet'!$E$13+1,1))</f>
        <v>391.93999504334352</v>
      </c>
      <c r="CZ10" s="59">
        <f t="shared" si="42"/>
        <v>215.4484906985528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1.9</v>
      </c>
      <c r="DO10" s="12">
        <f>IF('Données projet'!$A$166&gt;35,DO9+DN10-DW9,IF(A10&lt;'Données projet'!$A$166,$DL$205^A10,IF(A10='Données projet'!$A$166,'Données projet'!$B$166,DO9+DN10-DW9)))</f>
        <v>7.8546623499408135</v>
      </c>
      <c r="DP10" s="17">
        <f>DO10*VLOOKUP('Données projet'!$B$14,Paramètres!$A$1:$I$89,3,0)*VLOOKUP('Données projet'!$B$14,Paramètres!$A$1:$I$89,5,0)</f>
        <v>5.7590384349766044</v>
      </c>
      <c r="DQ10" s="13">
        <f t="shared" si="43"/>
        <v>2.1646979432521807</v>
      </c>
      <c r="DR10" s="20">
        <f t="shared" si="16"/>
        <v>13.800507525415135</v>
      </c>
      <c r="DS10" s="59">
        <f t="shared" si="17"/>
        <v>307.13384085874844</v>
      </c>
      <c r="DT10" s="59">
        <f ca="1">AVERAGE(OFFSET($DS$3,0,0,'Données projet'!$E$14+1,1))-AVERAGE(OFFSET($H$3,0,0,'Données projet'!$E$14+1,1))</f>
        <v>267.92147257573157</v>
      </c>
      <c r="DU10" s="59">
        <f t="shared" si="44"/>
        <v>269.06662611892438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10.169411764705883</v>
      </c>
      <c r="EJ10" s="12">
        <f>IF('Données projet'!$A$192&gt;35,EJ9+EI10-ER9,IF(A10&lt;'Données projet'!$A$192,$EG$205^A10,IF(A10='Données projet'!$A$192,'Données projet'!$B$192,EJ9+EI10-ER9)))</f>
        <v>8.3449609820402753</v>
      </c>
      <c r="EK10" s="17">
        <f>EJ10*VLOOKUP('Données projet'!$B$15,Paramètres!$A$1:$I$89,3,0)*VLOOKUP('Données projet'!$B$15,Paramètres!$A$1:$I$89,5,0)</f>
        <v>4.6648331889605137</v>
      </c>
      <c r="EL10" s="13">
        <f t="shared" si="45"/>
        <v>1.7969486177793568</v>
      </c>
      <c r="EM10" s="20">
        <f t="shared" si="19"/>
        <v>11.254269980071941</v>
      </c>
      <c r="EN10" s="59">
        <f t="shared" si="20"/>
        <v>304.58760331340528</v>
      </c>
      <c r="EO10" s="59">
        <f ca="1">AVERAGE(OFFSET($EN$3,0,0,'Données projet'!$E$15+1,1))-AVERAGE(OFFSET($H$3,0,0,'Données projet'!$E$15+1,1))</f>
        <v>326.29985515186428</v>
      </c>
      <c r="EP10" s="59">
        <f t="shared" si="46"/>
        <v>437.68177084535927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28.205128207199998</v>
      </c>
      <c r="FE10" s="12">
        <f>IF('Données projet'!$A$218&gt;35,FE9+FD10-FM9,IF(A10&lt;'Données projet'!$A$218,$FB$205^A10,IF(A10='Données projet'!$A$218,'Données projet'!$B$218,FE9+FD10-FM9)))</f>
        <v>87.179487185599982</v>
      </c>
      <c r="FF10" s="17">
        <f>FE10*VLOOKUP('Données projet'!$B$16,Paramètres!$A$1:$I$89,3,0)*VLOOKUP('Données projet'!$B$16,Paramètres!$A$1:$I$89,5,0)</f>
        <v>49.912000003499699</v>
      </c>
      <c r="FG10" s="13">
        <f t="shared" si="47"/>
        <v>14.591030951174769</v>
      </c>
      <c r="FH10" s="20">
        <f t="shared" si="22"/>
        <v>112.34277891272471</v>
      </c>
      <c r="FI10" s="59">
        <f t="shared" si="23"/>
        <v>405.67611224605804</v>
      </c>
      <c r="FJ10" s="59">
        <f ca="1">AVERAGE(OFFSET($FI$3,0,0,'Données projet'!$E$16+1,1))-AVERAGE(OFFSET($H$3,0,0,'Données projet'!$E$16+1,1))</f>
        <v>211.14768428403215</v>
      </c>
      <c r="FK10" s="59">
        <f t="shared" si="48"/>
        <v>350.7800157534798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6.9887999999999995</v>
      </c>
      <c r="D11" s="11">
        <f t="shared" si="32"/>
        <v>2.5684210058779833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73.775039343619525</v>
      </c>
      <c r="H11" s="66">
        <f t="shared" si="1"/>
        <v>309.97882658523747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3.5</v>
      </c>
      <c r="N11" s="13">
        <f>IF('Données projet'!$A$36&gt;35,N10+M11-V10,IF(A11&lt;'Données projet'!$A$36,$K$205^A11,IF(A11='Données projet'!$A$36,'Données projet'!$B$36,N10+M11-V10)))</f>
        <v>17.189151347155779</v>
      </c>
      <c r="O11" s="13">
        <f>N11*VLOOKUP('Données projet'!$B$9,Paramètres!$A$1:$I$89,3,0)*VLOOKUP('Données projet'!$B$9,Paramètres!$A$1:$I$89,5,0)</f>
        <v>15.01644261687529</v>
      </c>
      <c r="P11" s="13">
        <f t="shared" si="33"/>
        <v>5.0485506745958499</v>
      </c>
      <c r="Q11" s="20">
        <f t="shared" si="2"/>
        <v>34.946529982645565</v>
      </c>
      <c r="R11" s="59">
        <f t="shared" si="0"/>
        <v>328.2798633159789</v>
      </c>
      <c r="S11" s="59">
        <f ca="1">AVERAGE(OFFSET($R$3,0,0,'Données projet'!$E$9+1,1))-AVERAGE(OFFSET($H$3,0,0,'Données projet'!$E$9+1,1))</f>
        <v>252.49539407921907</v>
      </c>
      <c r="T11" s="59">
        <f t="shared" si="34"/>
        <v>263.36387286233929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4.0628205133333335</v>
      </c>
      <c r="AI11" s="13">
        <f>IF('Données projet'!$A$62&gt;35,AI10+AH11-AQ10,IF(A11&lt;'Données projet'!$A$62,$AF$205^A11,IF(A11='Données projet'!$A$62,'Données projet'!$B$62,AI10+AH11-AQ10)))</f>
        <v>3.5995900086084203</v>
      </c>
      <c r="AJ11" s="13">
        <f>AI11*VLOOKUP('Données projet'!$B$10,Paramètres!$A$1:$I$89,3,0)*VLOOKUP('Données projet'!$B$10,Paramètres!$A$1:$I$89,5,0)</f>
        <v>3.2569090397888987</v>
      </c>
      <c r="AK11" s="13">
        <f t="shared" si="35"/>
        <v>1.3081788373042398</v>
      </c>
      <c r="AL11" s="20">
        <f t="shared" si="4"/>
        <v>7.9508613859372161</v>
      </c>
      <c r="AM11" s="59">
        <f t="shared" si="5"/>
        <v>301.28419471927054</v>
      </c>
      <c r="AN11" s="59">
        <f ca="1">AVERAGE(OFFSET($AM$3,0,0,'Données projet'!$E$10+1,1))-AVERAGE(OFFSET($H$3,0,0,'Données projet'!$E$10+1,1))</f>
        <v>370.05613271587413</v>
      </c>
      <c r="AO11" s="59">
        <f t="shared" si="36"/>
        <v>183.24480056442525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4.0628205133333335</v>
      </c>
      <c r="BD11" s="12">
        <f>IF('Données projet'!$A$88&gt;35,BD10+BC11-BL10,IF(A11&lt;'Données projet'!$A$88,$BA$205^A11,IF(A11='Données projet'!$A$88,'Données projet'!$B$88,BD10+BC11-BL10)))</f>
        <v>3.5995900086084203</v>
      </c>
      <c r="BE11" s="13">
        <f>BD11*VLOOKUP('Données projet'!$B$11,Paramètres!$A$1:$I$89,3,0)*VLOOKUP('Données projet'!$B$11,Paramètres!$A$1:$I$89,5,0)</f>
        <v>3.6499842687289386</v>
      </c>
      <c r="BF11" s="13">
        <f t="shared" si="37"/>
        <v>1.4467463188155927</v>
      </c>
      <c r="BG11" s="20">
        <f t="shared" si="7"/>
        <v>8.8768057733067263</v>
      </c>
      <c r="BH11" s="59">
        <f t="shared" si="8"/>
        <v>302.21013910664004</v>
      </c>
      <c r="BI11" s="59">
        <f ca="1">AVERAGE(OFFSET($BH$3,0,0,'Données projet'!$E$11+1,1))-AVERAGE(OFFSET($H$3,0,0,'Données projet'!$E$11+1,1))</f>
        <v>428.72181435671394</v>
      </c>
      <c r="BJ11" s="59">
        <f t="shared" si="38"/>
        <v>211.84936043087572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1.9</v>
      </c>
      <c r="BY11" s="12">
        <f>IF('Données projet'!$A$114&gt;35,BY10+BX11-CG10,IF(A11&lt;'Données projet'!$A$114,$BV$205^A11,IF(A11='Données projet'!$A$114,'Données projet'!$B$114,BY10+BX11-CG10)))</f>
        <v>10.543938903738736</v>
      </c>
      <c r="BZ11" s="13">
        <f>BY11*VLOOKUP('Données projet'!$B$12,Paramètres!$A$1:$I$89,3,0)*VLOOKUP('Données projet'!$B$12,Paramètres!$A$1:$I$89,5,0)</f>
        <v>8.3887577918145393</v>
      </c>
      <c r="CA11" s="13">
        <f t="shared" si="39"/>
        <v>3.0180839306915423</v>
      </c>
      <c r="CB11" s="20">
        <f t="shared" si="10"/>
        <v>19.866916000031427</v>
      </c>
      <c r="CC11" s="59">
        <f t="shared" si="11"/>
        <v>313.20024933336475</v>
      </c>
      <c r="CD11" s="59">
        <f ca="1">AVERAGE(OFFSET($CC$3,0,0,'Données projet'!$E$12+1,1))-AVERAGE(OFFSET($H$3,0,0,'Données projet'!$E$12+1,1))</f>
        <v>296.737543892524</v>
      </c>
      <c r="CE11" s="59">
        <f t="shared" si="40"/>
        <v>296.38358650317099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2.8</v>
      </c>
      <c r="CT11" s="12">
        <f>IF('Données projet'!$A$140&gt;35,CT10+CS11-DB10,IF(A11&lt;'Données projet'!$A$140,$CQ$205^A11,IF(A11='Données projet'!$A$140,'Données projet'!$B$140,CT10+CS11-DB10)))</f>
        <v>5.0035150542816931</v>
      </c>
      <c r="CU11" s="17">
        <f>CT11*VLOOKUP('Données projet'!$B$13,Paramètres!$A$1:$I$89,3,0)*VLOOKUP('Données projet'!$B$13,Paramètres!$A$1:$I$89,5,0)</f>
        <v>4.293015916573693</v>
      </c>
      <c r="CV11" s="13">
        <f t="shared" si="41"/>
        <v>1.669786742833518</v>
      </c>
      <c r="CW11" s="20">
        <f t="shared" si="13"/>
        <v>10.385214631800892</v>
      </c>
      <c r="CX11" s="59">
        <f t="shared" si="14"/>
        <v>303.71854796513423</v>
      </c>
      <c r="CY11" s="59">
        <f ca="1">AVERAGE(OFFSET($CX$3,0,0,'Données projet'!$E$13+1,1))-AVERAGE(OFFSET($H$3,0,0,'Données projet'!$E$13+1,1))</f>
        <v>391.93999504334352</v>
      </c>
      <c r="CZ11" s="59">
        <f t="shared" si="42"/>
        <v>215.4484906985528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1.9</v>
      </c>
      <c r="DO11" s="12">
        <f>IF('Données projet'!$A$166&gt;35,DO10+DN11-DW10,IF(A11&lt;'Données projet'!$A$166,$DL$205^A11,IF(A11='Données projet'!$A$166,'Données projet'!$B$166,DO10+DN11-DW10)))</f>
        <v>10.543938903738736</v>
      </c>
      <c r="DP11" s="17">
        <f>DO11*VLOOKUP('Données projet'!$B$14,Paramètres!$A$1:$I$89,3,0)*VLOOKUP('Données projet'!$B$14,Paramètres!$A$1:$I$89,5,0)</f>
        <v>7.730816004221241</v>
      </c>
      <c r="DQ11" s="13">
        <f t="shared" si="43"/>
        <v>2.8079409641844508</v>
      </c>
      <c r="DR11" s="20">
        <f t="shared" si="16"/>
        <v>18.355001719973249</v>
      </c>
      <c r="DS11" s="59">
        <f t="shared" si="17"/>
        <v>311.68833505330656</v>
      </c>
      <c r="DT11" s="59">
        <f ca="1">AVERAGE(OFFSET($DS$3,0,0,'Données projet'!$E$14+1,1))-AVERAGE(OFFSET($H$3,0,0,'Données projet'!$E$14+1,1))</f>
        <v>267.92147257573157</v>
      </c>
      <c r="DU11" s="59">
        <f t="shared" si="44"/>
        <v>269.06662611892438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10.169411764705883</v>
      </c>
      <c r="EJ11" s="12">
        <f>IF('Données projet'!$A$192&gt;35,EJ10+EI11-ER10,IF(A11&lt;'Données projet'!$A$192,$EG$205^A11,IF(A11='Données projet'!$A$192,'Données projet'!$B$192,EJ10+EI11-ER10)))</f>
        <v>11.299425283572656</v>
      </c>
      <c r="EK11" s="17">
        <f>EJ11*VLOOKUP('Données projet'!$B$15,Paramètres!$A$1:$I$89,3,0)*VLOOKUP('Données projet'!$B$15,Paramètres!$A$1:$I$89,5,0)</f>
        <v>6.3163787335171149</v>
      </c>
      <c r="EL11" s="13">
        <f t="shared" si="45"/>
        <v>2.3487983512885449</v>
      </c>
      <c r="EM11" s="20">
        <f t="shared" si="19"/>
        <v>15.091850089369855</v>
      </c>
      <c r="EN11" s="59">
        <f t="shared" si="20"/>
        <v>308.42518342270318</v>
      </c>
      <c r="EO11" s="59">
        <f ca="1">AVERAGE(OFFSET($EN$3,0,0,'Données projet'!$E$15+1,1))-AVERAGE(OFFSET($H$3,0,0,'Données projet'!$E$15+1,1))</f>
        <v>326.29985515186428</v>
      </c>
      <c r="EP11" s="59">
        <f t="shared" si="46"/>
        <v>437.68177084535927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28.205128207199998</v>
      </c>
      <c r="FE11" s="12">
        <f>IF('Données projet'!$A$218&gt;35,FE10+FD11-FM10,IF(A11&lt;'Données projet'!$A$218,$FB$205^A11,IF(A11='Données projet'!$A$218,'Données projet'!$B$218,FE10+FD11-FM10)))</f>
        <v>115.38461539279999</v>
      </c>
      <c r="FF11" s="17">
        <f>FE11*VLOOKUP('Données projet'!$B$16,Paramètres!$A$1:$I$89,3,0)*VLOOKUP('Données projet'!$B$16,Paramètres!$A$1:$I$89,5,0)</f>
        <v>66.060000004685847</v>
      </c>
      <c r="FG11" s="13">
        <f t="shared" si="47"/>
        <v>18.691742297106881</v>
      </c>
      <c r="FH11" s="20">
        <f t="shared" si="22"/>
        <v>147.60928450895565</v>
      </c>
      <c r="FI11" s="59">
        <f t="shared" si="23"/>
        <v>440.942617842289</v>
      </c>
      <c r="FJ11" s="59">
        <f ca="1">AVERAGE(OFFSET($FI$3,0,0,'Données projet'!$E$16+1,1))-AVERAGE(OFFSET($H$3,0,0,'Données projet'!$E$16+1,1))</f>
        <v>211.14768428403215</v>
      </c>
      <c r="FK11" s="59">
        <f t="shared" si="48"/>
        <v>350.7800157534798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7.8623999999999992</v>
      </c>
      <c r="D12" s="11">
        <f t="shared" si="32"/>
        <v>2.8501294257559762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82.693209602326831</v>
      </c>
      <c r="H12" s="66">
        <f t="shared" si="1"/>
        <v>311.99098874985827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3.5</v>
      </c>
      <c r="N12" s="13">
        <f>IF('Données projet'!$A$36&gt;35,N11+M12-V11,IF(A12&lt;'Données projet'!$A$36,$K$205^A12,IF(A12='Données projet'!$A$36,'Données projet'!$B$36,N11+M12-V11)))</f>
        <v>24.527949305852133</v>
      </c>
      <c r="O12" s="13">
        <f>N12*VLOOKUP('Données projet'!$B$9,Paramètres!$A$1:$I$89,3,0)*VLOOKUP('Données projet'!$B$9,Paramètres!$A$1:$I$89,5,0)</f>
        <v>21.427616513592426</v>
      </c>
      <c r="P12" s="13">
        <f t="shared" si="33"/>
        <v>6.9119497511743733</v>
      </c>
      <c r="Q12" s="20">
        <f t="shared" si="2"/>
        <v>49.358077911135503</v>
      </c>
      <c r="R12" s="59">
        <f t="shared" si="0"/>
        <v>342.69141124446884</v>
      </c>
      <c r="S12" s="59">
        <f ca="1">AVERAGE(OFFSET($R$3,0,0,'Données projet'!$E$9+1,1))-AVERAGE(OFFSET($H$3,0,0,'Données projet'!$E$9+1,1))</f>
        <v>252.49539407921907</v>
      </c>
      <c r="T12" s="59">
        <f t="shared" si="34"/>
        <v>263.36387286233929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4.0628205133333335</v>
      </c>
      <c r="AI12" s="13">
        <f>IF('Données projet'!$A$62&gt;35,AI11+AH12-AQ11,IF(A12&lt;'Données projet'!$A$62,$AF$205^A12,IF(A12='Données projet'!$A$62,'Données projet'!$B$62,AI11+AH12-AQ11)))</f>
        <v>4.2245909795072292</v>
      </c>
      <c r="AJ12" s="13">
        <f>AI12*VLOOKUP('Données projet'!$B$10,Paramètres!$A$1:$I$89,3,0)*VLOOKUP('Données projet'!$B$10,Paramètres!$A$1:$I$89,5,0)</f>
        <v>3.8224099182581406</v>
      </c>
      <c r="AK12" s="13">
        <f t="shared" si="35"/>
        <v>1.5069722918950548</v>
      </c>
      <c r="AL12" s="20">
        <f t="shared" si="4"/>
        <v>9.2820073493501472</v>
      </c>
      <c r="AM12" s="59">
        <f t="shared" si="5"/>
        <v>302.61534068268344</v>
      </c>
      <c r="AN12" s="59">
        <f ca="1">AVERAGE(OFFSET($AM$3,0,0,'Données projet'!$E$10+1,1))-AVERAGE(OFFSET($H$3,0,0,'Données projet'!$E$10+1,1))</f>
        <v>370.05613271587413</v>
      </c>
      <c r="AO12" s="59">
        <f t="shared" si="36"/>
        <v>183.24480056442525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4.0628205133333335</v>
      </c>
      <c r="BD12" s="12">
        <f>IF('Données projet'!$A$88&gt;35,BD11+BC12-BL11,IF(A12&lt;'Données projet'!$A$88,$BA$205^A12,IF(A12='Données projet'!$A$88,'Données projet'!$B$88,BD11+BC12-BL11)))</f>
        <v>4.2245909795072292</v>
      </c>
      <c r="BE12" s="13">
        <f>BD12*VLOOKUP('Données projet'!$B$11,Paramètres!$A$1:$I$89,3,0)*VLOOKUP('Données projet'!$B$11,Paramètres!$A$1:$I$89,5,0)</f>
        <v>4.283735253220331</v>
      </c>
      <c r="BF12" s="13">
        <f t="shared" si="37"/>
        <v>1.6665967631375336</v>
      </c>
      <c r="BG12" s="20">
        <f t="shared" si="7"/>
        <v>10.363494928489947</v>
      </c>
      <c r="BH12" s="59">
        <f t="shared" si="8"/>
        <v>303.69682826182327</v>
      </c>
      <c r="BI12" s="59">
        <f ca="1">AVERAGE(OFFSET($BH$3,0,0,'Données projet'!$E$11+1,1))-AVERAGE(OFFSET($H$3,0,0,'Données projet'!$E$11+1,1))</f>
        <v>428.72181435671394</v>
      </c>
      <c r="BJ12" s="59">
        <f t="shared" si="38"/>
        <v>211.84936043087572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1.9</v>
      </c>
      <c r="BY12" s="12">
        <f>IF('Données projet'!$A$114&gt;35,BY11+BX12-CG11,IF(A12&lt;'Données projet'!$A$114,$BV$205^A12,IF(A12='Données projet'!$A$114,'Données projet'!$B$114,BY11+BX12-CG11)))</f>
        <v>14.153969025366564</v>
      </c>
      <c r="BZ12" s="13">
        <f>BY12*VLOOKUP('Données projet'!$B$12,Paramètres!$A$1:$I$89,3,0)*VLOOKUP('Données projet'!$B$12,Paramètres!$A$1:$I$89,5,0)</f>
        <v>11.260897756581638</v>
      </c>
      <c r="CA12" s="13">
        <f t="shared" si="39"/>
        <v>3.9149117911590028</v>
      </c>
      <c r="CB12" s="20">
        <f t="shared" si="10"/>
        <v>26.431201628981615</v>
      </c>
      <c r="CC12" s="59">
        <f t="shared" si="11"/>
        <v>319.76453496231494</v>
      </c>
      <c r="CD12" s="59">
        <f ca="1">AVERAGE(OFFSET($CC$3,0,0,'Données projet'!$E$12+1,1))-AVERAGE(OFFSET($H$3,0,0,'Données projet'!$E$12+1,1))</f>
        <v>296.737543892524</v>
      </c>
      <c r="CE12" s="59">
        <f t="shared" si="40"/>
        <v>296.38358650317099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2.8</v>
      </c>
      <c r="CT12" s="12">
        <f>IF('Données projet'!$A$140&gt;35,CT11+CS12-DB11,IF(A12&lt;'Données projet'!$A$140,$CQ$205^A12,IF(A12='Données projet'!$A$140,'Données projet'!$B$140,CT11+CS12-DB11)))</f>
        <v>6.1190585979687659</v>
      </c>
      <c r="CU12" s="17">
        <f>CT12*VLOOKUP('Données projet'!$B$13,Paramètres!$A$1:$I$89,3,0)*VLOOKUP('Données projet'!$B$13,Paramètres!$A$1:$I$89,5,0)</f>
        <v>5.250152277057202</v>
      </c>
      <c r="CV12" s="13">
        <f t="shared" si="41"/>
        <v>1.9947843655753528</v>
      </c>
      <c r="CW12" s="20">
        <f t="shared" si="13"/>
        <v>12.618264652585031</v>
      </c>
      <c r="CX12" s="59">
        <f t="shared" si="14"/>
        <v>305.95159798591834</v>
      </c>
      <c r="CY12" s="59">
        <f ca="1">AVERAGE(OFFSET($CX$3,0,0,'Données projet'!$E$13+1,1))-AVERAGE(OFFSET($H$3,0,0,'Données projet'!$E$13+1,1))</f>
        <v>391.93999504334352</v>
      </c>
      <c r="CZ12" s="59">
        <f t="shared" si="42"/>
        <v>215.4484906985528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1.9</v>
      </c>
      <c r="DO12" s="12">
        <f>IF('Données projet'!$A$166&gt;35,DO11+DN12-DW11,IF(A12&lt;'Données projet'!$A$166,$DL$205^A12,IF(A12='Données projet'!$A$166,'Données projet'!$B$166,DO11+DN12-DW11)))</f>
        <v>14.153969025366564</v>
      </c>
      <c r="DP12" s="17">
        <f>DO12*VLOOKUP('Données projet'!$B$14,Paramètres!$A$1:$I$89,3,0)*VLOOKUP('Données projet'!$B$14,Paramètres!$A$1:$I$89,5,0)</f>
        <v>10.377690089398765</v>
      </c>
      <c r="DQ12" s="13">
        <f t="shared" si="43"/>
        <v>3.6423245482922235</v>
      </c>
      <c r="DR12" s="20">
        <f t="shared" si="16"/>
        <v>24.418192160645134</v>
      </c>
      <c r="DS12" s="59">
        <f t="shared" si="17"/>
        <v>317.75152549397842</v>
      </c>
      <c r="DT12" s="59">
        <f ca="1">AVERAGE(OFFSET($DS$3,0,0,'Données projet'!$E$14+1,1))-AVERAGE(OFFSET($H$3,0,0,'Données projet'!$E$14+1,1))</f>
        <v>267.92147257573157</v>
      </c>
      <c r="DU12" s="59">
        <f t="shared" si="44"/>
        <v>269.06662611892438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10.169411764705883</v>
      </c>
      <c r="EJ12" s="12">
        <f>IF('Données projet'!$A$192&gt;35,EJ11+EI12-ER11,IF(A12&lt;'Données projet'!$A$192,$EG$205^A12,IF(A12='Données projet'!$A$192,'Données projet'!$B$192,EJ11+EI12-ER11)))</f>
        <v>15.299893194686335</v>
      </c>
      <c r="EK12" s="17">
        <f>EJ12*VLOOKUP('Données projet'!$B$15,Paramètres!$A$1:$I$89,3,0)*VLOOKUP('Données projet'!$B$15,Paramètres!$A$1:$I$89,5,0)</f>
        <v>8.5526402958296615</v>
      </c>
      <c r="EL12" s="13">
        <f t="shared" si="45"/>
        <v>3.0701232302532038</v>
      </c>
      <c r="EM12" s="20">
        <f t="shared" si="19"/>
        <v>20.242979807927657</v>
      </c>
      <c r="EN12" s="59">
        <f t="shared" si="20"/>
        <v>313.57631314126098</v>
      </c>
      <c r="EO12" s="59">
        <f ca="1">AVERAGE(OFFSET($EN$3,0,0,'Données projet'!$E$15+1,1))-AVERAGE(OFFSET($H$3,0,0,'Données projet'!$E$15+1,1))</f>
        <v>326.29985515186428</v>
      </c>
      <c r="EP12" s="59">
        <f t="shared" si="46"/>
        <v>437.68177084535927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>
        <f>VLOOKUP(A12,'Données projet'!$A$217:$I$237,2,0)</f>
        <v>143.58974359999999</v>
      </c>
      <c r="FC12" s="12">
        <f>VLOOKUP(A12,'Données projet'!$A$217:$I$237,9,0)</f>
        <v>28.205128207199998</v>
      </c>
      <c r="FD12" s="12">
        <f t="array" ref="FD12">INDEX(FC:FC,MIN(IF(ISNUMBER(FC12:FC208),ROW(FC12:FC208),"")))</f>
        <v>28.205128207199998</v>
      </c>
      <c r="FE12" s="12">
        <f>IF('Données projet'!$A$218&gt;35,FE11+FD12-FM11,IF(A12&lt;'Données projet'!$A$218,$FB$205^A12,IF(A12='Données projet'!$A$218,'Données projet'!$B$218,FE11+FD12-FM11)))</f>
        <v>143.58974359999999</v>
      </c>
      <c r="FF12" s="17">
        <f>FE12*VLOOKUP('Données projet'!$B$16,Paramètres!$A$1:$I$89,3,0)*VLOOKUP('Données projet'!$B$16,Paramètres!$A$1:$I$89,5,0)</f>
        <v>82.208000005871995</v>
      </c>
      <c r="FG12" s="13">
        <f t="shared" si="47"/>
        <v>22.676193187929456</v>
      </c>
      <c r="FH12" s="20">
        <f t="shared" si="22"/>
        <v>182.67330314587085</v>
      </c>
      <c r="FI12" s="59">
        <f t="shared" si="23"/>
        <v>476.00663647920419</v>
      </c>
      <c r="FJ12" s="59">
        <f ca="1">AVERAGE(OFFSET($FI$3,0,0,'Données projet'!$E$16+1,1))-AVERAGE(OFFSET($H$3,0,0,'Données projet'!$E$16+1,1))</f>
        <v>211.14768428403215</v>
      </c>
      <c r="FK12" s="59">
        <f t="shared" si="48"/>
        <v>350.7800157534798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8.7359999999999989</v>
      </c>
      <c r="D13" s="11">
        <f t="shared" si="32"/>
        <v>3.1282100045396772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91.583375473639606</v>
      </c>
      <c r="H13" s="66">
        <f t="shared" si="1"/>
        <v>313.99683242457326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35</v>
      </c>
      <c r="L13" s="12">
        <f>VLOOKUP(A13,'Données projet'!$A$35:$I$55,9,0)</f>
        <v>3.5</v>
      </c>
      <c r="M13" s="12">
        <f t="array" ref="M13">INDEX(L:L,MIN(IF(ISNUMBER(L13:L209),ROW(L13:L209),"")))</f>
        <v>3.5</v>
      </c>
      <c r="N13" s="13">
        <f>IF('Données projet'!$A$36&gt;35,N12+M13-V12,IF(A13&lt;'Données projet'!$A$36,$K$205^A13,IF(A13='Données projet'!$A$36,'Données projet'!$B$36,N12+M13-V12)))</f>
        <v>35</v>
      </c>
      <c r="O13" s="13">
        <f>N13*VLOOKUP('Données projet'!$B$9,Paramètres!$A$1:$I$89,3,0)*VLOOKUP('Données projet'!$B$9,Paramètres!$A$1:$I$89,5,0)</f>
        <v>30.576000000000004</v>
      </c>
      <c r="P13" s="13">
        <f t="shared" si="33"/>
        <v>9.4631216842413863</v>
      </c>
      <c r="Q13" s="20">
        <f t="shared" si="2"/>
        <v>69.734803600053766</v>
      </c>
      <c r="R13" s="59">
        <f t="shared" si="0"/>
        <v>363.06813693338711</v>
      </c>
      <c r="S13" s="59">
        <f ca="1">AVERAGE(OFFSET($R$3,0,0,'Données projet'!$E$9+1,1))-AVERAGE(OFFSET($H$3,0,0,'Données projet'!$E$9+1,1))</f>
        <v>252.49539407921907</v>
      </c>
      <c r="T13" s="59">
        <f t="shared" si="34"/>
        <v>263.36387286233929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4.0628205133333335</v>
      </c>
      <c r="AI13" s="13">
        <f>IF('Données projet'!$A$62&gt;35,AI12+AH13-AQ12,IF(A13&lt;'Données projet'!$A$62,$AF$205^A13,IF(A13='Données projet'!$A$62,'Données projet'!$B$62,AI12+AH13-AQ12)))</f>
        <v>4.9581115908901685</v>
      </c>
      <c r="AJ13" s="13">
        <f>AI13*VLOOKUP('Données projet'!$B$10,Paramètres!$A$1:$I$89,3,0)*VLOOKUP('Données projet'!$B$10,Paramètres!$A$1:$I$89,5,0)</f>
        <v>4.4860993674374248</v>
      </c>
      <c r="AK13" s="13">
        <f t="shared" si="35"/>
        <v>1.7359747947147708</v>
      </c>
      <c r="AL13" s="20">
        <f t="shared" si="4"/>
        <v>10.836779165748409</v>
      </c>
      <c r="AM13" s="59">
        <f t="shared" si="5"/>
        <v>304.17011249908171</v>
      </c>
      <c r="AN13" s="59">
        <f ca="1">AVERAGE(OFFSET($AM$3,0,0,'Données projet'!$E$10+1,1))-AVERAGE(OFFSET($H$3,0,0,'Données projet'!$E$10+1,1))</f>
        <v>370.05613271587413</v>
      </c>
      <c r="AO13" s="59">
        <f t="shared" si="36"/>
        <v>183.24480056442525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4.0628205133333335</v>
      </c>
      <c r="BD13" s="12">
        <f>IF('Données projet'!$A$88&gt;35,BD12+BC13-BL12,IF(A13&lt;'Données projet'!$A$88,$BA$205^A13,IF(A13='Données projet'!$A$88,'Données projet'!$B$88,BD12+BC13-BL12)))</f>
        <v>4.9581115908901685</v>
      </c>
      <c r="BE13" s="13">
        <f>BD13*VLOOKUP('Données projet'!$B$11,Paramètres!$A$1:$I$89,3,0)*VLOOKUP('Données projet'!$B$11,Paramètres!$A$1:$I$89,5,0)</f>
        <v>5.0275251531626317</v>
      </c>
      <c r="BF13" s="13">
        <f t="shared" si="37"/>
        <v>1.9198561176740341</v>
      </c>
      <c r="BG13" s="20">
        <f t="shared" si="7"/>
        <v>12.100022380040526</v>
      </c>
      <c r="BH13" s="59">
        <f t="shared" si="8"/>
        <v>305.43335571337383</v>
      </c>
      <c r="BI13" s="59">
        <f ca="1">AVERAGE(OFFSET($BH$3,0,0,'Données projet'!$E$11+1,1))-AVERAGE(OFFSET($H$3,0,0,'Données projet'!$E$11+1,1))</f>
        <v>428.72181435671394</v>
      </c>
      <c r="BJ13" s="59">
        <f t="shared" si="38"/>
        <v>211.84936043087572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19</v>
      </c>
      <c r="BW13" s="12">
        <f>VLOOKUP(A13,'Données projet'!$A$113:$I$133,9,0)</f>
        <v>1.9</v>
      </c>
      <c r="BX13" s="12">
        <f t="array" ref="BX13">INDEX(BW:BW,MIN(IF(ISNUMBER(BW13:BW209),ROW(BW13:BW209),"")))</f>
        <v>1.9</v>
      </c>
      <c r="BY13" s="12">
        <f>IF('Données projet'!$A$114&gt;35,BY12+BX13-CG12,IF(A13&lt;'Données projet'!$A$114,$BV$205^A13,IF(A13='Données projet'!$A$114,'Données projet'!$B$114,BY12+BX13-CG12)))</f>
        <v>19</v>
      </c>
      <c r="BZ13" s="13">
        <f>BY13*VLOOKUP('Données projet'!$B$12,Paramètres!$A$1:$I$89,3,0)*VLOOKUP('Données projet'!$B$12,Paramètres!$A$1:$I$89,5,0)</f>
        <v>15.116400000000001</v>
      </c>
      <c r="CA13" s="13">
        <f t="shared" si="39"/>
        <v>5.0782333044806913</v>
      </c>
      <c r="CB13" s="20">
        <f t="shared" si="10"/>
        <v>35.172319671970541</v>
      </c>
      <c r="CC13" s="59">
        <f t="shared" si="11"/>
        <v>328.50565300530388</v>
      </c>
      <c r="CD13" s="59">
        <f ca="1">AVERAGE(OFFSET($CC$3,0,0,'Données projet'!$E$12+1,1))-AVERAGE(OFFSET($H$3,0,0,'Données projet'!$E$12+1,1))</f>
        <v>296.737543892524</v>
      </c>
      <c r="CE13" s="59">
        <f t="shared" si="40"/>
        <v>296.38358650317099</v>
      </c>
      <c r="CF13" s="15">
        <f>IF(ISNA(VLOOKUP(A13,'Données projet'!$A$113:$I$133,3,0)),0,VLOOKUP(A13,'Données projet'!$A$113:$I$133,3,0))</f>
        <v>1</v>
      </c>
      <c r="CG13" s="15">
        <f>IF(ISNA(VLOOKUP(A13,'Données projet'!$A$113:$I$133,4,0)),0,VLOOKUP(A13,'Données projet'!$A$113:$I$133,4,0))</f>
        <v>7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2.8</v>
      </c>
      <c r="CT13" s="12">
        <f>IF('Données projet'!$A$140&gt;35,CT12+CS13-DB12,IF(A13&lt;'Données projet'!$A$140,$CQ$205^A13,IF(A13='Données projet'!$A$140,'Données projet'!$B$140,CT12+CS13-DB12)))</f>
        <v>7.4833147735478933</v>
      </c>
      <c r="CU13" s="17">
        <f>CT13*VLOOKUP('Données projet'!$B$13,Paramètres!$A$1:$I$89,3,0)*VLOOKUP('Données projet'!$B$13,Paramètres!$A$1:$I$89,5,0)</f>
        <v>6.4206840757040933</v>
      </c>
      <c r="CV13" s="13">
        <f t="shared" si="41"/>
        <v>2.3830376437122043</v>
      </c>
      <c r="CW13" s="20">
        <f t="shared" si="13"/>
        <v>15.33314866131672</v>
      </c>
      <c r="CX13" s="59">
        <f t="shared" si="14"/>
        <v>308.66648199465004</v>
      </c>
      <c r="CY13" s="59">
        <f ca="1">AVERAGE(OFFSET($CX$3,0,0,'Données projet'!$E$13+1,1))-AVERAGE(OFFSET($H$3,0,0,'Données projet'!$E$13+1,1))</f>
        <v>391.93999504334352</v>
      </c>
      <c r="CZ13" s="59">
        <f t="shared" si="42"/>
        <v>215.4484906985528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>
        <f>VLOOKUP(A13,'Données projet'!$A$165:$I$185,2,0)</f>
        <v>19</v>
      </c>
      <c r="DM13" s="12">
        <f>VLOOKUP(A13,'Données projet'!$A$165:$I$185,9,0)</f>
        <v>1.9</v>
      </c>
      <c r="DN13" s="12">
        <f t="array" ref="DN13">INDEX(DM:DM,MIN(IF(ISNUMBER(DM13:DM209),ROW(DM13:DM209),"")))</f>
        <v>1.9</v>
      </c>
      <c r="DO13" s="12">
        <f>IF('Données projet'!$A$166&gt;35,DO12+DN13-DW12,IF(A13&lt;'Données projet'!$A$166,$DL$205^A13,IF(A13='Données projet'!$A$166,'Données projet'!$B$166,DO12+DN13-DW12)))</f>
        <v>19</v>
      </c>
      <c r="DP13" s="17">
        <f>DO13*VLOOKUP('Données projet'!$B$14,Paramètres!$A$1:$I$89,3,0)*VLOOKUP('Données projet'!$B$14,Paramètres!$A$1:$I$89,5,0)</f>
        <v>13.9308</v>
      </c>
      <c r="DQ13" s="13">
        <f t="shared" si="43"/>
        <v>4.7246463812124082</v>
      </c>
      <c r="DR13" s="20">
        <f t="shared" si="16"/>
        <v>32.491569113944941</v>
      </c>
      <c r="DS13" s="59">
        <f t="shared" si="17"/>
        <v>325.82490244727825</v>
      </c>
      <c r="DT13" s="59">
        <f ca="1">AVERAGE(OFFSET($DS$3,0,0,'Données projet'!$E$14+1,1))-AVERAGE(OFFSET($H$3,0,0,'Données projet'!$E$14+1,1))</f>
        <v>267.92147257573157</v>
      </c>
      <c r="DU13" s="59">
        <f t="shared" si="44"/>
        <v>269.06662611892438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7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10.169411764705883</v>
      </c>
      <c r="EJ13" s="12">
        <f>IF('Données projet'!$A$192&gt;35,EJ12+EI13-ER12,IF(A13&lt;'Données projet'!$A$192,$EG$205^A13,IF(A13='Données projet'!$A$192,'Données projet'!$B$192,EJ12+EI13-ER12)))</f>
        <v>20.716693627695339</v>
      </c>
      <c r="EK13" s="17">
        <f>EJ13*VLOOKUP('Données projet'!$B$15,Paramètres!$A$1:$I$89,3,0)*VLOOKUP('Données projet'!$B$15,Paramètres!$A$1:$I$89,5,0)</f>
        <v>11.580631737881694</v>
      </c>
      <c r="EL13" s="13">
        <f t="shared" si="45"/>
        <v>4.0129697143943712</v>
      </c>
      <c r="EM13" s="20">
        <f t="shared" si="19"/>
        <v>27.158855862714148</v>
      </c>
      <c r="EN13" s="59">
        <f t="shared" si="20"/>
        <v>320.49218919604743</v>
      </c>
      <c r="EO13" s="59">
        <f ca="1">AVERAGE(OFFSET($EN$3,0,0,'Données projet'!$E$15+1,1))-AVERAGE(OFFSET($H$3,0,0,'Données projet'!$E$15+1,1))</f>
        <v>326.29985515186428</v>
      </c>
      <c r="EP13" s="59">
        <f t="shared" si="46"/>
        <v>437.68177084535927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30.769230759999999</v>
      </c>
      <c r="FE13" s="12">
        <f>IF('Données projet'!$A$218&gt;35,FE12+FD13-FM12,IF(A13&lt;'Données projet'!$A$218,$FB$205^A13,IF(A13='Données projet'!$A$218,'Données projet'!$B$218,FE12+FD13-FM12)))</f>
        <v>174.35897435999999</v>
      </c>
      <c r="FF13" s="17">
        <f>FE13*VLOOKUP('Données projet'!$B$16,Paramètres!$A$1:$I$89,3,0)*VLOOKUP('Données projet'!$B$16,Paramètres!$A$1:$I$89,5,0)</f>
        <v>99.824000000587191</v>
      </c>
      <c r="FG13" s="13">
        <f t="shared" si="47"/>
        <v>26.920063677725924</v>
      </c>
      <c r="FH13" s="20">
        <f t="shared" si="22"/>
        <v>220.74591090639532</v>
      </c>
      <c r="FI13" s="59">
        <f t="shared" si="23"/>
        <v>514.07924423972861</v>
      </c>
      <c r="FJ13" s="59">
        <f ca="1">AVERAGE(OFFSET($FI$3,0,0,'Données projet'!$E$16+1,1))-AVERAGE(OFFSET($H$3,0,0,'Données projet'!$E$16+1,1))</f>
        <v>211.14768428403215</v>
      </c>
      <c r="FK13" s="59">
        <f t="shared" si="48"/>
        <v>350.7800157534798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9.6095999999999986</v>
      </c>
      <c r="D14" s="11">
        <f t="shared" si="32"/>
        <v>3.4030668246422189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100.44865619022063</v>
      </c>
      <c r="H14" s="66">
        <f t="shared" si="1"/>
        <v>315.99706138625186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10.6</v>
      </c>
      <c r="N14" s="13">
        <f>IF('Données projet'!$A$36&gt;35,N13+M14-V13,IF(A14&lt;'Données projet'!$A$36,$K$205^A14,IF(A14='Données projet'!$A$36,'Données projet'!$B$36,N13+M14-V13)))</f>
        <v>45.6</v>
      </c>
      <c r="O14" s="13">
        <f>N14*VLOOKUP('Données projet'!$B$9,Paramètres!$A$1:$I$89,3,0)*VLOOKUP('Données projet'!$B$9,Paramètres!$A$1:$I$89,5,0)</f>
        <v>39.836160000000007</v>
      </c>
      <c r="P14" s="13">
        <f t="shared" si="33"/>
        <v>11.955210728675533</v>
      </c>
      <c r="Q14" s="20">
        <f t="shared" si="2"/>
        <v>90.203304019109893</v>
      </c>
      <c r="R14" s="59">
        <f t="shared" si="0"/>
        <v>383.53663735244322</v>
      </c>
      <c r="S14" s="59">
        <f ca="1">AVERAGE(OFFSET($R$3,0,0,'Données projet'!$E$9+1,1))-AVERAGE(OFFSET($H$3,0,0,'Données projet'!$E$9+1,1))</f>
        <v>252.49539407921907</v>
      </c>
      <c r="T14" s="59">
        <f t="shared" si="34"/>
        <v>263.36387286233929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4.0628205133333335</v>
      </c>
      <c r="AI14" s="13">
        <f>IF('Données projet'!$A$62&gt;35,AI13+AH14-AQ13,IF(A14&lt;'Données projet'!$A$62,$AF$205^A14,IF(A14='Données projet'!$A$62,'Données projet'!$B$62,AI13+AH14-AQ13)))</f>
        <v>5.8189942332800397</v>
      </c>
      <c r="AJ14" s="13">
        <f>AI14*VLOOKUP('Données projet'!$B$10,Paramètres!$A$1:$I$89,3,0)*VLOOKUP('Données projet'!$B$10,Paramètres!$A$1:$I$89,5,0)</f>
        <v>5.26502598227178</v>
      </c>
      <c r="AK14" s="13">
        <f t="shared" si="35"/>
        <v>1.9997769727373709</v>
      </c>
      <c r="AL14" s="20">
        <f t="shared" si="4"/>
        <v>12.652865146640936</v>
      </c>
      <c r="AM14" s="59">
        <f t="shared" si="5"/>
        <v>305.98619847997423</v>
      </c>
      <c r="AN14" s="59">
        <f ca="1">AVERAGE(OFFSET($AM$3,0,0,'Données projet'!$E$10+1,1))-AVERAGE(OFFSET($H$3,0,0,'Données projet'!$E$10+1,1))</f>
        <v>370.05613271587413</v>
      </c>
      <c r="AO14" s="59">
        <f t="shared" si="36"/>
        <v>183.24480056442525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4.0628205133333335</v>
      </c>
      <c r="BD14" s="12">
        <f>IF('Données projet'!$A$88&gt;35,BD13+BC14-BL13,IF(A14&lt;'Données projet'!$A$88,$BA$205^A14,IF(A14='Données projet'!$A$88,'Données projet'!$B$88,BD13+BC14-BL13)))</f>
        <v>5.8189942332800397</v>
      </c>
      <c r="BE14" s="13">
        <f>BD14*VLOOKUP('Données projet'!$B$11,Paramètres!$A$1:$I$89,3,0)*VLOOKUP('Données projet'!$B$11,Paramètres!$A$1:$I$89,5,0)</f>
        <v>5.9004601525459606</v>
      </c>
      <c r="BF14" s="13">
        <f t="shared" si="37"/>
        <v>2.2116012667823983</v>
      </c>
      <c r="BG14" s="20">
        <f t="shared" si="7"/>
        <v>14.128506971996892</v>
      </c>
      <c r="BH14" s="59">
        <f t="shared" si="8"/>
        <v>307.46184030533021</v>
      </c>
      <c r="BI14" s="59">
        <f ca="1">AVERAGE(OFFSET($BH$3,0,0,'Données projet'!$E$11+1,1))-AVERAGE(OFFSET($H$3,0,0,'Données projet'!$E$11+1,1))</f>
        <v>428.72181435671394</v>
      </c>
      <c r="BJ14" s="59">
        <f t="shared" si="38"/>
        <v>211.84936043087572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14.6</v>
      </c>
      <c r="BY14" s="12">
        <f>IF('Données projet'!$A$114&gt;35,BY13+BX14-CG13,IF(A14&lt;'Données projet'!$A$114,$BV$205^A14,IF(A14='Données projet'!$A$114,'Données projet'!$B$114,BY13+BX14-CG13)))</f>
        <v>26.6</v>
      </c>
      <c r="BZ14" s="13">
        <f>BY14*VLOOKUP('Données projet'!$B$12,Paramètres!$A$1:$I$89,3,0)*VLOOKUP('Données projet'!$B$12,Paramètres!$A$1:$I$89,5,0)</f>
        <v>21.162960000000002</v>
      </c>
      <c r="CA14" s="13">
        <f t="shared" si="39"/>
        <v>6.8364616466980515</v>
      </c>
      <c r="CB14" s="20">
        <f t="shared" si="10"/>
        <v>48.765659367999113</v>
      </c>
      <c r="CC14" s="59">
        <f t="shared" si="11"/>
        <v>342.09899270133241</v>
      </c>
      <c r="CD14" s="59">
        <f ca="1">AVERAGE(OFFSET($CC$3,0,0,'Données projet'!$E$12+1,1))-AVERAGE(OFFSET($H$3,0,0,'Données projet'!$E$12+1,1))</f>
        <v>296.737543892524</v>
      </c>
      <c r="CE14" s="59">
        <f t="shared" si="40"/>
        <v>296.38358650317099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2.8</v>
      </c>
      <c r="CT14" s="12">
        <f>IF('Données projet'!$A$140&gt;35,CT13+CS14-DB13,IF(A14&lt;'Données projet'!$A$140,$CQ$205^A14,IF(A14='Données projet'!$A$140,'Données projet'!$B$140,CT13+CS14-DB13)))</f>
        <v>9.1517345525322273</v>
      </c>
      <c r="CU14" s="17">
        <f>CT14*VLOOKUP('Données projet'!$B$13,Paramètres!$A$1:$I$89,3,0)*VLOOKUP('Données projet'!$B$13,Paramètres!$A$1:$I$89,5,0)</f>
        <v>7.8521882460726511</v>
      </c>
      <c r="CV14" s="13">
        <f t="shared" si="41"/>
        <v>2.8468582917289242</v>
      </c>
      <c r="CW14" s="20">
        <f t="shared" si="13"/>
        <v>18.634172720004408</v>
      </c>
      <c r="CX14" s="59">
        <f t="shared" si="14"/>
        <v>311.96750605333773</v>
      </c>
      <c r="CY14" s="59">
        <f ca="1">AVERAGE(OFFSET($CX$3,0,0,'Données projet'!$E$13+1,1))-AVERAGE(OFFSET($H$3,0,0,'Données projet'!$E$13+1,1))</f>
        <v>391.93999504334352</v>
      </c>
      <c r="CZ14" s="59">
        <f t="shared" si="42"/>
        <v>215.4484906985528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14.6</v>
      </c>
      <c r="DO14" s="12">
        <f>IF('Données projet'!$A$166&gt;35,DO13+DN14-DW13,IF(A14&lt;'Données projet'!$A$166,$DL$205^A14,IF(A14='Données projet'!$A$166,'Données projet'!$B$166,DO13+DN14-DW13)))</f>
        <v>26.6</v>
      </c>
      <c r="DP14" s="17">
        <f>DO14*VLOOKUP('Données projet'!$B$14,Paramètres!$A$1:$I$89,3,0)*VLOOKUP('Données projet'!$B$14,Paramètres!$A$1:$I$89,5,0)</f>
        <v>19.503120000000003</v>
      </c>
      <c r="DQ14" s="13">
        <f t="shared" si="43"/>
        <v>6.3604529061061674</v>
      </c>
      <c r="DR14" s="20">
        <f t="shared" si="16"/>
        <v>45.045722811468245</v>
      </c>
      <c r="DS14" s="59">
        <f t="shared" si="17"/>
        <v>338.37905614480155</v>
      </c>
      <c r="DT14" s="59">
        <f ca="1">AVERAGE(OFFSET($DS$3,0,0,'Données projet'!$E$14+1,1))-AVERAGE(OFFSET($H$3,0,0,'Données projet'!$E$14+1,1))</f>
        <v>267.92147257573157</v>
      </c>
      <c r="DU14" s="59">
        <f t="shared" si="44"/>
        <v>269.06662611892438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10.169411764705883</v>
      </c>
      <c r="EJ14" s="12">
        <f>IF('Données projet'!$A$192&gt;35,EJ13+EI14-ER13,IF(A14&lt;'Données projet'!$A$192,$EG$205^A14,IF(A14='Données projet'!$A$192,'Données projet'!$B$192,EJ13+EI14-ER13)))</f>
        <v>28.051267378313966</v>
      </c>
      <c r="EK14" s="17">
        <f>EJ14*VLOOKUP('Données projet'!$B$15,Paramètres!$A$1:$I$89,3,0)*VLOOKUP('Données projet'!$B$15,Paramètres!$A$1:$I$89,5,0)</f>
        <v>15.680658464477508</v>
      </c>
      <c r="EL14" s="13">
        <f t="shared" si="45"/>
        <v>5.245367928543474</v>
      </c>
      <c r="EM14" s="20">
        <f t="shared" si="19"/>
        <v>36.446162634511545</v>
      </c>
      <c r="EN14" s="59">
        <f t="shared" si="20"/>
        <v>329.77949596784487</v>
      </c>
      <c r="EO14" s="59">
        <f ca="1">AVERAGE(OFFSET($EN$3,0,0,'Données projet'!$E$15+1,1))-AVERAGE(OFFSET($H$3,0,0,'Données projet'!$E$15+1,1))</f>
        <v>326.29985515186428</v>
      </c>
      <c r="EP14" s="59">
        <f t="shared" si="46"/>
        <v>437.68177084535927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30.769230759999999</v>
      </c>
      <c r="FE14" s="12">
        <f>IF('Données projet'!$A$218&gt;35,FE13+FD14-FM13,IF(A14&lt;'Données projet'!$A$218,$FB$205^A14,IF(A14='Données projet'!$A$218,'Données projet'!$B$218,FE13+FD14-FM13)))</f>
        <v>205.12820511999999</v>
      </c>
      <c r="FF14" s="17">
        <f>FE14*VLOOKUP('Données projet'!$B$16,Paramètres!$A$1:$I$89,3,0)*VLOOKUP('Données projet'!$B$16,Paramètres!$A$1:$I$89,5,0)</f>
        <v>117.43999999530239</v>
      </c>
      <c r="FG14" s="13">
        <f t="shared" si="47"/>
        <v>31.077174048355857</v>
      </c>
      <c r="FH14" s="20">
        <f t="shared" si="22"/>
        <v>258.66741145937146</v>
      </c>
      <c r="FI14" s="59">
        <f t="shared" si="23"/>
        <v>552.00074479270484</v>
      </c>
      <c r="FJ14" s="59">
        <f ca="1">AVERAGE(OFFSET($FI$3,0,0,'Données projet'!$E$16+1,1))-AVERAGE(OFFSET($H$3,0,0,'Données projet'!$E$16+1,1))</f>
        <v>211.14768428403215</v>
      </c>
      <c r="FK14" s="59">
        <f t="shared" si="48"/>
        <v>350.7800157534798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10.483199999999998</v>
      </c>
      <c r="D15" s="11">
        <f t="shared" si="32"/>
        <v>3.6750262849765409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109.29157132262593</v>
      </c>
      <c r="H15" s="66">
        <f t="shared" si="1"/>
        <v>317.99224411300077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10.6</v>
      </c>
      <c r="N15" s="13">
        <f>IF('Données projet'!$A$36&gt;35,N14+M15-V14,IF(A15&lt;'Données projet'!$A$36,$K$205^A15,IF(A15='Données projet'!$A$36,'Données projet'!$B$36,N14+M15-V14)))</f>
        <v>56.2</v>
      </c>
      <c r="O15" s="13">
        <f>N15*VLOOKUP('Données projet'!$B$9,Paramètres!$A$1:$I$89,3,0)*VLOOKUP('Données projet'!$B$9,Paramètres!$A$1:$I$89,5,0)</f>
        <v>49.096320000000006</v>
      </c>
      <c r="P15" s="13">
        <f t="shared" si="33"/>
        <v>14.380133207801931</v>
      </c>
      <c r="Q15" s="20">
        <f t="shared" si="2"/>
        <v>110.55482267025504</v>
      </c>
      <c r="R15" s="59">
        <f t="shared" si="0"/>
        <v>403.88815600358834</v>
      </c>
      <c r="S15" s="59">
        <f ca="1">AVERAGE(OFFSET($R$3,0,0,'Données projet'!$E$9+1,1))-AVERAGE(OFFSET($H$3,0,0,'Données projet'!$E$9+1,1))</f>
        <v>252.49539407921907</v>
      </c>
      <c r="T15" s="59">
        <f t="shared" si="34"/>
        <v>263.36387286233929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4.0628205133333335</v>
      </c>
      <c r="AI15" s="13">
        <f>IF('Données projet'!$A$62&gt;35,AI14+AH15-AQ14,IF(A15&lt;'Données projet'!$A$62,$AF$205^A15,IF(A15='Données projet'!$A$62,'Données projet'!$B$62,AI14+AH15-AQ14)))</f>
        <v>6.8293529232300063</v>
      </c>
      <c r="AJ15" s="13">
        <f>AI15*VLOOKUP('Données projet'!$B$10,Paramètres!$A$1:$I$89,3,0)*VLOOKUP('Données projet'!$B$10,Paramètres!$A$1:$I$89,5,0)</f>
        <v>6.17919852493851</v>
      </c>
      <c r="AK15" s="13">
        <f t="shared" si="35"/>
        <v>2.3036670537303023</v>
      </c>
      <c r="AL15" s="20">
        <f t="shared" si="4"/>
        <v>14.774324216181517</v>
      </c>
      <c r="AM15" s="59">
        <f t="shared" si="5"/>
        <v>308.10765754951484</v>
      </c>
      <c r="AN15" s="59">
        <f ca="1">AVERAGE(OFFSET($AM$3,0,0,'Données projet'!$E$10+1,1))-AVERAGE(OFFSET($H$3,0,0,'Données projet'!$E$10+1,1))</f>
        <v>370.05613271587413</v>
      </c>
      <c r="AO15" s="59">
        <f t="shared" si="36"/>
        <v>183.24480056442525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4.0628205133333335</v>
      </c>
      <c r="BD15" s="12">
        <f>IF('Données projet'!$A$88&gt;35,BD14+BC15-BL14,IF(A15&lt;'Données projet'!$A$88,$BA$205^A15,IF(A15='Données projet'!$A$88,'Données projet'!$B$88,BD14+BC15-BL14)))</f>
        <v>6.8293529232300063</v>
      </c>
      <c r="BE15" s="13">
        <f>BD15*VLOOKUP('Données projet'!$B$11,Paramètres!$A$1:$I$89,3,0)*VLOOKUP('Données projet'!$B$11,Paramètres!$A$1:$I$89,5,0)</f>
        <v>6.9249638641552265</v>
      </c>
      <c r="BF15" s="13">
        <f t="shared" si="37"/>
        <v>2.5476805882512314</v>
      </c>
      <c r="BG15" s="20">
        <f t="shared" si="7"/>
        <v>16.498189087941249</v>
      </c>
      <c r="BH15" s="59">
        <f t="shared" si="8"/>
        <v>309.83152242127454</v>
      </c>
      <c r="BI15" s="59">
        <f ca="1">AVERAGE(OFFSET($BH$3,0,0,'Données projet'!$E$11+1,1))-AVERAGE(OFFSET($H$3,0,0,'Données projet'!$E$11+1,1))</f>
        <v>428.72181435671394</v>
      </c>
      <c r="BJ15" s="59">
        <f t="shared" si="38"/>
        <v>211.84936043087572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14.6</v>
      </c>
      <c r="BY15" s="12">
        <f>IF('Données projet'!$A$114&gt;35,BY14+BX15-CG14,IF(A15&lt;'Données projet'!$A$114,$BV$205^A15,IF(A15='Données projet'!$A$114,'Données projet'!$B$114,BY14+BX15-CG14)))</f>
        <v>41.2</v>
      </c>
      <c r="BZ15" s="13">
        <f>BY15*VLOOKUP('Données projet'!$B$12,Paramètres!$A$1:$I$89,3,0)*VLOOKUP('Données projet'!$B$12,Paramètres!$A$1:$I$89,5,0)</f>
        <v>32.77872</v>
      </c>
      <c r="CA15" s="13">
        <f t="shared" si="39"/>
        <v>10.063038810723747</v>
      </c>
      <c r="CB15" s="20">
        <f t="shared" si="10"/>
        <v>74.616063262010528</v>
      </c>
      <c r="CC15" s="59">
        <f t="shared" si="11"/>
        <v>367.94939659534384</v>
      </c>
      <c r="CD15" s="59">
        <f ca="1">AVERAGE(OFFSET($CC$3,0,0,'Données projet'!$E$12+1,1))-AVERAGE(OFFSET($H$3,0,0,'Données projet'!$E$12+1,1))</f>
        <v>296.737543892524</v>
      </c>
      <c r="CE15" s="59">
        <f t="shared" si="40"/>
        <v>296.38358650317099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2.8</v>
      </c>
      <c r="CT15" s="12">
        <f>IF('Données projet'!$A$140&gt;35,CT14+CS15-DB14,IF(A15&lt;'Données projet'!$A$140,$CQ$205^A15,IF(A15='Données projet'!$A$140,'Données projet'!$B$140,CT14+CS15-DB14)))</f>
        <v>11.19213180983215</v>
      </c>
      <c r="CU15" s="17">
        <f>CT15*VLOOKUP('Données projet'!$B$13,Paramètres!$A$1:$I$89,3,0)*VLOOKUP('Données projet'!$B$13,Paramètres!$A$1:$I$89,5,0)</f>
        <v>9.6028490928359851</v>
      </c>
      <c r="CV15" s="13">
        <f t="shared" si="41"/>
        <v>3.4009543049268385</v>
      </c>
      <c r="CW15" s="20">
        <f t="shared" si="13"/>
        <v>22.64829091777025</v>
      </c>
      <c r="CX15" s="59">
        <f t="shared" si="14"/>
        <v>315.98162425110354</v>
      </c>
      <c r="CY15" s="59">
        <f ca="1">AVERAGE(OFFSET($CX$3,0,0,'Données projet'!$E$13+1,1))-AVERAGE(OFFSET($H$3,0,0,'Données projet'!$E$13+1,1))</f>
        <v>391.93999504334352</v>
      </c>
      <c r="CZ15" s="59">
        <f t="shared" si="42"/>
        <v>215.4484906985528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14.6</v>
      </c>
      <c r="DO15" s="12">
        <f>IF('Données projet'!$A$166&gt;35,DO14+DN15-DW14,IF(A15&lt;'Données projet'!$A$166,$DL$205^A15,IF(A15='Données projet'!$A$166,'Données projet'!$B$166,DO14+DN15-DW14)))</f>
        <v>41.2</v>
      </c>
      <c r="DP15" s="17">
        <f>DO15*VLOOKUP('Données projet'!$B$14,Paramètres!$A$1:$I$89,3,0)*VLOOKUP('Données projet'!$B$14,Paramètres!$A$1:$I$89,5,0)</f>
        <v>30.207840000000001</v>
      </c>
      <c r="DQ15" s="13">
        <f t="shared" si="43"/>
        <v>9.3623701493068516</v>
      </c>
      <c r="DR15" s="20">
        <f t="shared" si="16"/>
        <v>68.918116010042766</v>
      </c>
      <c r="DS15" s="59">
        <f t="shared" si="17"/>
        <v>362.25144934337607</v>
      </c>
      <c r="DT15" s="59">
        <f ca="1">AVERAGE(OFFSET($DS$3,0,0,'Données projet'!$E$14+1,1))-AVERAGE(OFFSET($H$3,0,0,'Données projet'!$E$14+1,1))</f>
        <v>267.92147257573157</v>
      </c>
      <c r="DU15" s="59">
        <f t="shared" si="44"/>
        <v>269.06662611892438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10.169411764705883</v>
      </c>
      <c r="EJ15" s="12">
        <f>IF('Données projet'!$A$192&gt;35,EJ14+EI15-ER14,IF(A15&lt;'Données projet'!$A$192,$EG$205^A15,IF(A15='Données projet'!$A$192,'Données projet'!$B$192,EJ14+EI15-ER14)))</f>
        <v>37.982586201773081</v>
      </c>
      <c r="EK15" s="17">
        <f>EJ15*VLOOKUP('Données projet'!$B$15,Paramètres!$A$1:$I$89,3,0)*VLOOKUP('Données projet'!$B$15,Paramètres!$A$1:$I$89,5,0)</f>
        <v>21.232265686791155</v>
      </c>
      <c r="EL15" s="13">
        <f t="shared" si="45"/>
        <v>6.8562403067985267</v>
      </c>
      <c r="EM15" s="20">
        <f t="shared" si="19"/>
        <v>48.920814605502024</v>
      </c>
      <c r="EN15" s="59">
        <f t="shared" si="20"/>
        <v>342.25414793883533</v>
      </c>
      <c r="EO15" s="59">
        <f ca="1">AVERAGE(OFFSET($EN$3,0,0,'Données projet'!$E$15+1,1))-AVERAGE(OFFSET($H$3,0,0,'Données projet'!$E$15+1,1))</f>
        <v>326.29985515186428</v>
      </c>
      <c r="EP15" s="59">
        <f t="shared" si="46"/>
        <v>437.68177084535927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30.769230759999999</v>
      </c>
      <c r="FE15" s="12">
        <f>IF('Données projet'!$A$218&gt;35,FE14+FD15-FM14,IF(A15&lt;'Données projet'!$A$218,$FB$205^A15,IF(A15='Données projet'!$A$218,'Données projet'!$B$218,FE14+FD15-FM14)))</f>
        <v>235.89743587999999</v>
      </c>
      <c r="FF15" s="17">
        <f>FE15*VLOOKUP('Données projet'!$B$16,Paramètres!$A$1:$I$89,3,0)*VLOOKUP('Données projet'!$B$16,Paramètres!$A$1:$I$89,5,0)</f>
        <v>135.0559999900176</v>
      </c>
      <c r="FG15" s="13">
        <f t="shared" si="47"/>
        <v>35.162045517680163</v>
      </c>
      <c r="FH15" s="20">
        <f t="shared" si="22"/>
        <v>296.46309592590688</v>
      </c>
      <c r="FI15" s="59">
        <f t="shared" si="23"/>
        <v>589.7964292592402</v>
      </c>
      <c r="FJ15" s="59">
        <f ca="1">AVERAGE(OFFSET($FI$3,0,0,'Données projet'!$E$16+1,1))-AVERAGE(OFFSET($H$3,0,0,'Données projet'!$E$16+1,1))</f>
        <v>211.14768428403215</v>
      </c>
      <c r="FK15" s="59">
        <f t="shared" si="48"/>
        <v>350.7800157534798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11.356799999999998</v>
      </c>
      <c r="D16" s="11">
        <f t="shared" si="32"/>
        <v>3.9443572825295607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118.11419656689485</v>
      </c>
      <c r="H16" s="66">
        <f t="shared" si="1"/>
        <v>319.98284893373898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10.6</v>
      </c>
      <c r="N16" s="13">
        <f>IF('Données projet'!$A$36&gt;35,N15+M16-V15,IF(A16&lt;'Données projet'!$A$36,$K$205^A16,IF(A16='Données projet'!$A$36,'Données projet'!$B$36,N15+M16-V15)))</f>
        <v>66.8</v>
      </c>
      <c r="O16" s="13">
        <f>N16*VLOOKUP('Données projet'!$B$9,Paramètres!$A$1:$I$89,3,0)*VLOOKUP('Données projet'!$B$9,Paramètres!$A$1:$I$89,5,0)</f>
        <v>58.356480000000005</v>
      </c>
      <c r="P16" s="13">
        <f t="shared" si="33"/>
        <v>16.75206628947662</v>
      </c>
      <c r="Q16" s="20">
        <f t="shared" si="2"/>
        <v>130.81405145417179</v>
      </c>
      <c r="R16" s="59">
        <f t="shared" si="0"/>
        <v>424.14738478750508</v>
      </c>
      <c r="S16" s="59">
        <f ca="1">AVERAGE(OFFSET($R$3,0,0,'Données projet'!$E$9+1,1))-AVERAGE(OFFSET($H$3,0,0,'Données projet'!$E$9+1,1))</f>
        <v>252.49539407921907</v>
      </c>
      <c r="T16" s="59">
        <f t="shared" si="34"/>
        <v>263.36387286233929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4.0628205133333335</v>
      </c>
      <c r="AI16" s="13">
        <f>IF('Données projet'!$A$62&gt;35,AI15+AH16-AQ15,IF(A16&lt;'Données projet'!$A$62,$AF$205^A16,IF(A16='Données projet'!$A$62,'Données projet'!$B$62,AI15+AH16-AQ15)))</f>
        <v>8.0151413595301424</v>
      </c>
      <c r="AJ16" s="13">
        <f>AI16*VLOOKUP('Données projet'!$B$10,Paramètres!$A$1:$I$89,3,0)*VLOOKUP('Données projet'!$B$10,Paramètres!$A$1:$I$89,5,0)</f>
        <v>7.2520999021028727</v>
      </c>
      <c r="AK16" s="13">
        <f t="shared" si="35"/>
        <v>2.6537368750567167</v>
      </c>
      <c r="AL16" s="20">
        <f t="shared" si="4"/>
        <v>17.252665720219614</v>
      </c>
      <c r="AM16" s="59">
        <f t="shared" si="5"/>
        <v>310.58599905355294</v>
      </c>
      <c r="AN16" s="59">
        <f ca="1">AVERAGE(OFFSET($AM$3,0,0,'Données projet'!$E$10+1,1))-AVERAGE(OFFSET($H$3,0,0,'Données projet'!$E$10+1,1))</f>
        <v>370.05613271587413</v>
      </c>
      <c r="AO16" s="59">
        <f t="shared" si="36"/>
        <v>183.24480056442525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4.0628205133333335</v>
      </c>
      <c r="BD16" s="12">
        <f>IF('Données projet'!$A$88&gt;35,BD15+BC16-BL15,IF(A16&lt;'Données projet'!$A$88,$BA$205^A16,IF(A16='Données projet'!$A$88,'Données projet'!$B$88,BD15+BC16-BL15)))</f>
        <v>8.0151413595301424</v>
      </c>
      <c r="BE16" s="13">
        <f>BD16*VLOOKUP('Données projet'!$B$11,Paramètres!$A$1:$I$89,3,0)*VLOOKUP('Données projet'!$B$11,Paramètres!$A$1:$I$89,5,0)</f>
        <v>8.1273533385635659</v>
      </c>
      <c r="BF16" s="13">
        <f t="shared" si="37"/>
        <v>2.9348311909747009</v>
      </c>
      <c r="BG16" s="20">
        <f t="shared" si="7"/>
        <v>19.266638055612479</v>
      </c>
      <c r="BH16" s="59">
        <f t="shared" si="8"/>
        <v>312.59997138894579</v>
      </c>
      <c r="BI16" s="59">
        <f ca="1">AVERAGE(OFFSET($BH$3,0,0,'Données projet'!$E$11+1,1))-AVERAGE(OFFSET($H$3,0,0,'Données projet'!$E$11+1,1))</f>
        <v>428.72181435671394</v>
      </c>
      <c r="BJ16" s="59">
        <f t="shared" si="38"/>
        <v>211.84936043087572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14.6</v>
      </c>
      <c r="BY16" s="12">
        <f>IF('Données projet'!$A$114&gt;35,BY15+BX16-CG15,IF(A16&lt;'Données projet'!$A$114,$BV$205^A16,IF(A16='Données projet'!$A$114,'Données projet'!$B$114,BY15+BX16-CG15)))</f>
        <v>55.800000000000004</v>
      </c>
      <c r="BZ16" s="13">
        <f>BY16*VLOOKUP('Données projet'!$B$12,Paramètres!$A$1:$I$89,3,0)*VLOOKUP('Données projet'!$B$12,Paramètres!$A$1:$I$89,5,0)</f>
        <v>44.394480000000001</v>
      </c>
      <c r="CA16" s="13">
        <f t="shared" si="39"/>
        <v>13.1562447968447</v>
      </c>
      <c r="CB16" s="20">
        <f t="shared" si="10"/>
        <v>100.2341790211712</v>
      </c>
      <c r="CC16" s="59">
        <f t="shared" si="11"/>
        <v>393.56751235450452</v>
      </c>
      <c r="CD16" s="59">
        <f ca="1">AVERAGE(OFFSET($CC$3,0,0,'Données projet'!$E$12+1,1))-AVERAGE(OFFSET($H$3,0,0,'Données projet'!$E$12+1,1))</f>
        <v>296.737543892524</v>
      </c>
      <c r="CE16" s="59">
        <f t="shared" si="40"/>
        <v>296.38358650317099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2.8</v>
      </c>
      <c r="CT16" s="12">
        <f>IF('Données projet'!$A$140&gt;35,CT15+CS16-DB15,IF(A16&lt;'Données projet'!$A$140,$CQ$205^A16,IF(A16='Données projet'!$A$140,'Données projet'!$B$140,CT15+CS16-DB15)))</f>
        <v>13.687439657435972</v>
      </c>
      <c r="CU16" s="17">
        <f>CT16*VLOOKUP('Données projet'!$B$13,Paramètres!$A$1:$I$89,3,0)*VLOOKUP('Données projet'!$B$13,Paramètres!$A$1:$I$89,5,0)</f>
        <v>11.743823226080066</v>
      </c>
      <c r="CV16" s="13">
        <f t="shared" si="41"/>
        <v>4.0628963576462231</v>
      </c>
      <c r="CW16" s="20">
        <f t="shared" si="13"/>
        <v>27.530036608323286</v>
      </c>
      <c r="CX16" s="59">
        <f t="shared" si="14"/>
        <v>320.86336994165663</v>
      </c>
      <c r="CY16" s="59">
        <f ca="1">AVERAGE(OFFSET($CX$3,0,0,'Données projet'!$E$13+1,1))-AVERAGE(OFFSET($H$3,0,0,'Données projet'!$E$13+1,1))</f>
        <v>391.93999504334352</v>
      </c>
      <c r="CZ16" s="59">
        <f t="shared" si="42"/>
        <v>215.4484906985528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14.6</v>
      </c>
      <c r="DO16" s="12">
        <f>IF('Données projet'!$A$166&gt;35,DO15+DN16-DW15,IF(A16&lt;'Données projet'!$A$166,$DL$205^A16,IF(A16='Données projet'!$A$166,'Données projet'!$B$166,DO15+DN16-DW15)))</f>
        <v>55.800000000000004</v>
      </c>
      <c r="DP16" s="17">
        <f>DO16*VLOOKUP('Données projet'!$B$14,Paramètres!$A$1:$I$89,3,0)*VLOOKUP('Données projet'!$B$14,Paramètres!$A$1:$I$89,5,0)</f>
        <v>40.912559999999999</v>
      </c>
      <c r="DQ16" s="13">
        <f t="shared" si="43"/>
        <v>12.240202574960914</v>
      </c>
      <c r="DR16" s="20">
        <f t="shared" si="16"/>
        <v>92.57439481805693</v>
      </c>
      <c r="DS16" s="59">
        <f t="shared" si="17"/>
        <v>385.90772815139024</v>
      </c>
      <c r="DT16" s="59">
        <f ca="1">AVERAGE(OFFSET($DS$3,0,0,'Données projet'!$E$14+1,1))-AVERAGE(OFFSET($H$3,0,0,'Données projet'!$E$14+1,1))</f>
        <v>267.92147257573157</v>
      </c>
      <c r="DU16" s="59">
        <f t="shared" si="44"/>
        <v>269.06662611892438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10.169411764705883</v>
      </c>
      <c r="EJ16" s="12">
        <f>IF('Données projet'!$A$192&gt;35,EJ15+EI16-ER15,IF(A16&lt;'Données projet'!$A$192,$EG$205^A16,IF(A16='Données projet'!$A$192,'Données projet'!$B$192,EJ15+EI16-ER15)))</f>
        <v>51.430006178274702</v>
      </c>
      <c r="EK16" s="17">
        <f>EJ16*VLOOKUP('Données projet'!$B$15,Paramètres!$A$1:$I$89,3,0)*VLOOKUP('Données projet'!$B$15,Paramètres!$A$1:$I$89,5,0)</f>
        <v>28.749373453655558</v>
      </c>
      <c r="EL16" s="13">
        <f t="shared" si="45"/>
        <v>8.9618176999114372</v>
      </c>
      <c r="EM16" s="20">
        <f t="shared" si="19"/>
        <v>65.680324592462512</v>
      </c>
      <c r="EN16" s="59">
        <f t="shared" si="20"/>
        <v>359.01365792579583</v>
      </c>
      <c r="EO16" s="59">
        <f ca="1">AVERAGE(OFFSET($EN$3,0,0,'Données projet'!$E$15+1,1))-AVERAGE(OFFSET($H$3,0,0,'Données projet'!$E$15+1,1))</f>
        <v>326.29985515186428</v>
      </c>
      <c r="EP16" s="59">
        <f t="shared" si="46"/>
        <v>437.68177084535927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30.769230759999999</v>
      </c>
      <c r="FE16" s="12">
        <f>IF('Données projet'!$A$218&gt;35,FE15+FD16-FM15,IF(A16&lt;'Données projet'!$A$218,$FB$205^A16,IF(A16='Données projet'!$A$218,'Données projet'!$B$218,FE15+FD16-FM15)))</f>
        <v>266.66666664000002</v>
      </c>
      <c r="FF16" s="17">
        <f>FE16*VLOOKUP('Données projet'!$B$16,Paramètres!$A$1:$I$89,3,0)*VLOOKUP('Données projet'!$B$16,Paramètres!$A$1:$I$89,5,0)</f>
        <v>152.67199998473279</v>
      </c>
      <c r="FG16" s="13">
        <f t="shared" si="47"/>
        <v>39.185181811222485</v>
      </c>
      <c r="FH16" s="20">
        <f t="shared" si="22"/>
        <v>334.1512582946221</v>
      </c>
      <c r="FI16" s="59">
        <f t="shared" si="23"/>
        <v>627.48459162795541</v>
      </c>
      <c r="FJ16" s="59">
        <f ca="1">AVERAGE(OFFSET($FI$3,0,0,'Données projet'!$E$16+1,1))-AVERAGE(OFFSET($H$3,0,0,'Données projet'!$E$16+1,1))</f>
        <v>211.14768428403215</v>
      </c>
      <c r="FK16" s="59">
        <f t="shared" si="48"/>
        <v>350.7800157534798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12.230399999999998</v>
      </c>
      <c r="D17" s="11">
        <f t="shared" si="32"/>
        <v>4.2112849955088034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126.91827014076971</v>
      </c>
      <c r="H17" s="66">
        <f t="shared" si="1"/>
        <v>321.96926803384446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10.6</v>
      </c>
      <c r="N17" s="13">
        <f>IF('Données projet'!$A$36&gt;35,N16+M17-V16,IF(A17&lt;'Données projet'!$A$36,$K$205^A17,IF(A17='Données projet'!$A$36,'Données projet'!$B$36,N16+M17-V16)))</f>
        <v>77.399999999999991</v>
      </c>
      <c r="O17" s="13">
        <f>N17*VLOOKUP('Données projet'!$B$9,Paramètres!$A$1:$I$89,3,0)*VLOOKUP('Données projet'!$B$9,Paramètres!$A$1:$I$89,5,0)</f>
        <v>67.616640000000004</v>
      </c>
      <c r="P17" s="13">
        <f t="shared" si="33"/>
        <v>19.080397298873443</v>
      </c>
      <c r="Q17" s="20">
        <f t="shared" si="2"/>
        <v>150.99733996220459</v>
      </c>
      <c r="R17" s="59">
        <f t="shared" si="0"/>
        <v>444.33067329553791</v>
      </c>
      <c r="S17" s="59">
        <f ca="1">AVERAGE(OFFSET($R$3,0,0,'Données projet'!$E$9+1,1))-AVERAGE(OFFSET($H$3,0,0,'Données projet'!$E$9+1,1))</f>
        <v>252.49539407921907</v>
      </c>
      <c r="T17" s="59">
        <f t="shared" si="34"/>
        <v>263.36387286233929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4.0628205133333335</v>
      </c>
      <c r="AI17" s="13">
        <f>IF('Données projet'!$A$62&gt;35,AI16+AH17-AQ16,IF(A17&lt;'Données projet'!$A$62,$AF$205^A17,IF(A17='Données projet'!$A$62,'Données projet'!$B$62,AI16+AH17-AQ16)))</f>
        <v>9.4068196116692437</v>
      </c>
      <c r="AJ17" s="13">
        <f>AI17*VLOOKUP('Données projet'!$B$10,Paramètres!$A$1:$I$89,3,0)*VLOOKUP('Données projet'!$B$10,Paramètres!$A$1:$I$89,5,0)</f>
        <v>8.5112903846383308</v>
      </c>
      <c r="AK17" s="13">
        <f t="shared" si="35"/>
        <v>3.0570040017858653</v>
      </c>
      <c r="AL17" s="20">
        <f t="shared" si="4"/>
        <v>20.148112723022138</v>
      </c>
      <c r="AM17" s="59">
        <f t="shared" si="5"/>
        <v>313.48144605635548</v>
      </c>
      <c r="AN17" s="59">
        <f ca="1">AVERAGE(OFFSET($AM$3,0,0,'Données projet'!$E$10+1,1))-AVERAGE(OFFSET($H$3,0,0,'Données projet'!$E$10+1,1))</f>
        <v>370.05613271587413</v>
      </c>
      <c r="AO17" s="59">
        <f t="shared" si="36"/>
        <v>183.24480056442525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4.0628205133333335</v>
      </c>
      <c r="BD17" s="12">
        <f>IF('Données projet'!$A$88&gt;35,BD16+BC17-BL16,IF(A17&lt;'Données projet'!$A$88,$BA$205^A17,IF(A17='Données projet'!$A$88,'Données projet'!$B$88,BD16+BC17-BL16)))</f>
        <v>9.4068196116692437</v>
      </c>
      <c r="BE17" s="13">
        <f>BD17*VLOOKUP('Données projet'!$B$11,Paramètres!$A$1:$I$89,3,0)*VLOOKUP('Données projet'!$B$11,Paramètres!$A$1:$I$89,5,0)</f>
        <v>9.5385150862326142</v>
      </c>
      <c r="BF17" s="13">
        <f t="shared" si="37"/>
        <v>3.3808139682966454</v>
      </c>
      <c r="BG17" s="20">
        <f t="shared" si="7"/>
        <v>22.501164769971794</v>
      </c>
      <c r="BH17" s="59">
        <f t="shared" si="8"/>
        <v>315.83449810330512</v>
      </c>
      <c r="BI17" s="59">
        <f ca="1">AVERAGE(OFFSET($BH$3,0,0,'Données projet'!$E$11+1,1))-AVERAGE(OFFSET($H$3,0,0,'Données projet'!$E$11+1,1))</f>
        <v>428.72181435671394</v>
      </c>
      <c r="BJ17" s="59">
        <f t="shared" si="38"/>
        <v>211.84936043087572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14.6</v>
      </c>
      <c r="BY17" s="12">
        <f>IF('Données projet'!$A$114&gt;35,BY16+BX17-CG16,IF(A17&lt;'Données projet'!$A$114,$BV$205^A17,IF(A17='Données projet'!$A$114,'Données projet'!$B$114,BY16+BX17-CG16)))</f>
        <v>70.400000000000006</v>
      </c>
      <c r="BZ17" s="13">
        <f>BY17*VLOOKUP('Données projet'!$B$12,Paramètres!$A$1:$I$89,3,0)*VLOOKUP('Données projet'!$B$12,Paramètres!$A$1:$I$89,5,0)</f>
        <v>56.01024000000001</v>
      </c>
      <c r="CA17" s="13">
        <f t="shared" si="39"/>
        <v>16.155528478402793</v>
      </c>
      <c r="CB17" s="20">
        <f t="shared" si="10"/>
        <v>125.68871343321821</v>
      </c>
      <c r="CC17" s="59">
        <f t="shared" si="11"/>
        <v>419.02204676655151</v>
      </c>
      <c r="CD17" s="59">
        <f ca="1">AVERAGE(OFFSET($CC$3,0,0,'Données projet'!$E$12+1,1))-AVERAGE(OFFSET($H$3,0,0,'Données projet'!$E$12+1,1))</f>
        <v>296.737543892524</v>
      </c>
      <c r="CE17" s="59">
        <f t="shared" si="40"/>
        <v>296.38358650317099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2.8</v>
      </c>
      <c r="CT17" s="12">
        <f>IF('Données projet'!$A$140&gt;35,CT16+CS17-DB16,IF(A17&lt;'Données projet'!$A$140,$CQ$205^A17,IF(A17='Données projet'!$A$140,'Données projet'!$B$140,CT16+CS17-DB16)))</f>
        <v>16.739081308117708</v>
      </c>
      <c r="CU17" s="17">
        <f>CT17*VLOOKUP('Données projet'!$B$13,Paramètres!$A$1:$I$89,3,0)*VLOOKUP('Données projet'!$B$13,Paramètres!$A$1:$I$89,5,0)</f>
        <v>14.362131762364994</v>
      </c>
      <c r="CV17" s="13">
        <f t="shared" si="41"/>
        <v>4.8536749785381312</v>
      </c>
      <c r="CW17" s="20">
        <f t="shared" si="13"/>
        <v>33.46753007373961</v>
      </c>
      <c r="CX17" s="59">
        <f t="shared" si="14"/>
        <v>326.80086340707294</v>
      </c>
      <c r="CY17" s="59">
        <f ca="1">AVERAGE(OFFSET($CX$3,0,0,'Données projet'!$E$13+1,1))-AVERAGE(OFFSET($H$3,0,0,'Données projet'!$E$13+1,1))</f>
        <v>391.93999504334352</v>
      </c>
      <c r="CZ17" s="59">
        <f t="shared" si="42"/>
        <v>215.4484906985528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14.6</v>
      </c>
      <c r="DO17" s="12">
        <f>IF('Données projet'!$A$166&gt;35,DO16+DN17-DW16,IF(A17&lt;'Données projet'!$A$166,$DL$205^A17,IF(A17='Données projet'!$A$166,'Données projet'!$B$166,DO16+DN17-DW16)))</f>
        <v>70.400000000000006</v>
      </c>
      <c r="DP17" s="17">
        <f>DO17*VLOOKUP('Données projet'!$B$14,Paramètres!$A$1:$I$89,3,0)*VLOOKUP('Données projet'!$B$14,Paramètres!$A$1:$I$89,5,0)</f>
        <v>51.617280000000001</v>
      </c>
      <c r="DQ17" s="13">
        <f t="shared" si="43"/>
        <v>15.030652312628483</v>
      </c>
      <c r="DR17" s="20">
        <f t="shared" si="16"/>
        <v>116.07848211116128</v>
      </c>
      <c r="DS17" s="59">
        <f t="shared" si="17"/>
        <v>409.41181544449461</v>
      </c>
      <c r="DT17" s="59">
        <f ca="1">AVERAGE(OFFSET($DS$3,0,0,'Données projet'!$E$14+1,1))-AVERAGE(OFFSET($H$3,0,0,'Données projet'!$E$14+1,1))</f>
        <v>267.92147257573157</v>
      </c>
      <c r="DU17" s="59">
        <f t="shared" si="44"/>
        <v>269.06662611892438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10.169411764705883</v>
      </c>
      <c r="EJ17" s="12">
        <f>IF('Données projet'!$A$192&gt;35,EJ16+EI17-ER16,IF(A17&lt;'Données projet'!$A$192,$EG$205^A17,IF(A17='Données projet'!$A$192,'Données projet'!$B$192,EJ16+EI17-ER16)))</f>
        <v>69.638373791774598</v>
      </c>
      <c r="EK17" s="17">
        <f>EJ17*VLOOKUP('Données projet'!$B$15,Paramètres!$A$1:$I$89,3,0)*VLOOKUP('Données projet'!$B$15,Paramètres!$A$1:$I$89,5,0)</f>
        <v>38.927850949602004</v>
      </c>
      <c r="EL17" s="13">
        <f t="shared" si="45"/>
        <v>11.71402589358018</v>
      </c>
      <c r="EM17" s="20">
        <f t="shared" si="19"/>
        <v>88.201268835208964</v>
      </c>
      <c r="EN17" s="59">
        <f t="shared" si="20"/>
        <v>381.53460216854228</v>
      </c>
      <c r="EO17" s="59">
        <f ca="1">AVERAGE(OFFSET($EN$3,0,0,'Données projet'!$E$15+1,1))-AVERAGE(OFFSET($H$3,0,0,'Données projet'!$E$15+1,1))</f>
        <v>326.29985515186428</v>
      </c>
      <c r="EP17" s="59">
        <f t="shared" si="46"/>
        <v>437.68177084535927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>
        <f>VLOOKUP(A17,'Données projet'!$A$217:$I$237,2,0)</f>
        <v>297.43589739999999</v>
      </c>
      <c r="FC17" s="12">
        <f>VLOOKUP(A17,'Données projet'!$A$217:$I$237,9,0)</f>
        <v>30.769230759999999</v>
      </c>
      <c r="FD17" s="12">
        <f t="array" ref="FD17">INDEX(FC:FC,MIN(IF(ISNUMBER(FC17:FC213),ROW(FC17:FC213),"")))</f>
        <v>30.769230759999999</v>
      </c>
      <c r="FE17" s="12">
        <f>IF('Données projet'!$A$218&gt;35,FE16+FD17-FM16,IF(A17&lt;'Données projet'!$A$218,$FB$205^A17,IF(A17='Données projet'!$A$218,'Données projet'!$B$218,FE16+FD17-FM16)))</f>
        <v>297.43589740000004</v>
      </c>
      <c r="FF17" s="17">
        <f>FE17*VLOOKUP('Données projet'!$B$16,Paramètres!$A$1:$I$89,3,0)*VLOOKUP('Données projet'!$B$16,Paramètres!$A$1:$I$89,5,0)</f>
        <v>170.28799997944805</v>
      </c>
      <c r="FG17" s="13">
        <f t="shared" si="47"/>
        <v>43.154519644422756</v>
      </c>
      <c r="FH17" s="20">
        <f t="shared" si="22"/>
        <v>371.74572167824164</v>
      </c>
      <c r="FI17" s="59">
        <f t="shared" si="23"/>
        <v>665.07905501157495</v>
      </c>
      <c r="FJ17" s="59">
        <f ca="1">AVERAGE(OFFSET($FI$3,0,0,'Données projet'!$E$16+1,1))-AVERAGE(OFFSET($H$3,0,0,'Données projet'!$E$16+1,1))</f>
        <v>211.14768428403215</v>
      </c>
      <c r="FK17" s="59">
        <f t="shared" si="48"/>
        <v>350.7800157534798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18" s="11">
        <f t="shared" si="32"/>
        <v>4.4760006109979766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135.70526787437032</v>
      </c>
      <c r="H18" s="66">
        <f t="shared" si="1"/>
        <v>323.95183439748814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88</v>
      </c>
      <c r="L18" s="12">
        <f>VLOOKUP(A18,'Données projet'!$A$35:$I$55,9,0)</f>
        <v>10.6</v>
      </c>
      <c r="M18" s="12">
        <f t="array" ref="M18">INDEX(L:L,MIN(IF(ISNUMBER(L18:L214),ROW(L18:L214),"")))</f>
        <v>10.6</v>
      </c>
      <c r="N18" s="13">
        <f>IF('Données projet'!$A$36&gt;35,N17+M18-V17,IF(A18&lt;'Données projet'!$A$36,$K$205^A18,IF(A18='Données projet'!$A$36,'Données projet'!$B$36,N17+M18-V17)))</f>
        <v>87.999999999999986</v>
      </c>
      <c r="O18" s="13">
        <f>N18*VLOOKUP('Données projet'!$B$9,Paramètres!$A$1:$I$89,3,0)*VLOOKUP('Données projet'!$B$9,Paramètres!$A$1:$I$89,5,0)</f>
        <v>76.876799999999989</v>
      </c>
      <c r="P18" s="13">
        <f t="shared" si="33"/>
        <v>21.371784666185118</v>
      </c>
      <c r="Q18" s="20">
        <f t="shared" si="2"/>
        <v>171.1162849602724</v>
      </c>
      <c r="R18" s="59">
        <f t="shared" si="0"/>
        <v>464.44961829360568</v>
      </c>
      <c r="S18" s="59">
        <f ca="1">AVERAGE(OFFSET($R$3,0,0,'Données projet'!$E$9+1,1))-AVERAGE(OFFSET($H$3,0,0,'Données projet'!$E$9+1,1))</f>
        <v>252.49539407921907</v>
      </c>
      <c r="T18" s="59">
        <f t="shared" si="34"/>
        <v>263.36387286233929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30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4.0628205133333335</v>
      </c>
      <c r="AI18" s="13">
        <f>IF('Données projet'!$A$62&gt;35,AI17+AH18-AQ17,IF(A18&lt;'Données projet'!$A$62,$AF$205^A18,IF(A18='Données projet'!$A$62,'Données projet'!$B$62,AI17+AH18-AQ17)))</f>
        <v>11.04013656618433</v>
      </c>
      <c r="AJ18" s="13">
        <f>AI18*VLOOKUP('Données projet'!$B$10,Paramètres!$A$1:$I$89,3,0)*VLOOKUP('Données projet'!$B$10,Paramètres!$A$1:$I$89,5,0)</f>
        <v>9.9891155650835817</v>
      </c>
      <c r="AK18" s="13">
        <f t="shared" si="35"/>
        <v>3.52155240211412</v>
      </c>
      <c r="AL18" s="20">
        <f t="shared" si="4"/>
        <v>23.531080042869331</v>
      </c>
      <c r="AM18" s="59">
        <f t="shared" si="5"/>
        <v>316.86441337620266</v>
      </c>
      <c r="AN18" s="59">
        <f ca="1">AVERAGE(OFFSET($AM$3,0,0,'Données projet'!$E$10+1,1))-AVERAGE(OFFSET($H$3,0,0,'Données projet'!$E$10+1,1))</f>
        <v>370.05613271587413</v>
      </c>
      <c r="AO18" s="59">
        <f t="shared" si="36"/>
        <v>183.24480056442525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4.0628205133333335</v>
      </c>
      <c r="BD18" s="12">
        <f>IF('Données projet'!$A$88&gt;35,BD17+BC18-BL17,IF(A18&lt;'Données projet'!$A$88,$BA$205^A18,IF(A18='Données projet'!$A$88,'Données projet'!$B$88,BD17+BC18-BL17)))</f>
        <v>11.04013656618433</v>
      </c>
      <c r="BE18" s="13">
        <f>BD18*VLOOKUP('Données projet'!$B$11,Paramètres!$A$1:$I$89,3,0)*VLOOKUP('Données projet'!$B$11,Paramètres!$A$1:$I$89,5,0)</f>
        <v>11.194698478110912</v>
      </c>
      <c r="BF18" s="13">
        <f t="shared" si="37"/>
        <v>3.8945691743291286</v>
      </c>
      <c r="BG18" s="20">
        <f t="shared" si="7"/>
        <v>26.280474494666397</v>
      </c>
      <c r="BH18" s="59">
        <f t="shared" si="8"/>
        <v>319.61380782799972</v>
      </c>
      <c r="BI18" s="59">
        <f ca="1">AVERAGE(OFFSET($BH$3,0,0,'Données projet'!$E$11+1,1))-AVERAGE(OFFSET($H$3,0,0,'Données projet'!$E$11+1,1))</f>
        <v>428.72181435671394</v>
      </c>
      <c r="BJ18" s="59">
        <f t="shared" si="38"/>
        <v>211.84936043087572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85</v>
      </c>
      <c r="BW18" s="12">
        <f>VLOOKUP(A18,'Données projet'!$A$113:$I$133,9,0)</f>
        <v>14.6</v>
      </c>
      <c r="BX18" s="12">
        <f t="array" ref="BX18">INDEX(BW:BW,MIN(IF(ISNUMBER(BW18:BW214),ROW(BW18:BW214),"")))</f>
        <v>14.6</v>
      </c>
      <c r="BY18" s="12">
        <f>IF('Données projet'!$A$114&gt;35,BY17+BX18-CG17,IF(A18&lt;'Données projet'!$A$114,$BV$205^A18,IF(A18='Données projet'!$A$114,'Données projet'!$B$114,BY17+BX18-CG17)))</f>
        <v>85</v>
      </c>
      <c r="BZ18" s="13">
        <f>BY18*VLOOKUP('Données projet'!$B$12,Paramètres!$A$1:$I$89,3,0)*VLOOKUP('Données projet'!$B$12,Paramètres!$A$1:$I$89,5,0)</f>
        <v>67.626000000000005</v>
      </c>
      <c r="CA18" s="13">
        <f t="shared" si="39"/>
        <v>19.082731089464875</v>
      </c>
      <c r="CB18" s="20">
        <f t="shared" si="10"/>
        <v>151.01770664748466</v>
      </c>
      <c r="CC18" s="59">
        <f t="shared" si="11"/>
        <v>444.35103998081797</v>
      </c>
      <c r="CD18" s="59">
        <f ca="1">AVERAGE(OFFSET($CC$3,0,0,'Données projet'!$E$12+1,1))-AVERAGE(OFFSET($H$3,0,0,'Données projet'!$E$12+1,1))</f>
        <v>296.737543892524</v>
      </c>
      <c r="CE18" s="59">
        <f t="shared" si="40"/>
        <v>296.38358650317099</v>
      </c>
      <c r="CF18" s="15">
        <f>IF(ISNA(VLOOKUP(A18,'Données projet'!$A$113:$I$133,3,0)),0,VLOOKUP(A18,'Données projet'!$A$113:$I$133,3,0))</f>
        <v>2</v>
      </c>
      <c r="CG18" s="15">
        <f>IF(ISNA(VLOOKUP(A18,'Données projet'!$A$113:$I$133,4,0)),0,VLOOKUP(A18,'Données projet'!$A$113:$I$133,4,0))</f>
        <v>42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2.8</v>
      </c>
      <c r="CT18" s="12">
        <f>IF('Données projet'!$A$140&gt;35,CT17+CS18-DB17,IF(A18&lt;'Données projet'!$A$140,$CQ$205^A18,IF(A18='Données projet'!$A$140,'Données projet'!$B$140,CT17+CS18-DB17)))</f>
        <v>20.471092479852732</v>
      </c>
      <c r="CU18" s="17">
        <f>CT18*VLOOKUP('Données projet'!$B$13,Paramètres!$A$1:$I$89,3,0)*VLOOKUP('Données projet'!$B$13,Paramètres!$A$1:$I$89,5,0)</f>
        <v>17.564197347713648</v>
      </c>
      <c r="CV18" s="13">
        <f t="shared" si="41"/>
        <v>5.7983661712048189</v>
      </c>
      <c r="CW18" s="20">
        <f t="shared" si="13"/>
        <v>40.689798128782996</v>
      </c>
      <c r="CX18" s="59">
        <f t="shared" si="14"/>
        <v>334.02313146211634</v>
      </c>
      <c r="CY18" s="59">
        <f ca="1">AVERAGE(OFFSET($CX$3,0,0,'Données projet'!$E$13+1,1))-AVERAGE(OFFSET($H$3,0,0,'Données projet'!$E$13+1,1))</f>
        <v>391.93999504334352</v>
      </c>
      <c r="CZ18" s="59">
        <f t="shared" si="42"/>
        <v>215.4484906985528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>
        <f>VLOOKUP(A18,'Données projet'!$A$165:$I$185,2,0)</f>
        <v>85</v>
      </c>
      <c r="DM18" s="12">
        <f>VLOOKUP(A18,'Données projet'!$A$165:$I$185,9,0)</f>
        <v>14.6</v>
      </c>
      <c r="DN18" s="12">
        <f t="array" ref="DN18">INDEX(DM:DM,MIN(IF(ISNUMBER(DM18:DM214),ROW(DM18:DM214),"")))</f>
        <v>14.6</v>
      </c>
      <c r="DO18" s="12">
        <f>IF('Données projet'!$A$166&gt;35,DO17+DN18-DW17,IF(A18&lt;'Données projet'!$A$166,$DL$205^A18,IF(A18='Données projet'!$A$166,'Données projet'!$B$166,DO17+DN18-DW17)))</f>
        <v>85</v>
      </c>
      <c r="DP18" s="17">
        <f>DO18*VLOOKUP('Données projet'!$B$14,Paramètres!$A$1:$I$89,3,0)*VLOOKUP('Données projet'!$B$14,Paramètres!$A$1:$I$89,5,0)</f>
        <v>62.321999999999996</v>
      </c>
      <c r="DQ18" s="13">
        <f t="shared" si="43"/>
        <v>17.754039836243702</v>
      </c>
      <c r="DR18" s="20">
        <f t="shared" si="16"/>
        <v>139.46576938145776</v>
      </c>
      <c r="DS18" s="59">
        <f t="shared" si="17"/>
        <v>432.79910271479105</v>
      </c>
      <c r="DT18" s="59">
        <f ca="1">AVERAGE(OFFSET($DS$3,0,0,'Données projet'!$E$14+1,1))-AVERAGE(OFFSET($H$3,0,0,'Données projet'!$E$14+1,1))</f>
        <v>267.92147257573157</v>
      </c>
      <c r="DU18" s="59">
        <f t="shared" si="44"/>
        <v>269.06662611892438</v>
      </c>
      <c r="DV18" s="15">
        <f>IF(ISNA(VLOOKUP(A18,'Données projet'!$A$165:$I$185,3,0)),0,VLOOKUP(A18,'Données projet'!$A$165:$I$185,3,0))</f>
        <v>2</v>
      </c>
      <c r="DW18" s="15">
        <f>IF(ISNA(VLOOKUP(A18,'Données projet'!$A$165:$I$185,4,0)),0,VLOOKUP(A18,'Données projet'!$A$165:$I$185,4,0))</f>
        <v>42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10.169411764705883</v>
      </c>
      <c r="EJ18" s="12">
        <f>IF('Données projet'!$A$192&gt;35,EJ17+EI18-ER17,IF(A18&lt;'Données projet'!$A$192,$EG$205^A18,IF(A18='Données projet'!$A$192,'Données projet'!$B$192,EJ17+EI18-ER17)))</f>
        <v>94.293263110893193</v>
      </c>
      <c r="EK18" s="17">
        <f>EJ18*VLOOKUP('Données projet'!$B$15,Paramètres!$A$1:$I$89,3,0)*VLOOKUP('Données projet'!$B$15,Paramètres!$A$1:$I$89,5,0)</f>
        <v>52.709934078989292</v>
      </c>
      <c r="EL18" s="13">
        <f t="shared" si="45"/>
        <v>15.311447658305164</v>
      </c>
      <c r="EM18" s="20">
        <f t="shared" si="19"/>
        <v>118.47057319245452</v>
      </c>
      <c r="EN18" s="59">
        <f t="shared" si="20"/>
        <v>411.80390652578785</v>
      </c>
      <c r="EO18" s="59">
        <f ca="1">AVERAGE(OFFSET($EN$3,0,0,'Données projet'!$E$15+1,1))-AVERAGE(OFFSET($H$3,0,0,'Données projet'!$E$15+1,1))</f>
        <v>326.29985515186428</v>
      </c>
      <c r="EP18" s="59">
        <f t="shared" si="46"/>
        <v>437.68177084535927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1.2820512800000075</v>
      </c>
      <c r="FE18" s="12">
        <f>IF('Données projet'!$A$218&gt;35,FE17+FD18-FM17,IF(A18&lt;'Données projet'!$A$218,$FB$205^A18,IF(A18='Données projet'!$A$218,'Données projet'!$B$218,FE17+FD18-FM17)))</f>
        <v>298.71794868000006</v>
      </c>
      <c r="FF18" s="17">
        <f>FE18*VLOOKUP('Données projet'!$B$16,Paramètres!$A$1:$I$89,3,0)*VLOOKUP('Données projet'!$B$16,Paramètres!$A$1:$I$89,5,0)</f>
        <v>171.02199997827364</v>
      </c>
      <c r="FG18" s="13">
        <f t="shared" si="47"/>
        <v>43.318837675047391</v>
      </c>
      <c r="FH18" s="20">
        <f t="shared" si="22"/>
        <v>373.31029224620079</v>
      </c>
      <c r="FI18" s="59">
        <f t="shared" si="23"/>
        <v>666.64362557953405</v>
      </c>
      <c r="FJ18" s="59">
        <f ca="1">AVERAGE(OFFSET($FI$3,0,0,'Données projet'!$E$16+1,1))-AVERAGE(OFFSET($H$3,0,0,'Données projet'!$E$16+1,1))</f>
        <v>211.14768428403215</v>
      </c>
      <c r="FK18" s="59">
        <f t="shared" si="48"/>
        <v>350.7800157534798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13.977599999999997</v>
      </c>
      <c r="D19" s="11">
        <f t="shared" si="32"/>
        <v>4.7386683822915021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144.47645768786421</v>
      </c>
      <c r="H19" s="66">
        <f t="shared" si="1"/>
        <v>325.93083409915766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11.8</v>
      </c>
      <c r="N19" s="13">
        <f>IF('Données projet'!$A$36&gt;35,N18+M19-V18,IF(A19&lt;'Données projet'!$A$36,$K$205^A19,IF(A19='Données projet'!$A$36,'Données projet'!$B$36,N18+M19-V18)))</f>
        <v>69.799999999999983</v>
      </c>
      <c r="O19" s="13">
        <f>N19*VLOOKUP('Données projet'!$B$9,Paramètres!$A$1:$I$89,3,0)*VLOOKUP('Données projet'!$B$9,Paramètres!$A$1:$I$89,5,0)</f>
        <v>60.977279999999993</v>
      </c>
      <c r="P19" s="13">
        <f t="shared" si="33"/>
        <v>17.415123237238468</v>
      </c>
      <c r="Q19" s="20">
        <f t="shared" si="2"/>
        <v>136.5334356381903</v>
      </c>
      <c r="R19" s="59">
        <f t="shared" si="0"/>
        <v>429.86676897152358</v>
      </c>
      <c r="S19" s="59">
        <f ca="1">AVERAGE(OFFSET($R$3,0,0,'Données projet'!$E$9+1,1))-AVERAGE(OFFSET($H$3,0,0,'Données projet'!$E$9+1,1))</f>
        <v>252.49539407921907</v>
      </c>
      <c r="T19" s="59">
        <f t="shared" si="34"/>
        <v>263.36387286233929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4.0628205133333335</v>
      </c>
      <c r="AI19" s="13">
        <f>IF('Données projet'!$A$62&gt;35,AI18+AH19-AQ18,IF(A19&lt;'Données projet'!$A$62,$AF$205^A19,IF(A19='Données projet'!$A$62,'Données projet'!$B$62,AI18+AH19-AQ18)))</f>
        <v>12.957048230073568</v>
      </c>
      <c r="AJ19" s="13">
        <f>AI19*VLOOKUP('Données projet'!$B$10,Paramètres!$A$1:$I$89,3,0)*VLOOKUP('Données projet'!$B$10,Paramètres!$A$1:$I$89,5,0)</f>
        <v>11.723537238570565</v>
      </c>
      <c r="AK19" s="13">
        <f t="shared" si="35"/>
        <v>4.0566945001023926</v>
      </c>
      <c r="AL19" s="20">
        <f t="shared" si="4"/>
        <v>27.483903611522063</v>
      </c>
      <c r="AM19" s="59">
        <f t="shared" si="5"/>
        <v>320.81723694485538</v>
      </c>
      <c r="AN19" s="59">
        <f ca="1">AVERAGE(OFFSET($AM$3,0,0,'Données projet'!$E$10+1,1))-AVERAGE(OFFSET($H$3,0,0,'Données projet'!$E$10+1,1))</f>
        <v>370.05613271587413</v>
      </c>
      <c r="AO19" s="59">
        <f t="shared" si="36"/>
        <v>183.24480056442525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4.0628205133333335</v>
      </c>
      <c r="BD19" s="12">
        <f>IF('Données projet'!$A$88&gt;35,BD18+BC19-BL18,IF(A19&lt;'Données projet'!$A$88,$BA$205^A19,IF(A19='Données projet'!$A$88,'Données projet'!$B$88,BD18+BC19-BL18)))</f>
        <v>12.957048230073568</v>
      </c>
      <c r="BE19" s="13">
        <f>BD19*VLOOKUP('Données projet'!$B$11,Paramètres!$A$1:$I$89,3,0)*VLOOKUP('Données projet'!$B$11,Paramètres!$A$1:$I$89,5,0)</f>
        <v>13.138446905294597</v>
      </c>
      <c r="BF19" s="13">
        <f t="shared" si="37"/>
        <v>4.4863956419573663</v>
      </c>
      <c r="BG19" s="20">
        <f t="shared" si="7"/>
        <v>30.696600769797168</v>
      </c>
      <c r="BH19" s="59">
        <f t="shared" si="8"/>
        <v>324.02993410313047</v>
      </c>
      <c r="BI19" s="59">
        <f ca="1">AVERAGE(OFFSET($BH$3,0,0,'Données projet'!$E$11+1,1))-AVERAGE(OFFSET($H$3,0,0,'Données projet'!$E$11+1,1))</f>
        <v>428.72181435671394</v>
      </c>
      <c r="BJ19" s="59">
        <f t="shared" si="38"/>
        <v>211.84936043087572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16</v>
      </c>
      <c r="BY19" s="12">
        <f>IF('Données projet'!$A$114&gt;35,BY18+BX19-CG18,IF(A19&lt;'Données projet'!$A$114,$BV$205^A19,IF(A19='Données projet'!$A$114,'Données projet'!$B$114,BY18+BX19-CG18)))</f>
        <v>59</v>
      </c>
      <c r="BZ19" s="13">
        <f>BY19*VLOOKUP('Données projet'!$B$12,Paramètres!$A$1:$I$89,3,0)*VLOOKUP('Données projet'!$B$12,Paramètres!$A$1:$I$89,5,0)</f>
        <v>46.940400000000004</v>
      </c>
      <c r="CA19" s="13">
        <f t="shared" si="39"/>
        <v>13.82072434588865</v>
      </c>
      <c r="CB19" s="20">
        <f t="shared" si="10"/>
        <v>105.82562490242275</v>
      </c>
      <c r="CC19" s="59">
        <f t="shared" si="11"/>
        <v>399.15895823575607</v>
      </c>
      <c r="CD19" s="59">
        <f ca="1">AVERAGE(OFFSET($CC$3,0,0,'Données projet'!$E$12+1,1))-AVERAGE(OFFSET($H$3,0,0,'Données projet'!$E$12+1,1))</f>
        <v>296.737543892524</v>
      </c>
      <c r="CE19" s="59">
        <f t="shared" si="40"/>
        <v>296.38358650317099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2.8</v>
      </c>
      <c r="CT19" s="12">
        <f>IF('Données projet'!$A$140&gt;35,CT18+CS19-DB18,IF(A19&lt;'Données projet'!$A$140,$CQ$205^A19,IF(A19='Données projet'!$A$140,'Données projet'!$B$140,CT18+CS19-DB18)))</f>
        <v>25.035162898423533</v>
      </c>
      <c r="CU19" s="17">
        <f>CT19*VLOOKUP('Données projet'!$B$13,Paramètres!$A$1:$I$89,3,0)*VLOOKUP('Données projet'!$B$13,Paramètres!$A$1:$I$89,5,0)</f>
        <v>21.480169766847393</v>
      </c>
      <c r="CV19" s="13">
        <f t="shared" si="41"/>
        <v>6.9269265873873334</v>
      </c>
      <c r="CW19" s="20">
        <f t="shared" si="13"/>
        <v>49.475692816958805</v>
      </c>
      <c r="CX19" s="59">
        <f t="shared" si="14"/>
        <v>342.80902615029214</v>
      </c>
      <c r="CY19" s="59">
        <f ca="1">AVERAGE(OFFSET($CX$3,0,0,'Données projet'!$E$13+1,1))-AVERAGE(OFFSET($H$3,0,0,'Données projet'!$E$13+1,1))</f>
        <v>391.93999504334352</v>
      </c>
      <c r="CZ19" s="59">
        <f t="shared" si="42"/>
        <v>215.4484906985528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16</v>
      </c>
      <c r="DO19" s="12">
        <f>IF('Données projet'!$A$166&gt;35,DO18+DN19-DW18,IF(A19&lt;'Données projet'!$A$166,$DL$205^A19,IF(A19='Données projet'!$A$166,'Données projet'!$B$166,DO18+DN19-DW18)))</f>
        <v>59</v>
      </c>
      <c r="DP19" s="17">
        <f>DO19*VLOOKUP('Données projet'!$B$14,Paramètres!$A$1:$I$89,3,0)*VLOOKUP('Données projet'!$B$14,Paramètres!$A$1:$I$89,5,0)</f>
        <v>43.258799999999994</v>
      </c>
      <c r="DQ19" s="13">
        <f t="shared" si="43"/>
        <v>12.858415781906348</v>
      </c>
      <c r="DR19" s="20">
        <f t="shared" si="16"/>
        <v>97.737484153486875</v>
      </c>
      <c r="DS19" s="59">
        <f t="shared" si="17"/>
        <v>391.0708174868202</v>
      </c>
      <c r="DT19" s="59">
        <f ca="1">AVERAGE(OFFSET($DS$3,0,0,'Données projet'!$E$14+1,1))-AVERAGE(OFFSET($H$3,0,0,'Données projet'!$E$14+1,1))</f>
        <v>267.92147257573157</v>
      </c>
      <c r="DU19" s="59">
        <f t="shared" si="44"/>
        <v>269.06662611892438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10.169411764705883</v>
      </c>
      <c r="EJ19" s="12">
        <f>IF('Données projet'!$A$192&gt;35,EJ18+EI19-ER18,IF(A19&lt;'Données projet'!$A$192,$EG$205^A19,IF(A19='Données projet'!$A$192,'Données projet'!$B$192,EJ18+EI19-ER18)))</f>
        <v>127.67701173904101</v>
      </c>
      <c r="EK19" s="17">
        <f>EJ19*VLOOKUP('Données projet'!$B$15,Paramètres!$A$1:$I$89,3,0)*VLOOKUP('Données projet'!$B$15,Paramètres!$A$1:$I$89,5,0)</f>
        <v>71.371449562123928</v>
      </c>
      <c r="EL19" s="13">
        <f t="shared" si="45"/>
        <v>20.013651286318474</v>
      </c>
      <c r="EM19" s="20">
        <f t="shared" si="19"/>
        <v>159.16238397770385</v>
      </c>
      <c r="EN19" s="59">
        <f t="shared" si="20"/>
        <v>452.4957173110372</v>
      </c>
      <c r="EO19" s="59">
        <f ca="1">AVERAGE(OFFSET($EN$3,0,0,'Données projet'!$E$15+1,1))-AVERAGE(OFFSET($H$3,0,0,'Données projet'!$E$15+1,1))</f>
        <v>326.29985515186428</v>
      </c>
      <c r="EP19" s="59">
        <f t="shared" si="46"/>
        <v>437.68177084535927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1.2820512800000075</v>
      </c>
      <c r="FE19" s="12">
        <f>IF('Données projet'!$A$218&gt;35,FE18+FD19-FM18,IF(A19&lt;'Données projet'!$A$218,$FB$205^A19,IF(A19='Données projet'!$A$218,'Données projet'!$B$218,FE18+FD19-FM18)))</f>
        <v>299.99999996000008</v>
      </c>
      <c r="FF19" s="17">
        <f>FE19*VLOOKUP('Données projet'!$B$16,Paramètres!$A$1:$I$89,3,0)*VLOOKUP('Données projet'!$B$16,Paramètres!$A$1:$I$89,5,0)</f>
        <v>171.75599997709924</v>
      </c>
      <c r="FG19" s="13">
        <f t="shared" si="47"/>
        <v>43.48307363741413</v>
      </c>
      <c r="FH19" s="20">
        <f t="shared" si="22"/>
        <v>374.87471987861073</v>
      </c>
      <c r="FI19" s="59">
        <f t="shared" si="23"/>
        <v>668.20805321194405</v>
      </c>
      <c r="FJ19" s="59">
        <f ca="1">AVERAGE(OFFSET($FI$3,0,0,'Données projet'!$E$16+1,1))-AVERAGE(OFFSET($H$3,0,0,'Données projet'!$E$16+1,1))</f>
        <v>211.14768428403215</v>
      </c>
      <c r="FK19" s="59">
        <f t="shared" si="48"/>
        <v>350.7800157534798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14.851199999999997</v>
      </c>
      <c r="D20" s="11">
        <f t="shared" si="32"/>
        <v>4.9994308705687178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153.23294005351292</v>
      </c>
      <c r="H20" s="66">
        <f t="shared" si="1"/>
        <v>327.90651543290716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11.8</v>
      </c>
      <c r="N20" s="13">
        <f>IF('Données projet'!$A$36&gt;35,N19+M20-V19,IF(A20&lt;'Données projet'!$A$36,$K$205^A20,IF(A20='Données projet'!$A$36,'Données projet'!$B$36,N19+M20-V19)))</f>
        <v>81.59999999999998</v>
      </c>
      <c r="O20" s="13">
        <f>N20*VLOOKUP('Données projet'!$B$9,Paramètres!$A$1:$I$89,3,0)*VLOOKUP('Données projet'!$B$9,Paramètres!$A$1:$I$89,5,0)</f>
        <v>71.285759999999982</v>
      </c>
      <c r="P20" s="13">
        <f t="shared" si="33"/>
        <v>19.992418069182566</v>
      </c>
      <c r="Q20" s="20">
        <f t="shared" si="2"/>
        <v>158.97616013715958</v>
      </c>
      <c r="R20" s="59">
        <f t="shared" si="0"/>
        <v>452.3094934704929</v>
      </c>
      <c r="S20" s="59">
        <f ca="1">AVERAGE(OFFSET($R$3,0,0,'Données projet'!$E$9+1,1))-AVERAGE(OFFSET($H$3,0,0,'Données projet'!$E$9+1,1))</f>
        <v>252.49539407921907</v>
      </c>
      <c r="T20" s="59">
        <f t="shared" si="34"/>
        <v>263.36387286233929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4.0628205133333335</v>
      </c>
      <c r="AI20" s="13">
        <f>IF('Données projet'!$A$62&gt;35,AI19+AH20-AQ19,IF(A20&lt;'Données projet'!$A$62,$AF$205^A20,IF(A20='Données projet'!$A$62,'Données projet'!$B$62,AI19+AH20-AQ19)))</f>
        <v>15.206795480291483</v>
      </c>
      <c r="AJ20" s="13">
        <f>AI20*VLOOKUP('Données projet'!$B$10,Paramètres!$A$1:$I$89,3,0)*VLOOKUP('Données projet'!$B$10,Paramètres!$A$1:$I$89,5,0)</f>
        <v>13.759108550567733</v>
      </c>
      <c r="AK20" s="13">
        <f t="shared" si="35"/>
        <v>4.6731578542694354</v>
      </c>
      <c r="AL20" s="20">
        <f t="shared" si="4"/>
        <v>32.10286398842473</v>
      </c>
      <c r="AM20" s="59">
        <f t="shared" si="5"/>
        <v>325.43619732175807</v>
      </c>
      <c r="AN20" s="59">
        <f ca="1">AVERAGE(OFFSET($AM$3,0,0,'Données projet'!$E$10+1,1))-AVERAGE(OFFSET($H$3,0,0,'Données projet'!$E$10+1,1))</f>
        <v>370.05613271587413</v>
      </c>
      <c r="AO20" s="59">
        <f t="shared" si="36"/>
        <v>183.24480056442525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4.0628205133333335</v>
      </c>
      <c r="BD20" s="12">
        <f>IF('Données projet'!$A$88&gt;35,BD19+BC20-BL19,IF(A20&lt;'Données projet'!$A$88,$BA$205^A20,IF(A20='Données projet'!$A$88,'Données projet'!$B$88,BD19+BC20-BL19)))</f>
        <v>15.206795480291483</v>
      </c>
      <c r="BE20" s="13">
        <f>BD20*VLOOKUP('Données projet'!$B$11,Paramètres!$A$1:$I$89,3,0)*VLOOKUP('Données projet'!$B$11,Paramètres!$A$1:$I$89,5,0)</f>
        <v>15.419690617015563</v>
      </c>
      <c r="BF20" s="13">
        <f t="shared" si="37"/>
        <v>5.1681572351686986</v>
      </c>
      <c r="BG20" s="20">
        <f t="shared" si="7"/>
        <v>35.857168342554253</v>
      </c>
      <c r="BH20" s="59">
        <f t="shared" si="8"/>
        <v>329.19050167588756</v>
      </c>
      <c r="BI20" s="59">
        <f ca="1">AVERAGE(OFFSET($BH$3,0,0,'Données projet'!$E$11+1,1))-AVERAGE(OFFSET($H$3,0,0,'Données projet'!$E$11+1,1))</f>
        <v>428.72181435671394</v>
      </c>
      <c r="BJ20" s="59">
        <f t="shared" si="38"/>
        <v>211.84936043087572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16</v>
      </c>
      <c r="BY20" s="12">
        <f>IF('Données projet'!$A$114&gt;35,BY19+BX20-CG19,IF(A20&lt;'Données projet'!$A$114,$BV$205^A20,IF(A20='Données projet'!$A$114,'Données projet'!$B$114,BY19+BX20-CG19)))</f>
        <v>75</v>
      </c>
      <c r="BZ20" s="13">
        <f>BY20*VLOOKUP('Données projet'!$B$12,Paramètres!$A$1:$I$89,3,0)*VLOOKUP('Données projet'!$B$12,Paramètres!$A$1:$I$89,5,0)</f>
        <v>59.67</v>
      </c>
      <c r="CA20" s="13">
        <f t="shared" si="39"/>
        <v>17.084807896591332</v>
      </c>
      <c r="CB20" s="20">
        <f t="shared" si="10"/>
        <v>133.68129041989656</v>
      </c>
      <c r="CC20" s="59">
        <f t="shared" si="11"/>
        <v>427.0146237532299</v>
      </c>
      <c r="CD20" s="59">
        <f ca="1">AVERAGE(OFFSET($CC$3,0,0,'Données projet'!$E$12+1,1))-AVERAGE(OFFSET($H$3,0,0,'Données projet'!$E$12+1,1))</f>
        <v>296.737543892524</v>
      </c>
      <c r="CE20" s="59">
        <f t="shared" si="40"/>
        <v>296.38358650317099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2.8</v>
      </c>
      <c r="CT20" s="12">
        <f>IF('Données projet'!$A$140&gt;35,CT19+CS20-DB19,IF(A20&lt;'Données projet'!$A$140,$CQ$205^A20,IF(A20='Données projet'!$A$140,'Données projet'!$B$140,CT19+CS20-DB19)))</f>
        <v>30.61680181296855</v>
      </c>
      <c r="CU20" s="17">
        <f>CT20*VLOOKUP('Données projet'!$B$13,Paramètres!$A$1:$I$89,3,0)*VLOOKUP('Données projet'!$B$13,Paramètres!$A$1:$I$89,5,0)</f>
        <v>26.26921595552702</v>
      </c>
      <c r="CV20" s="13">
        <f t="shared" si="41"/>
        <v>8.2751434680579159</v>
      </c>
      <c r="CW20" s="20">
        <f t="shared" si="13"/>
        <v>60.164759329410423</v>
      </c>
      <c r="CX20" s="59">
        <f t="shared" si="14"/>
        <v>353.49809266274372</v>
      </c>
      <c r="CY20" s="59">
        <f ca="1">AVERAGE(OFFSET($CX$3,0,0,'Données projet'!$E$13+1,1))-AVERAGE(OFFSET($H$3,0,0,'Données projet'!$E$13+1,1))</f>
        <v>391.93999504334352</v>
      </c>
      <c r="CZ20" s="59">
        <f t="shared" si="42"/>
        <v>215.4484906985528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16</v>
      </c>
      <c r="DO20" s="12">
        <f>IF('Données projet'!$A$166&gt;35,DO19+DN20-DW19,IF(A20&lt;'Données projet'!$A$166,$DL$205^A20,IF(A20='Données projet'!$A$166,'Données projet'!$B$166,DO19+DN20-DW19)))</f>
        <v>75</v>
      </c>
      <c r="DP20" s="17">
        <f>DO20*VLOOKUP('Données projet'!$B$14,Paramètres!$A$1:$I$89,3,0)*VLOOKUP('Données projet'!$B$14,Paramètres!$A$1:$I$89,5,0)</f>
        <v>54.99</v>
      </c>
      <c r="DQ20" s="13">
        <f t="shared" si="43"/>
        <v>15.895227919347008</v>
      </c>
      <c r="DR20" s="20">
        <f t="shared" si="16"/>
        <v>123.45843862619604</v>
      </c>
      <c r="DS20" s="59">
        <f t="shared" si="17"/>
        <v>416.79177195952934</v>
      </c>
      <c r="DT20" s="59">
        <f ca="1">AVERAGE(OFFSET($DS$3,0,0,'Données projet'!$E$14+1,1))-AVERAGE(OFFSET($H$3,0,0,'Données projet'!$E$14+1,1))</f>
        <v>267.92147257573157</v>
      </c>
      <c r="DU20" s="59">
        <f t="shared" si="44"/>
        <v>269.06662611892438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>
        <f>VLOOKUP(A20,'Données projet'!$A$191:$I$211,2,0)</f>
        <v>172.88</v>
      </c>
      <c r="EH20" s="12">
        <f>VLOOKUP(A20,'Données projet'!$A$191:$I$211,9,0)</f>
        <v>10.169411764705883</v>
      </c>
      <c r="EI20" s="12">
        <f t="array" ref="EI20">INDEX(EH:EH,MIN(IF(ISNUMBER(EH20:EH216),ROW(EH20:EH216),"")))</f>
        <v>10.169411764705883</v>
      </c>
      <c r="EJ20" s="12">
        <f>IF('Données projet'!$A$192&gt;35,EJ19+EI20-ER19,IF(A20&lt;'Données projet'!$A$192,$EG$205^A20,IF(A20='Données projet'!$A$192,'Données projet'!$B$192,EJ19+EI20-ER19)))</f>
        <v>172.88</v>
      </c>
      <c r="EK20" s="17">
        <f>EJ20*VLOOKUP('Données projet'!$B$15,Paramètres!$A$1:$I$89,3,0)*VLOOKUP('Données projet'!$B$15,Paramètres!$A$1:$I$89,5,0)</f>
        <v>96.639919999999989</v>
      </c>
      <c r="EL20" s="13">
        <f t="shared" si="45"/>
        <v>26.159919476529339</v>
      </c>
      <c r="EM20" s="20">
        <f t="shared" si="19"/>
        <v>213.87638708828857</v>
      </c>
      <c r="EN20" s="59">
        <f t="shared" si="20"/>
        <v>507.20972042162191</v>
      </c>
      <c r="EO20" s="59">
        <f ca="1">AVERAGE(OFFSET($EN$3,0,0,'Données projet'!$E$15+1,1))-AVERAGE(OFFSET($H$3,0,0,'Données projet'!$E$15+1,1))</f>
        <v>326.29985515186428</v>
      </c>
      <c r="EP20" s="59">
        <f t="shared" si="46"/>
        <v>437.68177084535927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1.2820512800000075</v>
      </c>
      <c r="FE20" s="12">
        <f>IF('Données projet'!$A$218&gt;35,FE19+FD20-FM19,IF(A20&lt;'Données projet'!$A$218,$FB$205^A20,IF(A20='Données projet'!$A$218,'Données projet'!$B$218,FE19+FD20-FM19)))</f>
        <v>301.2820512400001</v>
      </c>
      <c r="FF20" s="17">
        <f>FE20*VLOOKUP('Données projet'!$B$16,Paramètres!$A$1:$I$89,3,0)*VLOOKUP('Données projet'!$B$16,Paramètres!$A$1:$I$89,5,0)</f>
        <v>172.48999997592486</v>
      </c>
      <c r="FG20" s="13">
        <f t="shared" si="47"/>
        <v>43.647227922970806</v>
      </c>
      <c r="FH20" s="20">
        <f t="shared" si="22"/>
        <v>376.43900525724325</v>
      </c>
      <c r="FI20" s="59">
        <f t="shared" si="23"/>
        <v>669.77233859057651</v>
      </c>
      <c r="FJ20" s="59">
        <f ca="1">AVERAGE(OFFSET($FI$3,0,0,'Données projet'!$E$16+1,1))-AVERAGE(OFFSET($H$3,0,0,'Données projet'!$E$16+1,1))</f>
        <v>211.14768428403215</v>
      </c>
      <c r="FK20" s="59">
        <f t="shared" si="48"/>
        <v>350.7800157534798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15.724799999999997</v>
      </c>
      <c r="D21" s="11">
        <f t="shared" si="32"/>
        <v>5.2584129176484726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161.9756786625496</v>
      </c>
      <c r="H21" s="66">
        <f t="shared" si="1"/>
        <v>329.87909583157108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11.8</v>
      </c>
      <c r="N21" s="13">
        <f>IF('Données projet'!$A$36&gt;35,N20+M21-V20,IF(A21&lt;'Données projet'!$A$36,$K$205^A21,IF(A21='Données projet'!$A$36,'Données projet'!$B$36,N20+M21-V20)))</f>
        <v>93.399999999999977</v>
      </c>
      <c r="O21" s="13">
        <f>N21*VLOOKUP('Données projet'!$B$9,Paramètres!$A$1:$I$89,3,0)*VLOOKUP('Données projet'!$B$9,Paramètres!$A$1:$I$89,5,0)</f>
        <v>81.594239999999999</v>
      </c>
      <c r="P21" s="13">
        <f t="shared" si="33"/>
        <v>22.526535320646335</v>
      </c>
      <c r="Q21" s="20">
        <f t="shared" si="2"/>
        <v>181.34368368345903</v>
      </c>
      <c r="R21" s="59">
        <f t="shared" si="0"/>
        <v>474.67701701679232</v>
      </c>
      <c r="S21" s="59">
        <f ca="1">AVERAGE(OFFSET($R$3,0,0,'Données projet'!$E$9+1,1))-AVERAGE(OFFSET($H$3,0,0,'Données projet'!$E$9+1,1))</f>
        <v>252.49539407921907</v>
      </c>
      <c r="T21" s="59">
        <f t="shared" si="34"/>
        <v>263.36387286233929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4.0628205133333335</v>
      </c>
      <c r="AI21" s="13">
        <f>IF('Données projet'!$A$62&gt;35,AI20+AH21-AQ20,IF(A21&lt;'Données projet'!$A$62,$AF$205^A21,IF(A21='Données projet'!$A$62,'Données projet'!$B$62,AI20+AH21-AQ20)))</f>
        <v>17.847168944133852</v>
      </c>
      <c r="AJ21" s="13">
        <f>AI21*VLOOKUP('Données projet'!$B$10,Paramètres!$A$1:$I$89,3,0)*VLOOKUP('Données projet'!$B$10,Paramètres!$A$1:$I$89,5,0)</f>
        <v>16.148118460652309</v>
      </c>
      <c r="AK21" s="13">
        <f t="shared" si="35"/>
        <v>5.3833002042349793</v>
      </c>
      <c r="AL21" s="20">
        <f t="shared" si="4"/>
        <v>37.500554174678697</v>
      </c>
      <c r="AM21" s="59">
        <f t="shared" si="5"/>
        <v>330.83388750801203</v>
      </c>
      <c r="AN21" s="59">
        <f ca="1">AVERAGE(OFFSET($AM$3,0,0,'Données projet'!$E$10+1,1))-AVERAGE(OFFSET($H$3,0,0,'Données projet'!$E$10+1,1))</f>
        <v>370.05613271587413</v>
      </c>
      <c r="AO21" s="59">
        <f t="shared" si="36"/>
        <v>183.24480056442525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4.0628205133333335</v>
      </c>
      <c r="BD21" s="12">
        <f>IF('Données projet'!$A$88&gt;35,BD20+BC21-BL20,IF(A21&lt;'Données projet'!$A$88,$BA$205^A21,IF(A21='Données projet'!$A$88,'Données projet'!$B$88,BD20+BC21-BL20)))</f>
        <v>17.847168944133852</v>
      </c>
      <c r="BE21" s="13">
        <f>BD21*VLOOKUP('Données projet'!$B$11,Paramètres!$A$1:$I$89,3,0)*VLOOKUP('Données projet'!$B$11,Paramètres!$A$1:$I$89,5,0)</f>
        <v>18.097029309351726</v>
      </c>
      <c r="BF21" s="13">
        <f t="shared" si="37"/>
        <v>5.953520674287506</v>
      </c>
      <c r="BG21" s="20">
        <f t="shared" si="7"/>
        <v>41.888041221504999</v>
      </c>
      <c r="BH21" s="59">
        <f t="shared" si="8"/>
        <v>335.22137455483829</v>
      </c>
      <c r="BI21" s="59">
        <f ca="1">AVERAGE(OFFSET($BH$3,0,0,'Données projet'!$E$11+1,1))-AVERAGE(OFFSET($H$3,0,0,'Données projet'!$E$11+1,1))</f>
        <v>428.72181435671394</v>
      </c>
      <c r="BJ21" s="59">
        <f t="shared" si="38"/>
        <v>211.84936043087572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16</v>
      </c>
      <c r="BY21" s="12">
        <f>IF('Données projet'!$A$114&gt;35,BY20+BX21-CG20,IF(A21&lt;'Données projet'!$A$114,$BV$205^A21,IF(A21='Données projet'!$A$114,'Données projet'!$B$114,BY20+BX21-CG20)))</f>
        <v>91</v>
      </c>
      <c r="BZ21" s="13">
        <f>BY21*VLOOKUP('Données projet'!$B$12,Paramètres!$A$1:$I$89,3,0)*VLOOKUP('Données projet'!$B$12,Paramètres!$A$1:$I$89,5,0)</f>
        <v>72.399600000000007</v>
      </c>
      <c r="CA21" s="13">
        <f t="shared" si="39"/>
        <v>20.268188832715463</v>
      </c>
      <c r="CB21" s="20">
        <f t="shared" si="10"/>
        <v>161.39639888364613</v>
      </c>
      <c r="CC21" s="59">
        <f t="shared" si="11"/>
        <v>454.72973221697941</v>
      </c>
      <c r="CD21" s="59">
        <f ca="1">AVERAGE(OFFSET($CC$3,0,0,'Données projet'!$E$12+1,1))-AVERAGE(OFFSET($H$3,0,0,'Données projet'!$E$12+1,1))</f>
        <v>296.737543892524</v>
      </c>
      <c r="CE21" s="59">
        <f t="shared" si="40"/>
        <v>296.38358650317099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2.8</v>
      </c>
      <c r="CT21" s="12">
        <f>IF('Données projet'!$A$140&gt;35,CT20+CS21-DB20,IF(A21&lt;'Données projet'!$A$140,$CQ$205^A21,IF(A21='Données projet'!$A$140,'Données projet'!$B$140,CT20+CS21-DB20)))</f>
        <v>37.442878125375486</v>
      </c>
      <c r="CU21" s="17">
        <f>CT21*VLOOKUP('Données projet'!$B$13,Paramètres!$A$1:$I$89,3,0)*VLOOKUP('Données projet'!$B$13,Paramètres!$A$1:$I$89,5,0)</f>
        <v>32.125989431572172</v>
      </c>
      <c r="CV21" s="13">
        <f t="shared" si="41"/>
        <v>9.8857694755459775</v>
      </c>
      <c r="CW21" s="20">
        <f t="shared" si="13"/>
        <v>73.170480096564106</v>
      </c>
      <c r="CX21" s="59">
        <f t="shared" si="14"/>
        <v>366.50381342989743</v>
      </c>
      <c r="CY21" s="59">
        <f ca="1">AVERAGE(OFFSET($CX$3,0,0,'Données projet'!$E$13+1,1))-AVERAGE(OFFSET($H$3,0,0,'Données projet'!$E$13+1,1))</f>
        <v>391.93999504334352</v>
      </c>
      <c r="CZ21" s="59">
        <f t="shared" si="42"/>
        <v>215.4484906985528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16</v>
      </c>
      <c r="DO21" s="12">
        <f>IF('Données projet'!$A$166&gt;35,DO20+DN21-DW20,IF(A21&lt;'Données projet'!$A$166,$DL$205^A21,IF(A21='Données projet'!$A$166,'Données projet'!$B$166,DO20+DN21-DW20)))</f>
        <v>91</v>
      </c>
      <c r="DP21" s="17">
        <f>DO21*VLOOKUP('Données projet'!$B$14,Paramètres!$A$1:$I$89,3,0)*VLOOKUP('Données projet'!$B$14,Paramètres!$A$1:$I$89,5,0)</f>
        <v>66.721199999999996</v>
      </c>
      <c r="DQ21" s="13">
        <f t="shared" si="43"/>
        <v>18.856956599005905</v>
      </c>
      <c r="DR21" s="20">
        <f t="shared" si="16"/>
        <v>149.0486227432686</v>
      </c>
      <c r="DS21" s="59">
        <f t="shared" si="17"/>
        <v>442.38195607660191</v>
      </c>
      <c r="DT21" s="59">
        <f ca="1">AVERAGE(OFFSET($DS$3,0,0,'Données projet'!$E$14+1,1))-AVERAGE(OFFSET($H$3,0,0,'Données projet'!$E$14+1,1))</f>
        <v>267.92147257573157</v>
      </c>
      <c r="DU21" s="59">
        <f t="shared" si="44"/>
        <v>269.06662611892438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>
        <f>VLOOKUP(A21,'Données projet'!$A$191:$I$211,2,0)</f>
        <v>202.42</v>
      </c>
      <c r="EH21" s="12">
        <f>VLOOKUP(A21,'Données projet'!$A$191:$I$211,9,0)</f>
        <v>29.539999999999992</v>
      </c>
      <c r="EI21" s="12">
        <f t="array" ref="EI21">INDEX(EH:EH,MIN(IF(ISNUMBER(EH21:EH217),ROW(EH21:EH217),"")))</f>
        <v>29.539999999999992</v>
      </c>
      <c r="EJ21" s="12">
        <f>IF('Données projet'!$A$192&gt;35,EJ20+EI21-ER20,IF(A21&lt;'Données projet'!$A$192,$EG$205^A21,IF(A21='Données projet'!$A$192,'Données projet'!$B$192,EJ20+EI21-ER20)))</f>
        <v>202.42</v>
      </c>
      <c r="EK21" s="17">
        <f>EJ21*VLOOKUP('Données projet'!$B$15,Paramètres!$A$1:$I$89,3,0)*VLOOKUP('Données projet'!$B$15,Paramètres!$A$1:$I$89,5,0)</f>
        <v>113.15278000000001</v>
      </c>
      <c r="EL21" s="13">
        <f t="shared" si="45"/>
        <v>30.072578047950454</v>
      </c>
      <c r="EM21" s="20">
        <f t="shared" si="19"/>
        <v>249.45083193351374</v>
      </c>
      <c r="EN21" s="59">
        <f t="shared" si="20"/>
        <v>542.78416526684703</v>
      </c>
      <c r="EO21" s="59">
        <f ca="1">AVERAGE(OFFSET($EN$3,0,0,'Données projet'!$E$15+1,1))-AVERAGE(OFFSET($H$3,0,0,'Données projet'!$E$15+1,1))</f>
        <v>326.29985515186428</v>
      </c>
      <c r="EP21" s="59">
        <f t="shared" si="46"/>
        <v>437.68177084535927</v>
      </c>
      <c r="EQ21" s="15">
        <f>IF(ISNA(VLOOKUP(A21,'Données projet'!$A$191:$I$211,3,0)),0,VLOOKUP(A21,'Données projet'!$A$191:$I$211,3,0))</f>
        <v>1</v>
      </c>
      <c r="ER21" s="15">
        <f>IF(ISNA(VLOOKUP(A21,'Données projet'!$A$191:$I$211,4,0)),0,VLOOKUP(A21,'Données projet'!$A$191:$I$211,4,0))</f>
        <v>74.819999999999993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1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47.354913860019963</v>
      </c>
      <c r="EY21" s="22">
        <f t="shared" si="21"/>
        <v>47.354913860019963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1.2820512800000075</v>
      </c>
      <c r="FE21" s="12">
        <f>IF('Données projet'!$A$218&gt;35,FE20+FD21-FM20,IF(A21&lt;'Données projet'!$A$218,$FB$205^A21,IF(A21='Données projet'!$A$218,'Données projet'!$B$218,FE20+FD21-FM20)))</f>
        <v>302.56410252000012</v>
      </c>
      <c r="FF21" s="17">
        <f>FE21*VLOOKUP('Données projet'!$B$16,Paramètres!$A$1:$I$89,3,0)*VLOOKUP('Données projet'!$B$16,Paramètres!$A$1:$I$89,5,0)</f>
        <v>173.22399997475048</v>
      </c>
      <c r="FG21" s="13">
        <f t="shared" si="47"/>
        <v>43.811300919640566</v>
      </c>
      <c r="FH21" s="20">
        <f t="shared" si="22"/>
        <v>378.00314905773104</v>
      </c>
      <c r="FI21" s="59">
        <f t="shared" si="23"/>
        <v>671.33648239106435</v>
      </c>
      <c r="FJ21" s="59">
        <f ca="1">AVERAGE(OFFSET($FI$3,0,0,'Données projet'!$E$16+1,1))-AVERAGE(OFFSET($H$3,0,0,'Données projet'!$E$16+1,1))</f>
        <v>211.14768428403215</v>
      </c>
      <c r="FK21" s="59">
        <f t="shared" si="48"/>
        <v>350.7800157534798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16.598399999999998</v>
      </c>
      <c r="D22" s="11">
        <f t="shared" si="32"/>
        <v>5.5157247105992537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170.70552408181879</v>
      </c>
      <c r="H22" s="66">
        <f t="shared" si="1"/>
        <v>331.84876720429367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11.8</v>
      </c>
      <c r="N22" s="13">
        <f>IF('Données projet'!$A$36&gt;35,N21+M22-V21,IF(A22&lt;'Données projet'!$A$36,$K$205^A22,IF(A22='Données projet'!$A$36,'Données projet'!$B$36,N21+M22-V21)))</f>
        <v>105.19999999999997</v>
      </c>
      <c r="O22" s="13">
        <f>N22*VLOOKUP('Données projet'!$B$9,Paramètres!$A$1:$I$89,3,0)*VLOOKUP('Données projet'!$B$9,Paramètres!$A$1:$I$89,5,0)</f>
        <v>91.902719999999988</v>
      </c>
      <c r="P22" s="13">
        <f t="shared" si="33"/>
        <v>25.023555003327861</v>
      </c>
      <c r="Q22" s="20">
        <f t="shared" si="2"/>
        <v>203.64659563079599</v>
      </c>
      <c r="R22" s="59">
        <f t="shared" si="0"/>
        <v>496.97992896412927</v>
      </c>
      <c r="S22" s="59">
        <f ca="1">AVERAGE(OFFSET($R$3,0,0,'Données projet'!$E$9+1,1))-AVERAGE(OFFSET($H$3,0,0,'Données projet'!$E$9+1,1))</f>
        <v>252.49539407921907</v>
      </c>
      <c r="T22" s="59">
        <f t="shared" si="34"/>
        <v>263.36387286233929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4.0628205133333335</v>
      </c>
      <c r="AI22" s="13">
        <f>IF('Données projet'!$A$62&gt;35,AI21+AH22-AQ21,IF(A22&lt;'Données projet'!$A$62,$AF$205^A22,IF(A22='Données projet'!$A$62,'Données projet'!$B$62,AI21+AH22-AQ21)))</f>
        <v>20.945993502264844</v>
      </c>
      <c r="AJ22" s="13">
        <f>AI22*VLOOKUP('Données projet'!$B$10,Paramètres!$A$1:$I$89,3,0)*VLOOKUP('Données projet'!$B$10,Paramètres!$A$1:$I$89,5,0)</f>
        <v>18.951934920849229</v>
      </c>
      <c r="AK22" s="13">
        <f t="shared" si="35"/>
        <v>6.2013571962778977</v>
      </c>
      <c r="AL22" s="20">
        <f t="shared" si="4"/>
        <v>43.808650437329739</v>
      </c>
      <c r="AM22" s="59">
        <f t="shared" si="5"/>
        <v>337.14198377066305</v>
      </c>
      <c r="AN22" s="59">
        <f ca="1">AVERAGE(OFFSET($AM$3,0,0,'Données projet'!$E$10+1,1))-AVERAGE(OFFSET($H$3,0,0,'Données projet'!$E$10+1,1))</f>
        <v>370.05613271587413</v>
      </c>
      <c r="AO22" s="59">
        <f t="shared" si="36"/>
        <v>183.24480056442525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4.0628205133333335</v>
      </c>
      <c r="BD22" s="12">
        <f>IF('Données projet'!$A$88&gt;35,BD21+BC22-BL21,IF(A22&lt;'Données projet'!$A$88,$BA$205^A22,IF(A22='Données projet'!$A$88,'Données projet'!$B$88,BD21+BC22-BL21)))</f>
        <v>20.945993502264844</v>
      </c>
      <c r="BE22" s="13">
        <f>BD22*VLOOKUP('Données projet'!$B$11,Paramètres!$A$1:$I$89,3,0)*VLOOKUP('Données projet'!$B$11,Paramètres!$A$1:$I$89,5,0)</f>
        <v>21.239237411296553</v>
      </c>
      <c r="BF22" s="13">
        <f t="shared" si="37"/>
        <v>6.8582295016052841</v>
      </c>
      <c r="BG22" s="20">
        <f t="shared" si="7"/>
        <v>48.936421539970695</v>
      </c>
      <c r="BH22" s="59">
        <f t="shared" si="8"/>
        <v>342.26975487330401</v>
      </c>
      <c r="BI22" s="59">
        <f ca="1">AVERAGE(OFFSET($BH$3,0,0,'Données projet'!$E$11+1,1))-AVERAGE(OFFSET($H$3,0,0,'Données projet'!$E$11+1,1))</f>
        <v>428.72181435671394</v>
      </c>
      <c r="BJ22" s="59">
        <f t="shared" si="38"/>
        <v>211.84936043087572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16</v>
      </c>
      <c r="BY22" s="12">
        <f>IF('Données projet'!$A$114&gt;35,BY21+BX22-CG21,IF(A22&lt;'Données projet'!$A$114,$BV$205^A22,IF(A22='Données projet'!$A$114,'Données projet'!$B$114,BY21+BX22-CG21)))</f>
        <v>107</v>
      </c>
      <c r="BZ22" s="13">
        <f>BY22*VLOOKUP('Données projet'!$B$12,Paramètres!$A$1:$I$89,3,0)*VLOOKUP('Données projet'!$B$12,Paramètres!$A$1:$I$89,5,0)</f>
        <v>85.129199999999997</v>
      </c>
      <c r="CA22" s="13">
        <f t="shared" si="39"/>
        <v>23.386728480923388</v>
      </c>
      <c r="CB22" s="20">
        <f t="shared" si="10"/>
        <v>188.99857543760822</v>
      </c>
      <c r="CC22" s="59">
        <f t="shared" si="11"/>
        <v>482.33190877094154</v>
      </c>
      <c r="CD22" s="59">
        <f ca="1">AVERAGE(OFFSET($CC$3,0,0,'Données projet'!$E$12+1,1))-AVERAGE(OFFSET($H$3,0,0,'Données projet'!$E$12+1,1))</f>
        <v>296.737543892524</v>
      </c>
      <c r="CE22" s="59">
        <f t="shared" si="40"/>
        <v>296.38358650317099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2.8</v>
      </c>
      <c r="CT22" s="12">
        <f>IF('Données projet'!$A$140&gt;35,CT21+CS22-DB21,IF(A22&lt;'Données projet'!$A$140,$CQ$205^A22,IF(A22='Données projet'!$A$140,'Données projet'!$B$140,CT21+CS22-DB21)))</f>
        <v>45.79084160638493</v>
      </c>
      <c r="CU22" s="17">
        <f>CT22*VLOOKUP('Données projet'!$B$13,Paramètres!$A$1:$I$89,3,0)*VLOOKUP('Données projet'!$B$13,Paramètres!$A$1:$I$89,5,0)</f>
        <v>39.28854209827827</v>
      </c>
      <c r="CV22" s="13">
        <f t="shared" si="41"/>
        <v>11.809878402817876</v>
      </c>
      <c r="CW22" s="20">
        <f t="shared" si="13"/>
        <v>88.99641570607578</v>
      </c>
      <c r="CX22" s="59">
        <f t="shared" si="14"/>
        <v>382.32974903940908</v>
      </c>
      <c r="CY22" s="59">
        <f ca="1">AVERAGE(OFFSET($CX$3,0,0,'Données projet'!$E$13+1,1))-AVERAGE(OFFSET($H$3,0,0,'Données projet'!$E$13+1,1))</f>
        <v>391.93999504334352</v>
      </c>
      <c r="CZ22" s="59">
        <f t="shared" si="42"/>
        <v>215.4484906985528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16</v>
      </c>
      <c r="DO22" s="12">
        <f>IF('Données projet'!$A$166&gt;35,DO21+DN22-DW21,IF(A22&lt;'Données projet'!$A$166,$DL$205^A22,IF(A22='Données projet'!$A$166,'Données projet'!$B$166,DO21+DN22-DW21)))</f>
        <v>107</v>
      </c>
      <c r="DP22" s="17">
        <f>DO22*VLOOKUP('Données projet'!$B$14,Paramètres!$A$1:$I$89,3,0)*VLOOKUP('Données projet'!$B$14,Paramètres!$A$1:$I$89,5,0)</f>
        <v>78.452399999999997</v>
      </c>
      <c r="DQ22" s="13">
        <f t="shared" si="43"/>
        <v>21.75835875604599</v>
      </c>
      <c r="DR22" s="20">
        <f t="shared" si="16"/>
        <v>174.53373816678013</v>
      </c>
      <c r="DS22" s="59">
        <f t="shared" si="17"/>
        <v>467.86707150011341</v>
      </c>
      <c r="DT22" s="59">
        <f ca="1">AVERAGE(OFFSET($DS$3,0,0,'Données projet'!$E$14+1,1))-AVERAGE(OFFSET($H$3,0,0,'Données projet'!$E$14+1,1))</f>
        <v>267.92147257573157</v>
      </c>
      <c r="DU22" s="59">
        <f t="shared" si="44"/>
        <v>269.06662611892438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26.926666666666673</v>
      </c>
      <c r="EJ22" s="12">
        <f>IF('Données projet'!$A$192&gt;35,EJ21+EI22-ER21,IF(A22&lt;'Données projet'!$A$192,$EG$205^A22,IF(A22='Données projet'!$A$192,'Données projet'!$B$192,EJ21+EI22-ER21)))</f>
        <v>154.52666666666667</v>
      </c>
      <c r="EK22" s="17">
        <f>EJ22*VLOOKUP('Données projet'!$B$15,Paramètres!$A$1:$I$89,3,0)*VLOOKUP('Données projet'!$B$15,Paramètres!$A$1:$I$89,5,0)</f>
        <v>86.380406666666673</v>
      </c>
      <c r="EL22" s="13">
        <f t="shared" si="45"/>
        <v>23.690191684477199</v>
      </c>
      <c r="EM22" s="20">
        <f t="shared" si="19"/>
        <v>191.70629212824224</v>
      </c>
      <c r="EN22" s="59">
        <f t="shared" si="20"/>
        <v>485.03962546157555</v>
      </c>
      <c r="EO22" s="59">
        <f ca="1">AVERAGE(OFFSET($EN$3,0,0,'Données projet'!$E$15+1,1))-AVERAGE(OFFSET($H$3,0,0,'Données projet'!$E$15+1,1))</f>
        <v>326.29985515186428</v>
      </c>
      <c r="EP22" s="59">
        <f t="shared" si="46"/>
        <v>437.68177084535927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33.484980712924944</v>
      </c>
      <c r="EY22" s="22">
        <f t="shared" si="21"/>
        <v>33.484980712924944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>
        <f>VLOOKUP(A22,'Données projet'!$A$217:$I$237,2,0)</f>
        <v>303.84615380000002</v>
      </c>
      <c r="FC22" s="12">
        <f>VLOOKUP(A22,'Données projet'!$A$217:$I$237,9,0)</f>
        <v>1.2820512800000075</v>
      </c>
      <c r="FD22" s="12">
        <f t="array" ref="FD22">INDEX(FC:FC,MIN(IF(ISNUMBER(FC22:FC218),ROW(FC22:FC218),"")))</f>
        <v>1.2820512800000075</v>
      </c>
      <c r="FE22" s="12">
        <f>IF('Données projet'!$A$218&gt;35,FE21+FD22-FM21,IF(A22&lt;'Données projet'!$A$218,$FB$205^A22,IF(A22='Données projet'!$A$218,'Données projet'!$B$218,FE21+FD22-FM21)))</f>
        <v>303.84615380000014</v>
      </c>
      <c r="FF22" s="17">
        <f>FE22*VLOOKUP('Données projet'!$B$16,Paramètres!$A$1:$I$89,3,0)*VLOOKUP('Données projet'!$B$16,Paramètres!$A$1:$I$89,5,0)</f>
        <v>173.95799997357608</v>
      </c>
      <c r="FG22" s="13">
        <f t="shared" si="47"/>
        <v>43.975293011868715</v>
      </c>
      <c r="FH22" s="20">
        <f t="shared" si="22"/>
        <v>379.5671519496496</v>
      </c>
      <c r="FI22" s="59">
        <f t="shared" si="23"/>
        <v>672.90048528298291</v>
      </c>
      <c r="FJ22" s="59">
        <f ca="1">AVERAGE(OFFSET($FI$3,0,0,'Données projet'!$E$16+1,1))-AVERAGE(OFFSET($H$3,0,0,'Données projet'!$E$16+1,1))</f>
        <v>211.14768428403215</v>
      </c>
      <c r="FK22" s="59">
        <f t="shared" si="48"/>
        <v>350.7800157534798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17.471999999999998</v>
      </c>
      <c r="D23" s="11">
        <f t="shared" si="32"/>
        <v>5.7714641827626956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179.42323228799273</v>
      </c>
      <c r="H23" s="66">
        <f t="shared" si="1"/>
        <v>333.81570011831167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117</v>
      </c>
      <c r="L23" s="12">
        <f>VLOOKUP(A23,'Données projet'!$A$35:$I$55,9,0)</f>
        <v>11.8</v>
      </c>
      <c r="M23" s="12">
        <f t="array" ref="M23">INDEX(L:L,MIN(IF(ISNUMBER(L23:L219),ROW(L23:L219),"")))</f>
        <v>11.8</v>
      </c>
      <c r="N23" s="13">
        <f>IF('Données projet'!$A$36&gt;35,N22+M23-V22,IF(A23&lt;'Données projet'!$A$36,$K$205^A23,IF(A23='Données projet'!$A$36,'Données projet'!$B$36,N22+M23-V22)))</f>
        <v>116.99999999999997</v>
      </c>
      <c r="O23" s="13">
        <f>N23*VLOOKUP('Données projet'!$B$9,Paramètres!$A$1:$I$89,3,0)*VLOOKUP('Données projet'!$B$9,Paramètres!$A$1:$I$89,5,0)</f>
        <v>102.21119999999999</v>
      </c>
      <c r="P23" s="13">
        <f t="shared" si="33"/>
        <v>27.488113037666018</v>
      </c>
      <c r="Q23" s="20">
        <f t="shared" si="2"/>
        <v>225.89297020726829</v>
      </c>
      <c r="R23" s="59">
        <f t="shared" si="0"/>
        <v>519.22630354060163</v>
      </c>
      <c r="S23" s="59">
        <f ca="1">AVERAGE(OFFSET($R$3,0,0,'Données projet'!$E$9+1,1))-AVERAGE(OFFSET($H$3,0,0,'Données projet'!$E$9+1,1))</f>
        <v>252.49539407921907</v>
      </c>
      <c r="T23" s="59">
        <f t="shared" si="34"/>
        <v>263.36387286233929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29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4.0628205133333335</v>
      </c>
      <c r="AI23" s="13">
        <f>IF('Données projet'!$A$62&gt;35,AI22+AH23-AQ22,IF(A23&lt;'Données projet'!$A$62,$AF$205^A23,IF(A23='Données projet'!$A$62,'Données projet'!$B$62,AI22+AH23-AQ22)))</f>
        <v>24.582870547719438</v>
      </c>
      <c r="AJ23" s="13">
        <f>AI23*VLOOKUP('Données projet'!$B$10,Paramètres!$A$1:$I$89,3,0)*VLOOKUP('Données projet'!$B$10,Paramètres!$A$1:$I$89,5,0)</f>
        <v>22.242581271576544</v>
      </c>
      <c r="AK23" s="13">
        <f t="shared" si="35"/>
        <v>7.1437277537623007</v>
      </c>
      <c r="AL23" s="20">
        <f t="shared" si="4"/>
        <v>51.181154885798492</v>
      </c>
      <c r="AM23" s="59">
        <f t="shared" si="5"/>
        <v>344.51448821913181</v>
      </c>
      <c r="AN23" s="59">
        <f ca="1">AVERAGE(OFFSET($AM$3,0,0,'Données projet'!$E$10+1,1))-AVERAGE(OFFSET($H$3,0,0,'Données projet'!$E$10+1,1))</f>
        <v>370.05613271587413</v>
      </c>
      <c r="AO23" s="59">
        <f t="shared" si="36"/>
        <v>183.24480056442525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4.0628205133333335</v>
      </c>
      <c r="BD23" s="12">
        <f>IF('Données projet'!$A$88&gt;35,BD22+BC23-BL22,IF(A23&lt;'Données projet'!$A$88,$BA$205^A23,IF(A23='Données projet'!$A$88,'Données projet'!$B$88,BD22+BC23-BL22)))</f>
        <v>24.582870547719438</v>
      </c>
      <c r="BE23" s="13">
        <f>BD23*VLOOKUP('Données projet'!$B$11,Paramètres!$A$1:$I$89,3,0)*VLOOKUP('Données projet'!$B$11,Paramètres!$A$1:$I$89,5,0)</f>
        <v>24.927030735387511</v>
      </c>
      <c r="BF23" s="13">
        <f t="shared" si="37"/>
        <v>7.9004196793719998</v>
      </c>
      <c r="BG23" s="20">
        <f t="shared" si="7"/>
        <v>57.174476139039477</v>
      </c>
      <c r="BH23" s="59">
        <f t="shared" si="8"/>
        <v>350.5078094723728</v>
      </c>
      <c r="BI23" s="59">
        <f ca="1">AVERAGE(OFFSET($BH$3,0,0,'Données projet'!$E$11+1,1))-AVERAGE(OFFSET($H$3,0,0,'Données projet'!$E$11+1,1))</f>
        <v>428.72181435671394</v>
      </c>
      <c r="BJ23" s="59">
        <f t="shared" si="38"/>
        <v>211.84936043087572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123</v>
      </c>
      <c r="BW23" s="12">
        <f>VLOOKUP(A23,'Données projet'!$A$113:$I$133,9,0)</f>
        <v>16</v>
      </c>
      <c r="BX23" s="12">
        <f t="array" ref="BX23">INDEX(BW:BW,MIN(IF(ISNUMBER(BW23:BW219),ROW(BW23:BW219),"")))</f>
        <v>16</v>
      </c>
      <c r="BY23" s="12">
        <f>IF('Données projet'!$A$114&gt;35,BY22+BX23-CG22,IF(A23&lt;'Données projet'!$A$114,$BV$205^A23,IF(A23='Données projet'!$A$114,'Données projet'!$B$114,BY22+BX23-CG22)))</f>
        <v>123</v>
      </c>
      <c r="BZ23" s="13">
        <f>BY23*VLOOKUP('Données projet'!$B$12,Paramètres!$A$1:$I$89,3,0)*VLOOKUP('Données projet'!$B$12,Paramètres!$A$1:$I$89,5,0)</f>
        <v>97.858800000000016</v>
      </c>
      <c r="CA23" s="13">
        <f t="shared" si="39"/>
        <v>26.45124536158788</v>
      </c>
      <c r="CB23" s="20">
        <f t="shared" si="10"/>
        <v>216.50666233809889</v>
      </c>
      <c r="CC23" s="59">
        <f t="shared" si="11"/>
        <v>509.83999567143223</v>
      </c>
      <c r="CD23" s="59">
        <f ca="1">AVERAGE(OFFSET($CC$3,0,0,'Données projet'!$E$12+1,1))-AVERAGE(OFFSET($H$3,0,0,'Données projet'!$E$12+1,1))</f>
        <v>296.737543892524</v>
      </c>
      <c r="CE23" s="59">
        <f t="shared" si="40"/>
        <v>296.38358650317099</v>
      </c>
      <c r="CF23" s="15">
        <f>IF(ISNA(VLOOKUP(A23,'Données projet'!$A$113:$I$133,3,0)),0,VLOOKUP(A23,'Données projet'!$A$113:$I$133,3,0))</f>
        <v>3</v>
      </c>
      <c r="CG23" s="15">
        <f>IF(ISNA(VLOOKUP(A23,'Données projet'!$A$113:$I$133,4,0)),0,VLOOKUP(A23,'Données projet'!$A$113:$I$133,4,0))</f>
        <v>42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56</v>
      </c>
      <c r="CR23" s="12">
        <f>VLOOKUP(A23,'Données projet'!$A$139:$I$159,9,0)</f>
        <v>2.8</v>
      </c>
      <c r="CS23" s="12">
        <f t="array" ref="CS23">INDEX(CR:CR,MIN(IF(ISNUMBER(CR23:CR219),ROW(CR23:CR219),"")))</f>
        <v>2.8</v>
      </c>
      <c r="CT23" s="12">
        <f>IF('Données projet'!$A$140&gt;35,CT22+CS23-DB22,IF(A23&lt;'Données projet'!$A$140,$CQ$205^A23,IF(A23='Données projet'!$A$140,'Données projet'!$B$140,CT22+CS23-DB22)))</f>
        <v>56</v>
      </c>
      <c r="CU23" s="17">
        <f>CT23*VLOOKUP('Données projet'!$B$13,Paramètres!$A$1:$I$89,3,0)*VLOOKUP('Données projet'!$B$13,Paramètres!$A$1:$I$89,5,0)</f>
        <v>48.048000000000009</v>
      </c>
      <c r="CV23" s="13">
        <f t="shared" si="41"/>
        <v>14.108484750160622</v>
      </c>
      <c r="CW23" s="20">
        <f t="shared" si="13"/>
        <v>108.25587760652975</v>
      </c>
      <c r="CX23" s="59">
        <f t="shared" si="14"/>
        <v>401.58921093986305</v>
      </c>
      <c r="CY23" s="59">
        <f ca="1">AVERAGE(OFFSET($CX$3,0,0,'Données projet'!$E$13+1,1))-AVERAGE(OFFSET($H$3,0,0,'Données projet'!$E$13+1,1))</f>
        <v>391.93999504334352</v>
      </c>
      <c r="CZ23" s="59">
        <f t="shared" si="42"/>
        <v>215.4484906985528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123</v>
      </c>
      <c r="DM23" s="12">
        <f>VLOOKUP(A23,'Données projet'!$A$165:$I$185,9,0)</f>
        <v>16</v>
      </c>
      <c r="DN23" s="12">
        <f t="array" ref="DN23">INDEX(DM:DM,MIN(IF(ISNUMBER(DM23:DM219),ROW(DM23:DM219),"")))</f>
        <v>16</v>
      </c>
      <c r="DO23" s="12">
        <f>IF('Données projet'!$A$166&gt;35,DO22+DN23-DW22,IF(A23&lt;'Données projet'!$A$166,$DL$205^A23,IF(A23='Données projet'!$A$166,'Données projet'!$B$166,DO22+DN23-DW22)))</f>
        <v>123</v>
      </c>
      <c r="DP23" s="17">
        <f>DO23*VLOOKUP('Données projet'!$B$14,Paramètres!$A$1:$I$89,3,0)*VLOOKUP('Données projet'!$B$14,Paramètres!$A$1:$I$89,5,0)</f>
        <v>90.183599999999998</v>
      </c>
      <c r="DQ23" s="13">
        <f t="shared" si="43"/>
        <v>24.609499639553789</v>
      </c>
      <c r="DR23" s="20">
        <f t="shared" si="16"/>
        <v>199.93131520555619</v>
      </c>
      <c r="DS23" s="59">
        <f t="shared" si="17"/>
        <v>493.2646485388895</v>
      </c>
      <c r="DT23" s="59">
        <f ca="1">AVERAGE(OFFSET($DS$3,0,0,'Données projet'!$E$14+1,1))-AVERAGE(OFFSET($H$3,0,0,'Données projet'!$E$14+1,1))</f>
        <v>267.92147257573157</v>
      </c>
      <c r="DU23" s="59">
        <f t="shared" si="44"/>
        <v>269.06662611892438</v>
      </c>
      <c r="DV23" s="15">
        <f>IF(ISNA(VLOOKUP(A23,'Données projet'!$A$165:$I$185,3,0)),0,VLOOKUP(A23,'Données projet'!$A$165:$I$185,3,0))</f>
        <v>3</v>
      </c>
      <c r="DW23" s="15">
        <f>IF(ISNA(VLOOKUP(A23,'Données projet'!$A$165:$I$185,4,0)),0,VLOOKUP(A23,'Données projet'!$A$165:$I$185,4,0))</f>
        <v>42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26.926666666666673</v>
      </c>
      <c r="EJ23" s="12">
        <f>IF('Données projet'!$A$192&gt;35,EJ22+EI23-ER22,IF(A23&lt;'Données projet'!$A$192,$EG$205^A23,IF(A23='Données projet'!$A$192,'Données projet'!$B$192,EJ22+EI23-ER22)))</f>
        <v>181.45333333333335</v>
      </c>
      <c r="EK23" s="17">
        <f>EJ23*VLOOKUP('Données projet'!$B$15,Paramètres!$A$1:$I$89,3,0)*VLOOKUP('Données projet'!$B$15,Paramètres!$A$1:$I$89,5,0)</f>
        <v>101.43241333333334</v>
      </c>
      <c r="EL23" s="13">
        <f t="shared" si="45"/>
        <v>27.302967287299122</v>
      </c>
      <c r="EM23" s="20">
        <f t="shared" si="19"/>
        <v>224.21412124760153</v>
      </c>
      <c r="EN23" s="59">
        <f t="shared" si="20"/>
        <v>517.54745458093487</v>
      </c>
      <c r="EO23" s="59">
        <f ca="1">AVERAGE(OFFSET($EN$3,0,0,'Données projet'!$E$15+1,1))-AVERAGE(OFFSET($H$3,0,0,'Données projet'!$E$15+1,1))</f>
        <v>326.29985515186428</v>
      </c>
      <c r="EP23" s="59">
        <f t="shared" si="46"/>
        <v>437.68177084535927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23.677456930009985</v>
      </c>
      <c r="EY23" s="22">
        <f t="shared" si="21"/>
        <v>23.677456930009985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3.2051282199999944</v>
      </c>
      <c r="FE23" s="12">
        <f>IF('Données projet'!$A$218&gt;35,FE22+FD23-FM22,IF(A23&lt;'Données projet'!$A$218,$FB$205^A23,IF(A23='Données projet'!$A$218,'Données projet'!$B$218,FE22+FD23-FM22)))</f>
        <v>307.05128202000014</v>
      </c>
      <c r="FF23" s="17">
        <f>FE23*VLOOKUP('Données projet'!$B$16,Paramètres!$A$1:$I$89,3,0)*VLOOKUP('Données projet'!$B$16,Paramètres!$A$1:$I$89,5,0)</f>
        <v>175.79299998209049</v>
      </c>
      <c r="FG23" s="13">
        <f t="shared" si="47"/>
        <v>44.384921780134185</v>
      </c>
      <c r="FH23" s="20">
        <f t="shared" si="22"/>
        <v>383.47654706920798</v>
      </c>
      <c r="FI23" s="59">
        <f t="shared" si="23"/>
        <v>676.80988040254124</v>
      </c>
      <c r="FJ23" s="59">
        <f ca="1">AVERAGE(OFFSET($FI$3,0,0,'Données projet'!$E$16+1,1))-AVERAGE(OFFSET($H$3,0,0,'Données projet'!$E$16+1,1))</f>
        <v>211.14768428403215</v>
      </c>
      <c r="FK23" s="59">
        <f t="shared" si="48"/>
        <v>350.7800157534798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18.345599999999997</v>
      </c>
      <c r="D24" s="11">
        <f t="shared" si="32"/>
        <v>6.0257189209257707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188.12947938960238</v>
      </c>
      <c r="H24" s="66">
        <f t="shared" si="1"/>
        <v>335.78004712061238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11.4</v>
      </c>
      <c r="N24" s="13">
        <f>IF('Données projet'!$A$36&gt;35,N23+M24-V23,IF(A24&lt;'Données projet'!$A$36,$K$205^A24,IF(A24='Données projet'!$A$36,'Données projet'!$B$36,N23+M24-V23)))</f>
        <v>99.399999999999977</v>
      </c>
      <c r="O24" s="13">
        <f>N24*VLOOKUP('Données projet'!$B$9,Paramètres!$A$1:$I$89,3,0)*VLOOKUP('Données projet'!$B$9,Paramètres!$A$1:$I$89,5,0)</f>
        <v>86.83583999999999</v>
      </c>
      <c r="P24" s="13">
        <f t="shared" si="33"/>
        <v>23.800523515695954</v>
      </c>
      <c r="Q24" s="20">
        <f t="shared" si="2"/>
        <v>192.69166645650375</v>
      </c>
      <c r="R24" s="59">
        <f t="shared" si="0"/>
        <v>486.02499978983707</v>
      </c>
      <c r="S24" s="59">
        <f ca="1">AVERAGE(OFFSET($R$3,0,0,'Données projet'!$E$9+1,1))-AVERAGE(OFFSET($H$3,0,0,'Données projet'!$E$9+1,1))</f>
        <v>252.49539407921907</v>
      </c>
      <c r="T24" s="59">
        <f t="shared" si="34"/>
        <v>263.36387286233929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4.0628205133333335</v>
      </c>
      <c r="AI24" s="13">
        <f>IF('Données projet'!$A$62&gt;35,AI23+AH24-AQ23,IF(A24&lt;'Données projet'!$A$62,$AF$205^A24,IF(A24='Données projet'!$A$62,'Données projet'!$B$62,AI23+AH24-AQ23)))</f>
        <v>28.851222755348811</v>
      </c>
      <c r="AJ24" s="13">
        <f>AI24*VLOOKUP('Données projet'!$B$10,Paramètres!$A$1:$I$89,3,0)*VLOOKUP('Données projet'!$B$10,Paramètres!$A$1:$I$89,5,0)</f>
        <v>26.104586349039607</v>
      </c>
      <c r="AK24" s="13">
        <f t="shared" si="35"/>
        <v>8.2293028130203645</v>
      </c>
      <c r="AL24" s="20">
        <f t="shared" si="4"/>
        <v>59.79819029058779</v>
      </c>
      <c r="AM24" s="59">
        <f t="shared" si="5"/>
        <v>353.13152362392111</v>
      </c>
      <c r="AN24" s="59">
        <f ca="1">AVERAGE(OFFSET($AM$3,0,0,'Données projet'!$E$10+1,1))-AVERAGE(OFFSET($H$3,0,0,'Données projet'!$E$10+1,1))</f>
        <v>370.05613271587413</v>
      </c>
      <c r="AO24" s="59">
        <f t="shared" si="36"/>
        <v>183.24480056442525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4.0628205133333335</v>
      </c>
      <c r="BD24" s="12">
        <f>IF('Données projet'!$A$88&gt;35,BD23+BC24-BL23,IF(A24&lt;'Données projet'!$A$88,$BA$205^A24,IF(A24='Données projet'!$A$88,'Données projet'!$B$88,BD23+BC24-BL23)))</f>
        <v>28.851222755348811</v>
      </c>
      <c r="BE24" s="13">
        <f>BD24*VLOOKUP('Données projet'!$B$11,Paramètres!$A$1:$I$89,3,0)*VLOOKUP('Données projet'!$B$11,Paramètres!$A$1:$I$89,5,0)</f>
        <v>29.255139873923696</v>
      </c>
      <c r="BF24" s="13">
        <f t="shared" si="37"/>
        <v>9.1009831466851168</v>
      </c>
      <c r="BG24" s="20">
        <f t="shared" si="7"/>
        <v>66.803580927560347</v>
      </c>
      <c r="BH24" s="59">
        <f t="shared" si="8"/>
        <v>360.13691426089366</v>
      </c>
      <c r="BI24" s="59">
        <f ca="1">AVERAGE(OFFSET($BH$3,0,0,'Données projet'!$E$11+1,1))-AVERAGE(OFFSET($H$3,0,0,'Données projet'!$E$11+1,1))</f>
        <v>428.72181435671394</v>
      </c>
      <c r="BJ24" s="59">
        <f t="shared" si="38"/>
        <v>211.84936043087572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16.8</v>
      </c>
      <c r="BY24" s="12">
        <f>IF('Données projet'!$A$114&gt;35,BY23+BX24-CG23,IF(A24&lt;'Données projet'!$A$114,$BV$205^A24,IF(A24='Données projet'!$A$114,'Données projet'!$B$114,BY23+BX24-CG23)))</f>
        <v>97.800000000000011</v>
      </c>
      <c r="BZ24" s="13">
        <f>BY24*VLOOKUP('Données projet'!$B$12,Paramètres!$A$1:$I$89,3,0)*VLOOKUP('Données projet'!$B$12,Paramètres!$A$1:$I$89,5,0)</f>
        <v>77.809680000000014</v>
      </c>
      <c r="CA24" s="13">
        <f t="shared" si="39"/>
        <v>21.600777311280577</v>
      </c>
      <c r="CB24" s="20">
        <f t="shared" si="10"/>
        <v>173.13987981714703</v>
      </c>
      <c r="CC24" s="59">
        <f t="shared" si="11"/>
        <v>466.47321315048032</v>
      </c>
      <c r="CD24" s="59">
        <f ca="1">AVERAGE(OFFSET($CC$3,0,0,'Données projet'!$E$12+1,1))-AVERAGE(OFFSET($H$3,0,0,'Données projet'!$E$12+1,1))</f>
        <v>296.737543892524</v>
      </c>
      <c r="CE24" s="59">
        <f t="shared" si="40"/>
        <v>296.38358650317099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11</v>
      </c>
      <c r="CT24" s="12">
        <f>IF('Données projet'!$A$140&gt;35,CT23+CS24-DB23,IF(A24&lt;'Données projet'!$A$140,$CQ$205^A24,IF(A24='Données projet'!$A$140,'Données projet'!$B$140,CT23+CS24-DB23)))</f>
        <v>67</v>
      </c>
      <c r="CU24" s="17">
        <f>CT24*VLOOKUP('Données projet'!$B$13,Paramètres!$A$1:$I$89,3,0)*VLOOKUP('Données projet'!$B$13,Paramètres!$A$1:$I$89,5,0)</f>
        <v>57.486000000000004</v>
      </c>
      <c r="CV24" s="13">
        <f t="shared" si="41"/>
        <v>16.531076211754396</v>
      </c>
      <c r="CW24" s="20">
        <f t="shared" si="13"/>
        <v>128.9130744021389</v>
      </c>
      <c r="CX24" s="59">
        <f t="shared" si="14"/>
        <v>422.24640773547219</v>
      </c>
      <c r="CY24" s="59">
        <f ca="1">AVERAGE(OFFSET($CX$3,0,0,'Données projet'!$E$13+1,1))-AVERAGE(OFFSET($H$3,0,0,'Données projet'!$E$13+1,1))</f>
        <v>391.93999504334352</v>
      </c>
      <c r="CZ24" s="59">
        <f t="shared" si="42"/>
        <v>215.4484906985528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16.8</v>
      </c>
      <c r="DO24" s="12">
        <f>IF('Données projet'!$A$166&gt;35,DO23+DN24-DW23,IF(A24&lt;'Données projet'!$A$166,$DL$205^A24,IF(A24='Données projet'!$A$166,'Données projet'!$B$166,DO23+DN24-DW23)))</f>
        <v>97.800000000000011</v>
      </c>
      <c r="DP24" s="17">
        <f>DO24*VLOOKUP('Données projet'!$B$14,Paramètres!$A$1:$I$89,3,0)*VLOOKUP('Données projet'!$B$14,Paramètres!$A$1:$I$89,5,0)</f>
        <v>71.706960000000009</v>
      </c>
      <c r="DQ24" s="13">
        <f t="shared" si="43"/>
        <v>20.096759687088312</v>
      </c>
      <c r="DR24" s="20">
        <f t="shared" si="16"/>
        <v>159.89147845501216</v>
      </c>
      <c r="DS24" s="59">
        <f t="shared" si="17"/>
        <v>453.22481178834551</v>
      </c>
      <c r="DT24" s="59">
        <f ca="1">AVERAGE(OFFSET($DS$3,0,0,'Données projet'!$E$14+1,1))-AVERAGE(OFFSET($H$3,0,0,'Données projet'!$E$14+1,1))</f>
        <v>267.92147257573157</v>
      </c>
      <c r="DU24" s="59">
        <f t="shared" si="44"/>
        <v>269.06662611892438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26.926666666666673</v>
      </c>
      <c r="EJ24" s="12">
        <f>IF('Données projet'!$A$192&gt;35,EJ23+EI24-ER23,IF(A24&lt;'Données projet'!$A$192,$EG$205^A24,IF(A24='Données projet'!$A$192,'Données projet'!$B$192,EJ23+EI24-ER23)))</f>
        <v>208.38000000000002</v>
      </c>
      <c r="EK24" s="17">
        <f>EJ24*VLOOKUP('Données projet'!$B$15,Paramètres!$A$1:$I$89,3,0)*VLOOKUP('Données projet'!$B$15,Paramètres!$A$1:$I$89,5,0)</f>
        <v>116.48442000000001</v>
      </c>
      <c r="EL24" s="13">
        <f t="shared" si="45"/>
        <v>30.853634445731519</v>
      </c>
      <c r="EM24" s="20">
        <f t="shared" si="19"/>
        <v>256.61377815964903</v>
      </c>
      <c r="EN24" s="59">
        <f t="shared" si="20"/>
        <v>549.94711149298234</v>
      </c>
      <c r="EO24" s="59">
        <f ca="1">AVERAGE(OFFSET($EN$3,0,0,'Données projet'!$E$15+1,1))-AVERAGE(OFFSET($H$3,0,0,'Données projet'!$E$15+1,1))</f>
        <v>326.29985515186428</v>
      </c>
      <c r="EP24" s="59">
        <f t="shared" si="46"/>
        <v>437.68177084535927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16.742490356462476</v>
      </c>
      <c r="EY24" s="22">
        <f t="shared" si="21"/>
        <v>16.742490356462476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3.2051282199999944</v>
      </c>
      <c r="FE24" s="12">
        <f>IF('Données projet'!$A$218&gt;35,FE23+FD24-FM23,IF(A24&lt;'Données projet'!$A$218,$FB$205^A24,IF(A24='Données projet'!$A$218,'Données projet'!$B$218,FE23+FD24-FM23)))</f>
        <v>310.25641024000015</v>
      </c>
      <c r="FF24" s="17">
        <f>FE24*VLOOKUP('Données projet'!$B$16,Paramètres!$A$1:$I$89,3,0)*VLOOKUP('Données projet'!$B$16,Paramètres!$A$1:$I$89,5,0)</f>
        <v>177.62799999060488</v>
      </c>
      <c r="FG24" s="13">
        <f t="shared" si="47"/>
        <v>44.794053129308153</v>
      </c>
      <c r="FH24" s="20">
        <f t="shared" si="22"/>
        <v>387.38507585051519</v>
      </c>
      <c r="FI24" s="59">
        <f t="shared" si="23"/>
        <v>680.71840918384851</v>
      </c>
      <c r="FJ24" s="59">
        <f ca="1">AVERAGE(OFFSET($FI$3,0,0,'Données projet'!$E$16+1,1))-AVERAGE(OFFSET($H$3,0,0,'Données projet'!$E$16+1,1))</f>
        <v>211.14768428403215</v>
      </c>
      <c r="FK24" s="59">
        <f t="shared" si="48"/>
        <v>350.7800157534798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19.219199999999997</v>
      </c>
      <c r="D25" s="11">
        <f t="shared" si="32"/>
        <v>6.2785676989293835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196.82487346541976</v>
      </c>
      <c r="H25" s="66">
        <f t="shared" si="1"/>
        <v>337.74194540896866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11.4</v>
      </c>
      <c r="N25" s="13">
        <f>IF('Données projet'!$A$36&gt;35,N24+M25-V24,IF(A25&lt;'Données projet'!$A$36,$K$205^A25,IF(A25='Données projet'!$A$36,'Données projet'!$B$36,N24+M25-V24)))</f>
        <v>110.79999999999998</v>
      </c>
      <c r="O25" s="13">
        <f>N25*VLOOKUP('Données projet'!$B$9,Paramètres!$A$1:$I$89,3,0)*VLOOKUP('Données projet'!$B$9,Paramètres!$A$1:$I$89,5,0)</f>
        <v>96.794879999999992</v>
      </c>
      <c r="P25" s="13">
        <f t="shared" si="33"/>
        <v>26.196980264498734</v>
      </c>
      <c r="Q25" s="20">
        <f t="shared" si="2"/>
        <v>214.21082329400193</v>
      </c>
      <c r="R25" s="59">
        <f t="shared" si="0"/>
        <v>507.54415662733527</v>
      </c>
      <c r="S25" s="59">
        <f ca="1">AVERAGE(OFFSET($R$3,0,0,'Données projet'!$E$9+1,1))-AVERAGE(OFFSET($H$3,0,0,'Données projet'!$E$9+1,1))</f>
        <v>252.49539407921907</v>
      </c>
      <c r="T25" s="59">
        <f t="shared" si="34"/>
        <v>263.36387286233929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4.0628205133333335</v>
      </c>
      <c r="AI25" s="13">
        <f>IF('Données projet'!$A$62&gt;35,AI24+AH25-AQ24,IF(A25&lt;'Données projet'!$A$62,$AF$205^A25,IF(A25='Données projet'!$A$62,'Données projet'!$B$62,AI24+AH25-AQ24)))</f>
        <v>33.860693886946351</v>
      </c>
      <c r="AJ25" s="13">
        <f>AI25*VLOOKUP('Données projet'!$B$10,Paramètres!$A$1:$I$89,3,0)*VLOOKUP('Données projet'!$B$10,Paramètres!$A$1:$I$89,5,0)</f>
        <v>30.637155828909059</v>
      </c>
      <c r="AK25" s="13">
        <f t="shared" si="35"/>
        <v>9.4798440145929224</v>
      </c>
      <c r="AL25" s="20">
        <f t="shared" si="4"/>
        <v>69.870441394099274</v>
      </c>
      <c r="AM25" s="59">
        <f t="shared" si="5"/>
        <v>363.20377472743257</v>
      </c>
      <c r="AN25" s="59">
        <f ca="1">AVERAGE(OFFSET($AM$3,0,0,'Données projet'!$E$10+1,1))-AVERAGE(OFFSET($H$3,0,0,'Données projet'!$E$10+1,1))</f>
        <v>370.05613271587413</v>
      </c>
      <c r="AO25" s="59">
        <f t="shared" si="36"/>
        <v>183.24480056442525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4.0628205133333335</v>
      </c>
      <c r="BD25" s="12">
        <f>IF('Données projet'!$A$88&gt;35,BD24+BC25-BL24,IF(A25&lt;'Données projet'!$A$88,$BA$205^A25,IF(A25='Données projet'!$A$88,'Données projet'!$B$88,BD24+BC25-BL24)))</f>
        <v>33.860693886946351</v>
      </c>
      <c r="BE25" s="13">
        <f>BD25*VLOOKUP('Données projet'!$B$11,Paramètres!$A$1:$I$89,3,0)*VLOOKUP('Données projet'!$B$11,Paramètres!$A$1:$I$89,5,0)</f>
        <v>34.334743601363606</v>
      </c>
      <c r="BF25" s="13">
        <f t="shared" si="37"/>
        <v>10.483986623205627</v>
      </c>
      <c r="BG25" s="20">
        <f t="shared" si="7"/>
        <v>78.059288474458086</v>
      </c>
      <c r="BH25" s="59">
        <f t="shared" si="8"/>
        <v>371.39262180779139</v>
      </c>
      <c r="BI25" s="59">
        <f ca="1">AVERAGE(OFFSET($BH$3,0,0,'Données projet'!$E$11+1,1))-AVERAGE(OFFSET($H$3,0,0,'Données projet'!$E$11+1,1))</f>
        <v>428.72181435671394</v>
      </c>
      <c r="BJ25" s="59">
        <f t="shared" si="38"/>
        <v>211.84936043087572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16.8</v>
      </c>
      <c r="BY25" s="12">
        <f>IF('Données projet'!$A$114&gt;35,BY24+BX25-CG24,IF(A25&lt;'Données projet'!$A$114,$BV$205^A25,IF(A25='Données projet'!$A$114,'Données projet'!$B$114,BY24+BX25-CG24)))</f>
        <v>114.60000000000001</v>
      </c>
      <c r="BZ25" s="13">
        <f>BY25*VLOOKUP('Données projet'!$B$12,Paramètres!$A$1:$I$89,3,0)*VLOOKUP('Données projet'!$B$12,Paramètres!$A$1:$I$89,5,0)</f>
        <v>91.175760000000011</v>
      </c>
      <c r="CA25" s="13">
        <f t="shared" si="39"/>
        <v>24.848575433138123</v>
      </c>
      <c r="CB25" s="20">
        <f t="shared" si="10"/>
        <v>202.07571754604893</v>
      </c>
      <c r="CC25" s="59">
        <f t="shared" si="11"/>
        <v>495.40905087938222</v>
      </c>
      <c r="CD25" s="59">
        <f ca="1">AVERAGE(OFFSET($CC$3,0,0,'Données projet'!$E$12+1,1))-AVERAGE(OFFSET($H$3,0,0,'Données projet'!$E$12+1,1))</f>
        <v>296.737543892524</v>
      </c>
      <c r="CE25" s="59">
        <f t="shared" si="40"/>
        <v>296.38358650317099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11</v>
      </c>
      <c r="CT25" s="12">
        <f>IF('Données projet'!$A$140&gt;35,CT24+CS25-DB24,IF(A25&lt;'Données projet'!$A$140,$CQ$205^A25,IF(A25='Données projet'!$A$140,'Données projet'!$B$140,CT24+CS25-DB24)))</f>
        <v>78</v>
      </c>
      <c r="CU25" s="17">
        <f>CT25*VLOOKUP('Données projet'!$B$13,Paramètres!$A$1:$I$89,3,0)*VLOOKUP('Données projet'!$B$13,Paramètres!$A$1:$I$89,5,0)</f>
        <v>66.924000000000007</v>
      </c>
      <c r="CV25" s="13">
        <f t="shared" si="41"/>
        <v>18.90759204786767</v>
      </c>
      <c r="CW25" s="20">
        <f t="shared" si="13"/>
        <v>149.49002281670286</v>
      </c>
      <c r="CX25" s="59">
        <f t="shared" si="14"/>
        <v>442.82335615003615</v>
      </c>
      <c r="CY25" s="59">
        <f ca="1">AVERAGE(OFFSET($CX$3,0,0,'Données projet'!$E$13+1,1))-AVERAGE(OFFSET($H$3,0,0,'Données projet'!$E$13+1,1))</f>
        <v>391.93999504334352</v>
      </c>
      <c r="CZ25" s="59">
        <f t="shared" si="42"/>
        <v>215.4484906985528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16.8</v>
      </c>
      <c r="DO25" s="12">
        <f>IF('Données projet'!$A$166&gt;35,DO24+DN25-DW24,IF(A25&lt;'Données projet'!$A$166,$DL$205^A25,IF(A25='Données projet'!$A$166,'Données projet'!$B$166,DO24+DN25-DW24)))</f>
        <v>114.60000000000001</v>
      </c>
      <c r="DP25" s="17">
        <f>DO25*VLOOKUP('Données projet'!$B$14,Paramètres!$A$1:$I$89,3,0)*VLOOKUP('Données projet'!$B$14,Paramètres!$A$1:$I$89,5,0)</f>
        <v>84.024720000000002</v>
      </c>
      <c r="DQ25" s="13">
        <f t="shared" si="43"/>
        <v>23.11842031654454</v>
      </c>
      <c r="DR25" s="20">
        <f t="shared" si="16"/>
        <v>186.6076360513151</v>
      </c>
      <c r="DS25" s="59">
        <f t="shared" si="17"/>
        <v>479.94096938464838</v>
      </c>
      <c r="DT25" s="59">
        <f ca="1">AVERAGE(OFFSET($DS$3,0,0,'Données projet'!$E$14+1,1))-AVERAGE(OFFSET($H$3,0,0,'Données projet'!$E$14+1,1))</f>
        <v>267.92147257573157</v>
      </c>
      <c r="DU25" s="59">
        <f t="shared" si="44"/>
        <v>269.06662611892438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26.926666666666673</v>
      </c>
      <c r="EJ25" s="12">
        <f>IF('Données projet'!$A$192&gt;35,EJ24+EI25-ER24,IF(A25&lt;'Données projet'!$A$192,$EG$205^A25,IF(A25='Données projet'!$A$192,'Données projet'!$B$192,EJ24+EI25-ER24)))</f>
        <v>235.3066666666667</v>
      </c>
      <c r="EK25" s="17">
        <f>EJ25*VLOOKUP('Données projet'!$B$15,Paramètres!$A$1:$I$89,3,0)*VLOOKUP('Données projet'!$B$15,Paramètres!$A$1:$I$89,5,0)</f>
        <v>131.5364266666667</v>
      </c>
      <c r="EL25" s="13">
        <f t="shared" si="45"/>
        <v>34.351139290423262</v>
      </c>
      <c r="EM25" s="20">
        <f t="shared" si="19"/>
        <v>288.92084404193173</v>
      </c>
      <c r="EN25" s="59">
        <f t="shared" si="20"/>
        <v>582.25417737526504</v>
      </c>
      <c r="EO25" s="59">
        <f ca="1">AVERAGE(OFFSET($EN$3,0,0,'Données projet'!$E$15+1,1))-AVERAGE(OFFSET($H$3,0,0,'Données projet'!$E$15+1,1))</f>
        <v>326.29985515186428</v>
      </c>
      <c r="EP25" s="59">
        <f t="shared" si="46"/>
        <v>437.68177084535927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11.838728465004994</v>
      </c>
      <c r="EY25" s="22">
        <f t="shared" si="21"/>
        <v>11.838728465004994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3.2051282199999944</v>
      </c>
      <c r="FE25" s="12">
        <f>IF('Données projet'!$A$218&gt;35,FE24+FD25-FM24,IF(A25&lt;'Données projet'!$A$218,$FB$205^A25,IF(A25='Données projet'!$A$218,'Données projet'!$B$218,FE24+FD25-FM24)))</f>
        <v>313.46153846000016</v>
      </c>
      <c r="FF25" s="17">
        <f>FE25*VLOOKUP('Données projet'!$B$16,Paramètres!$A$1:$I$89,3,0)*VLOOKUP('Données projet'!$B$16,Paramètres!$A$1:$I$89,5,0)</f>
        <v>179.46299999911929</v>
      </c>
      <c r="FG25" s="13">
        <f t="shared" si="47"/>
        <v>45.202692792910923</v>
      </c>
      <c r="FH25" s="20">
        <f t="shared" si="22"/>
        <v>391.29274827945255</v>
      </c>
      <c r="FI25" s="59">
        <f t="shared" si="23"/>
        <v>684.62608161278581</v>
      </c>
      <c r="FJ25" s="59">
        <f ca="1">AVERAGE(OFFSET($FI$3,0,0,'Données projet'!$E$16+1,1))-AVERAGE(OFFSET($H$3,0,0,'Données projet'!$E$16+1,1))</f>
        <v>211.14768428403215</v>
      </c>
      <c r="FK25" s="59">
        <f t="shared" si="48"/>
        <v>350.7800157534798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20.092799999999997</v>
      </c>
      <c r="D26" s="11">
        <f t="shared" si="32"/>
        <v>6.5300817245569407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205.50996418956231</v>
      </c>
      <c r="H26" s="66">
        <f t="shared" si="1"/>
        <v>339.70151900360332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11.4</v>
      </c>
      <c r="N26" s="13">
        <f>IF('Données projet'!$A$36&gt;35,N25+M26-V25,IF(A26&lt;'Données projet'!$A$36,$K$205^A26,IF(A26='Données projet'!$A$36,'Données projet'!$B$36,N25+M26-V25)))</f>
        <v>122.19999999999999</v>
      </c>
      <c r="O26" s="13">
        <f>N26*VLOOKUP('Données projet'!$B$9,Paramètres!$A$1:$I$89,3,0)*VLOOKUP('Données projet'!$B$9,Paramètres!$A$1:$I$89,5,0)</f>
        <v>106.75392000000001</v>
      </c>
      <c r="P26" s="13">
        <f t="shared" si="33"/>
        <v>28.564854626855976</v>
      </c>
      <c r="Q26" s="20">
        <f t="shared" si="2"/>
        <v>235.68019914177421</v>
      </c>
      <c r="R26" s="59">
        <f t="shared" si="0"/>
        <v>529.01353247510747</v>
      </c>
      <c r="S26" s="59">
        <f ca="1">AVERAGE(OFFSET($R$3,0,0,'Données projet'!$E$9+1,1))-AVERAGE(OFFSET($H$3,0,0,'Données projet'!$E$9+1,1))</f>
        <v>252.49539407921907</v>
      </c>
      <c r="T26" s="59">
        <f t="shared" si="34"/>
        <v>263.36387286233929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4.0628205133333335</v>
      </c>
      <c r="AI26" s="13">
        <f>IF('Données projet'!$A$62&gt;35,AI25+AH26-AQ25,IF(A26&lt;'Données projet'!$A$62,$AF$205^A26,IF(A26='Données projet'!$A$62,'Données projet'!$B$62,AI25+AH26-AQ25)))</f>
        <v>39.739965277309587</v>
      </c>
      <c r="AJ26" s="13">
        <f>AI26*VLOOKUP('Données projet'!$B$10,Paramètres!$A$1:$I$89,3,0)*VLOOKUP('Données projet'!$B$10,Paramètres!$A$1:$I$89,5,0)</f>
        <v>35.956720582909711</v>
      </c>
      <c r="AK26" s="13">
        <f t="shared" si="35"/>
        <v>10.920419941143177</v>
      </c>
      <c r="AL26" s="20">
        <f t="shared" si="4"/>
        <v>81.644353079392104</v>
      </c>
      <c r="AM26" s="59">
        <f t="shared" si="5"/>
        <v>374.9776864127254</v>
      </c>
      <c r="AN26" s="59">
        <f ca="1">AVERAGE(OFFSET($AM$3,0,0,'Données projet'!$E$10+1,1))-AVERAGE(OFFSET($H$3,0,0,'Données projet'!$E$10+1,1))</f>
        <v>370.05613271587413</v>
      </c>
      <c r="AO26" s="59">
        <f t="shared" si="36"/>
        <v>183.24480056442525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4.0628205133333335</v>
      </c>
      <c r="BD26" s="12">
        <f>IF('Données projet'!$A$88&gt;35,BD25+BC26-BL25,IF(A26&lt;'Données projet'!$A$88,$BA$205^A26,IF(A26='Données projet'!$A$88,'Données projet'!$B$88,BD25+BC26-BL25)))</f>
        <v>39.739965277309587</v>
      </c>
      <c r="BE26" s="13">
        <f>BD26*VLOOKUP('Données projet'!$B$11,Paramètres!$A$1:$I$89,3,0)*VLOOKUP('Données projet'!$B$11,Paramètres!$A$1:$I$89,5,0)</f>
        <v>40.296324791191921</v>
      </c>
      <c r="BF26" s="13">
        <f t="shared" si="37"/>
        <v>12.077154055118635</v>
      </c>
      <c r="BG26" s="20">
        <f t="shared" si="7"/>
        <v>91.217142323990871</v>
      </c>
      <c r="BH26" s="59">
        <f t="shared" si="8"/>
        <v>384.55047565732417</v>
      </c>
      <c r="BI26" s="59">
        <f ca="1">AVERAGE(OFFSET($BH$3,0,0,'Données projet'!$E$11+1,1))-AVERAGE(OFFSET($H$3,0,0,'Données projet'!$E$11+1,1))</f>
        <v>428.72181435671394</v>
      </c>
      <c r="BJ26" s="59">
        <f t="shared" si="38"/>
        <v>211.84936043087572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16.8</v>
      </c>
      <c r="BY26" s="12">
        <f>IF('Données projet'!$A$114&gt;35,BY25+BX26-CG25,IF(A26&lt;'Données projet'!$A$114,$BV$205^A26,IF(A26='Données projet'!$A$114,'Données projet'!$B$114,BY25+BX26-CG25)))</f>
        <v>131.4</v>
      </c>
      <c r="BZ26" s="13">
        <f>BY26*VLOOKUP('Données projet'!$B$12,Paramètres!$A$1:$I$89,3,0)*VLOOKUP('Données projet'!$B$12,Paramètres!$A$1:$I$89,5,0)</f>
        <v>104.54184000000002</v>
      </c>
      <c r="CA26" s="13">
        <f t="shared" si="39"/>
        <v>28.041215323191079</v>
      </c>
      <c r="CB26" s="20">
        <f t="shared" si="10"/>
        <v>230.91548802122449</v>
      </c>
      <c r="CC26" s="59">
        <f t="shared" si="11"/>
        <v>524.24882135455778</v>
      </c>
      <c r="CD26" s="59">
        <f ca="1">AVERAGE(OFFSET($CC$3,0,0,'Données projet'!$E$12+1,1))-AVERAGE(OFFSET($H$3,0,0,'Données projet'!$E$12+1,1))</f>
        <v>296.737543892524</v>
      </c>
      <c r="CE26" s="59">
        <f t="shared" si="40"/>
        <v>296.38358650317099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11</v>
      </c>
      <c r="CT26" s="12">
        <f>IF('Données projet'!$A$140&gt;35,CT25+CS26-DB25,IF(A26&lt;'Données projet'!$A$140,$CQ$205^A26,IF(A26='Données projet'!$A$140,'Données projet'!$B$140,CT25+CS26-DB25)))</f>
        <v>89</v>
      </c>
      <c r="CU26" s="17">
        <f>CT26*VLOOKUP('Données projet'!$B$13,Paramètres!$A$1:$I$89,3,0)*VLOOKUP('Données projet'!$B$13,Paramètres!$A$1:$I$89,5,0)</f>
        <v>76.362000000000009</v>
      </c>
      <c r="CV26" s="13">
        <f t="shared" si="41"/>
        <v>21.245279172340783</v>
      </c>
      <c r="CW26" s="20">
        <f t="shared" si="13"/>
        <v>169.99934455849356</v>
      </c>
      <c r="CX26" s="59">
        <f t="shared" si="14"/>
        <v>463.33267789182685</v>
      </c>
      <c r="CY26" s="59">
        <f ca="1">AVERAGE(OFFSET($CX$3,0,0,'Données projet'!$E$13+1,1))-AVERAGE(OFFSET($H$3,0,0,'Données projet'!$E$13+1,1))</f>
        <v>391.93999504334352</v>
      </c>
      <c r="CZ26" s="59">
        <f t="shared" si="42"/>
        <v>215.4484906985528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16.8</v>
      </c>
      <c r="DO26" s="12">
        <f>IF('Données projet'!$A$166&gt;35,DO25+DN26-DW25,IF(A26&lt;'Données projet'!$A$166,$DL$205^A26,IF(A26='Données projet'!$A$166,'Données projet'!$B$166,DO25+DN26-DW25)))</f>
        <v>131.4</v>
      </c>
      <c r="DP26" s="17">
        <f>DO26*VLOOKUP('Données projet'!$B$14,Paramètres!$A$1:$I$89,3,0)*VLOOKUP('Données projet'!$B$14,Paramètres!$A$1:$I$89,5,0)</f>
        <v>96.342480000000009</v>
      </c>
      <c r="DQ26" s="13">
        <f t="shared" si="43"/>
        <v>26.088763268244669</v>
      </c>
      <c r="DR26" s="20">
        <f t="shared" si="16"/>
        <v>213.23441535885948</v>
      </c>
      <c r="DS26" s="59">
        <f t="shared" si="17"/>
        <v>506.56774869219282</v>
      </c>
      <c r="DT26" s="59">
        <f ca="1">AVERAGE(OFFSET($DS$3,0,0,'Données projet'!$E$14+1,1))-AVERAGE(OFFSET($H$3,0,0,'Données projet'!$E$14+1,1))</f>
        <v>267.92147257573157</v>
      </c>
      <c r="DU26" s="59">
        <f t="shared" si="44"/>
        <v>269.06662611892438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26.926666666666673</v>
      </c>
      <c r="EJ26" s="12">
        <f>IF('Données projet'!$A$192&gt;35,EJ25+EI26-ER25,IF(A26&lt;'Données projet'!$A$192,$EG$205^A26,IF(A26='Données projet'!$A$192,'Données projet'!$B$192,EJ25+EI26-ER25)))</f>
        <v>262.23333333333335</v>
      </c>
      <c r="EK26" s="17">
        <f>EJ26*VLOOKUP('Données projet'!$B$15,Paramètres!$A$1:$I$89,3,0)*VLOOKUP('Données projet'!$B$15,Paramètres!$A$1:$I$89,5,0)</f>
        <v>146.58843333333334</v>
      </c>
      <c r="EL26" s="13">
        <f t="shared" si="45"/>
        <v>37.80225981907045</v>
      </c>
      <c r="EM26" s="20">
        <f t="shared" si="19"/>
        <v>321.14712390710332</v>
      </c>
      <c r="EN26" s="59">
        <f t="shared" si="20"/>
        <v>614.48045724043664</v>
      </c>
      <c r="EO26" s="59">
        <f ca="1">AVERAGE(OFFSET($EN$3,0,0,'Données projet'!$E$15+1,1))-AVERAGE(OFFSET($H$3,0,0,'Données projet'!$E$15+1,1))</f>
        <v>326.29985515186428</v>
      </c>
      <c r="EP26" s="59">
        <f t="shared" si="46"/>
        <v>437.68177084535927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8.3712451782312378</v>
      </c>
      <c r="EY26" s="22">
        <f t="shared" si="21"/>
        <v>8.3712451782312378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3.2051282199999944</v>
      </c>
      <c r="FE26" s="12">
        <f>IF('Données projet'!$A$218&gt;35,FE25+FD26-FM25,IF(A26&lt;'Données projet'!$A$218,$FB$205^A26,IF(A26='Données projet'!$A$218,'Données projet'!$B$218,FE25+FD26-FM25)))</f>
        <v>316.66666668000016</v>
      </c>
      <c r="FF26" s="17">
        <f>FE26*VLOOKUP('Données projet'!$B$16,Paramètres!$A$1:$I$89,3,0)*VLOOKUP('Données projet'!$B$16,Paramètres!$A$1:$I$89,5,0)</f>
        <v>181.2980000076337</v>
      </c>
      <c r="FG26" s="13">
        <f t="shared" si="47"/>
        <v>45.610846380456351</v>
      </c>
      <c r="FH26" s="20">
        <f t="shared" si="22"/>
        <v>395.19957412592345</v>
      </c>
      <c r="FI26" s="59">
        <f t="shared" si="23"/>
        <v>688.53290745925676</v>
      </c>
      <c r="FJ26" s="59">
        <f ca="1">AVERAGE(OFFSET($FI$3,0,0,'Données projet'!$E$16+1,1))-AVERAGE(OFFSET($H$3,0,0,'Données projet'!$E$16+1,1))</f>
        <v>211.14768428403215</v>
      </c>
      <c r="FK26" s="59">
        <f t="shared" si="48"/>
        <v>350.7800157534798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20.966399999999997</v>
      </c>
      <c r="D27" s="11">
        <f t="shared" si="32"/>
        <v>6.7803256634538833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214.18525073543344</v>
      </c>
      <c r="H27" s="66">
        <f t="shared" si="1"/>
        <v>341.65888053051549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11.4</v>
      </c>
      <c r="N27" s="13">
        <f>IF('Données projet'!$A$36&gt;35,N26+M27-V26,IF(A27&lt;'Données projet'!$A$36,$K$205^A27,IF(A27='Données projet'!$A$36,'Données projet'!$B$36,N26+M27-V26)))</f>
        <v>133.6</v>
      </c>
      <c r="O27" s="13">
        <f>N27*VLOOKUP('Données projet'!$B$9,Paramètres!$A$1:$I$89,3,0)*VLOOKUP('Données projet'!$B$9,Paramètres!$A$1:$I$89,5,0)</f>
        <v>116.71296000000001</v>
      </c>
      <c r="P27" s="13">
        <f t="shared" si="33"/>
        <v>30.90711634982064</v>
      </c>
      <c r="Q27" s="20">
        <f t="shared" si="2"/>
        <v>257.10496630927094</v>
      </c>
      <c r="R27" s="59">
        <f t="shared" si="0"/>
        <v>550.43829964260431</v>
      </c>
      <c r="S27" s="59">
        <f ca="1">AVERAGE(OFFSET($R$3,0,0,'Données projet'!$E$9+1,1))-AVERAGE(OFFSET($H$3,0,0,'Données projet'!$E$9+1,1))</f>
        <v>252.49539407921907</v>
      </c>
      <c r="T27" s="59">
        <f t="shared" si="34"/>
        <v>263.36387286233929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4.0628205133333335</v>
      </c>
      <c r="AI27" s="13">
        <f>IF('Données projet'!$A$62&gt;35,AI26+AH27-AQ26,IF(A27&lt;'Données projet'!$A$62,$AF$205^A27,IF(A27='Données projet'!$A$62,'Données projet'!$B$62,AI26+AH27-AQ26)))</f>
        <v>46.64006135003023</v>
      </c>
      <c r="AJ27" s="13">
        <f>AI27*VLOOKUP('Données projet'!$B$10,Paramètres!$A$1:$I$89,3,0)*VLOOKUP('Données projet'!$B$10,Paramètres!$A$1:$I$89,5,0)</f>
        <v>42.199927509507354</v>
      </c>
      <c r="AK27" s="13">
        <f t="shared" si="35"/>
        <v>12.579908646950299</v>
      </c>
      <c r="AL27" s="20">
        <f t="shared" si="4"/>
        <v>95.408214639163745</v>
      </c>
      <c r="AM27" s="59">
        <f t="shared" si="5"/>
        <v>388.74154797249707</v>
      </c>
      <c r="AN27" s="59">
        <f ca="1">AVERAGE(OFFSET($AM$3,0,0,'Données projet'!$E$10+1,1))-AVERAGE(OFFSET($H$3,0,0,'Données projet'!$E$10+1,1))</f>
        <v>370.05613271587413</v>
      </c>
      <c r="AO27" s="59">
        <f t="shared" si="36"/>
        <v>183.24480056442525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4.0628205133333335</v>
      </c>
      <c r="BD27" s="12">
        <f>IF('Données projet'!$A$88&gt;35,BD26+BC27-BL26,IF(A27&lt;'Données projet'!$A$88,$BA$205^A27,IF(A27='Données projet'!$A$88,'Données projet'!$B$88,BD26+BC27-BL26)))</f>
        <v>46.64006135003023</v>
      </c>
      <c r="BE27" s="13">
        <f>BD27*VLOOKUP('Données projet'!$B$11,Paramètres!$A$1:$I$89,3,0)*VLOOKUP('Données projet'!$B$11,Paramètres!$A$1:$I$89,5,0)</f>
        <v>47.293022208930658</v>
      </c>
      <c r="BF27" s="13">
        <f t="shared" si="37"/>
        <v>13.912422374540427</v>
      </c>
      <c r="BG27" s="20">
        <f t="shared" si="7"/>
        <v>106.59948264954546</v>
      </c>
      <c r="BH27" s="59">
        <f t="shared" si="8"/>
        <v>399.93281598287876</v>
      </c>
      <c r="BI27" s="59">
        <f ca="1">AVERAGE(OFFSET($BH$3,0,0,'Données projet'!$E$11+1,1))-AVERAGE(OFFSET($H$3,0,0,'Données projet'!$E$11+1,1))</f>
        <v>428.72181435671394</v>
      </c>
      <c r="BJ27" s="59">
        <f t="shared" si="38"/>
        <v>211.84936043087572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16.8</v>
      </c>
      <c r="BY27" s="12">
        <f>IF('Données projet'!$A$114&gt;35,BY26+BX27-CG26,IF(A27&lt;'Données projet'!$A$114,$BV$205^A27,IF(A27='Données projet'!$A$114,'Données projet'!$B$114,BY26+BX27-CG26)))</f>
        <v>148.20000000000002</v>
      </c>
      <c r="BZ27" s="13">
        <f>BY27*VLOOKUP('Données projet'!$B$12,Paramètres!$A$1:$I$89,3,0)*VLOOKUP('Données projet'!$B$12,Paramètres!$A$1:$I$89,5,0)</f>
        <v>117.90792000000002</v>
      </c>
      <c r="CA27" s="13">
        <f t="shared" si="39"/>
        <v>31.186557651984323</v>
      </c>
      <c r="CB27" s="20">
        <f t="shared" si="10"/>
        <v>259.67288191053939</v>
      </c>
      <c r="CC27" s="59">
        <f t="shared" si="11"/>
        <v>553.0062152438727</v>
      </c>
      <c r="CD27" s="59">
        <f ca="1">AVERAGE(OFFSET($CC$3,0,0,'Données projet'!$E$12+1,1))-AVERAGE(OFFSET($H$3,0,0,'Données projet'!$E$12+1,1))</f>
        <v>296.737543892524</v>
      </c>
      <c r="CE27" s="59">
        <f t="shared" si="40"/>
        <v>296.38358650317099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11</v>
      </c>
      <c r="CT27" s="12">
        <f>IF('Données projet'!$A$140&gt;35,CT26+CS27-DB26,IF(A27&lt;'Données projet'!$A$140,$CQ$205^A27,IF(A27='Données projet'!$A$140,'Données projet'!$B$140,CT26+CS27-DB26)))</f>
        <v>100</v>
      </c>
      <c r="CU27" s="17">
        <f>CT27*VLOOKUP('Données projet'!$B$13,Paramètres!$A$1:$I$89,3,0)*VLOOKUP('Données projet'!$B$13,Paramètres!$A$1:$I$89,5,0)</f>
        <v>85.800000000000011</v>
      </c>
      <c r="CV27" s="13">
        <f t="shared" si="41"/>
        <v>23.549485995669766</v>
      </c>
      <c r="CW27" s="20">
        <f t="shared" si="13"/>
        <v>190.45035477579154</v>
      </c>
      <c r="CX27" s="59">
        <f t="shared" si="14"/>
        <v>483.78368810912485</v>
      </c>
      <c r="CY27" s="59">
        <f ca="1">AVERAGE(OFFSET($CX$3,0,0,'Données projet'!$E$13+1,1))-AVERAGE(OFFSET($H$3,0,0,'Données projet'!$E$13+1,1))</f>
        <v>391.93999504334352</v>
      </c>
      <c r="CZ27" s="59">
        <f t="shared" si="42"/>
        <v>215.4484906985528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16.8</v>
      </c>
      <c r="DO27" s="12">
        <f>IF('Données projet'!$A$166&gt;35,DO26+DN27-DW26,IF(A27&lt;'Données projet'!$A$166,$DL$205^A27,IF(A27='Données projet'!$A$166,'Données projet'!$B$166,DO26+DN27-DW26)))</f>
        <v>148.20000000000002</v>
      </c>
      <c r="DP27" s="17">
        <f>DO27*VLOOKUP('Données projet'!$B$14,Paramètres!$A$1:$I$89,3,0)*VLOOKUP('Données projet'!$B$14,Paramètres!$A$1:$I$89,5,0)</f>
        <v>108.66024000000002</v>
      </c>
      <c r="DQ27" s="13">
        <f t="shared" si="43"/>
        <v>29.015101890437414</v>
      </c>
      <c r="DR27" s="20">
        <f t="shared" si="16"/>
        <v>239.78455379251184</v>
      </c>
      <c r="DS27" s="59">
        <f t="shared" si="17"/>
        <v>533.11788712584519</v>
      </c>
      <c r="DT27" s="59">
        <f ca="1">AVERAGE(OFFSET($DS$3,0,0,'Données projet'!$E$14+1,1))-AVERAGE(OFFSET($H$3,0,0,'Données projet'!$E$14+1,1))</f>
        <v>267.92147257573157</v>
      </c>
      <c r="DU27" s="59">
        <f t="shared" si="44"/>
        <v>269.06662611892438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>
        <f>VLOOKUP(A27,'Données projet'!$A$191:$I$211,2,0)</f>
        <v>289.16000000000003</v>
      </c>
      <c r="EH27" s="12">
        <f>VLOOKUP(A27,'Données projet'!$A$191:$I$211,9,0)</f>
        <v>26.926666666666673</v>
      </c>
      <c r="EI27" s="12">
        <f t="array" ref="EI27">INDEX(EH:EH,MIN(IF(ISNUMBER(EH27:EH223),ROW(EH27:EH223),"")))</f>
        <v>26.926666666666673</v>
      </c>
      <c r="EJ27" s="12">
        <f>IF('Données projet'!$A$192&gt;35,EJ26+EI27-ER26,IF(A27&lt;'Données projet'!$A$192,$EG$205^A27,IF(A27='Données projet'!$A$192,'Données projet'!$B$192,EJ26+EI27-ER26)))</f>
        <v>289.16000000000003</v>
      </c>
      <c r="EK27" s="17">
        <f>EJ27*VLOOKUP('Données projet'!$B$15,Paramètres!$A$1:$I$89,3,0)*VLOOKUP('Données projet'!$B$15,Paramètres!$A$1:$I$89,5,0)</f>
        <v>161.64044000000001</v>
      </c>
      <c r="EL27" s="13">
        <f t="shared" si="45"/>
        <v>41.212301279363686</v>
      </c>
      <c r="EM27" s="20">
        <f t="shared" si="19"/>
        <v>353.30185772822512</v>
      </c>
      <c r="EN27" s="59">
        <f t="shared" si="20"/>
        <v>646.63519106155843</v>
      </c>
      <c r="EO27" s="59">
        <f ca="1">AVERAGE(OFFSET($EN$3,0,0,'Données projet'!$E$15+1,1))-AVERAGE(OFFSET($H$3,0,0,'Données projet'!$E$15+1,1))</f>
        <v>326.29985515186428</v>
      </c>
      <c r="EP27" s="59">
        <f t="shared" si="46"/>
        <v>437.68177084535927</v>
      </c>
      <c r="EQ27" s="15">
        <f>IF(ISNA(VLOOKUP(A27,'Données projet'!$A$191:$I$211,3,0)),0,VLOOKUP(A27,'Données projet'!$A$191:$I$211,3,0))</f>
        <v>2</v>
      </c>
      <c r="ER27" s="15">
        <f>IF(ISNA(VLOOKUP(A27,'Données projet'!$A$191:$I$211,4,0)),0,VLOOKUP(A27,'Données projet'!$A$191:$I$211,4,0))</f>
        <v>51.39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0.55000000000000004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20.877001064528184</v>
      </c>
      <c r="EX27" s="21">
        <f>EXP(-LN(2)/2)*EX26+(1-EXP(-LN(2)/2))/(LN(2)/2)*ER27*EU27*VLOOKUP('Données projet'!$B$15,Paramètres!$A$1:$I$89,3,0)*0.475*44/12</f>
        <v>5.9193642325024971</v>
      </c>
      <c r="EY27" s="22">
        <f t="shared" si="21"/>
        <v>26.796365297030682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>
        <f>VLOOKUP(A27,'Données projet'!$A$217:$I$237,2,0)</f>
        <v>319.8717949</v>
      </c>
      <c r="FC27" s="12">
        <f>VLOOKUP(A27,'Données projet'!$A$217:$I$237,9,0)</f>
        <v>3.2051282199999944</v>
      </c>
      <c r="FD27" s="12">
        <f t="array" ref="FD27">INDEX(FC:FC,MIN(IF(ISNUMBER(FC27:FC223),ROW(FC27:FC223),"")))</f>
        <v>3.2051282199999944</v>
      </c>
      <c r="FE27" s="12">
        <f>IF('Données projet'!$A$218&gt;35,FE26+FD27-FM26,IF(A27&lt;'Données projet'!$A$218,$FB$205^A27,IF(A27='Données projet'!$A$218,'Données projet'!$B$218,FE26+FD27-FM26)))</f>
        <v>319.87179490000017</v>
      </c>
      <c r="FF27" s="17">
        <f>FE27*VLOOKUP('Données projet'!$B$16,Paramètres!$A$1:$I$89,3,0)*VLOOKUP('Données projet'!$B$16,Paramètres!$A$1:$I$89,5,0)</f>
        <v>183.13300001614809</v>
      </c>
      <c r="FG27" s="13">
        <f t="shared" si="47"/>
        <v>46.018519381361251</v>
      </c>
      <c r="FH27" s="20">
        <f t="shared" si="22"/>
        <v>399.10556295066203</v>
      </c>
      <c r="FI27" s="59">
        <f t="shared" si="23"/>
        <v>692.43889628399529</v>
      </c>
      <c r="FJ27" s="59">
        <f ca="1">AVERAGE(OFFSET($FI$3,0,0,'Données projet'!$E$16+1,1))-AVERAGE(OFFSET($H$3,0,0,'Données projet'!$E$16+1,1))</f>
        <v>211.14768428403215</v>
      </c>
      <c r="FK27" s="59">
        <f t="shared" si="48"/>
        <v>350.7800157534798</v>
      </c>
      <c r="FL27" s="15" t="str">
        <f>IF(ISNA(VLOOKUP(A27,'Données projet'!$A$217:$I$237,3,0)),0,VLOOKUP(A27,'Données projet'!$A$217:$I$237,3,0))</f>
        <v>CR</v>
      </c>
      <c r="FM27" s="15">
        <f>IF(ISNA(VLOOKUP(A27,'Données projet'!$A$217:$I$237,4,0)),0,VLOOKUP(A27,'Données projet'!$A$217:$I$237,4,0))</f>
        <v>319.8717949</v>
      </c>
      <c r="FN27" s="16">
        <f>IF(ISNA(VLOOKUP(A27,'Données projet'!$A$217:$I$237,5,0)),0%,VLOOKUP(A27,'Données projet'!$A$217:$I$237,5,0)*VLOOKUP('Données projet'!$B$16,Paramètres!$A$1:$I$89,7,0))</f>
        <v>0.46199999999999997</v>
      </c>
      <c r="FO27" s="16">
        <f>IF(ISNA(VLOOKUP(A27,'Données projet'!$A$217:$I$237,6,0)),0%,VLOOKUP(A27,'Données projet'!$A$217:$I$237,6,0)*VLOOKUP('Données projet'!$B$16,Paramètres!$A$1:$I$89,7,0))</f>
        <v>0.126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93.531025449180788</v>
      </c>
      <c r="FR27" s="21">
        <f>EXP(-LN(2)/25)*FR26+(1-EXP(-LN(2)/25))/(LN(2)/25)*Calculateur!FM27*Calculateur!FO27*VLOOKUP('Données projet'!$B$16,Paramètres!$A$1:$I$89,3,0)*0.475*44/12</f>
        <v>25.408024953783464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118.93905040296426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21.839999999999996</v>
      </c>
      <c r="D28" s="11">
        <f t="shared" si="32"/>
        <v>7.0293584875852613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222.85118832521957</v>
      </c>
      <c r="H28" s="66">
        <f t="shared" si="1"/>
        <v>343.61413269921098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145</v>
      </c>
      <c r="L28" s="12">
        <f>VLOOKUP(A28,'Données projet'!$A$35:$I$55,9,0)</f>
        <v>11.4</v>
      </c>
      <c r="M28" s="12">
        <f t="array" ref="M28">INDEX(L:L,MIN(IF(ISNUMBER(L28:L224),ROW(L28:L224),"")))</f>
        <v>11.4</v>
      </c>
      <c r="N28" s="13">
        <f>IF('Données projet'!$A$36&gt;35,N27+M28-V27,IF(A28&lt;'Données projet'!$A$36,$K$205^A28,IF(A28='Données projet'!$A$36,'Données projet'!$B$36,N27+M28-V27)))</f>
        <v>145</v>
      </c>
      <c r="O28" s="13">
        <f>N28*VLOOKUP('Données projet'!$B$9,Paramètres!$A$1:$I$89,3,0)*VLOOKUP('Données projet'!$B$9,Paramètres!$A$1:$I$89,5,0)</f>
        <v>126.67200000000001</v>
      </c>
      <c r="P28" s="13">
        <f t="shared" si="33"/>
        <v>33.226199426361347</v>
      </c>
      <c r="Q28" s="20">
        <f t="shared" si="2"/>
        <v>278.48936400091276</v>
      </c>
      <c r="R28" s="59">
        <f t="shared" si="0"/>
        <v>571.82269733424607</v>
      </c>
      <c r="S28" s="59">
        <f ca="1">AVERAGE(OFFSET($R$3,0,0,'Données projet'!$E$9+1,1))-AVERAGE(OFFSET($H$3,0,0,'Données projet'!$E$9+1,1))</f>
        <v>252.49539407921907</v>
      </c>
      <c r="T28" s="59">
        <f t="shared" si="34"/>
        <v>263.36387286233929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31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4.0628205133333335</v>
      </c>
      <c r="AI28" s="13">
        <f>IF('Données projet'!$A$62&gt;35,AI27+AH28-AQ27,IF(A28&lt;'Données projet'!$A$62,$AF$205^A28,IF(A28='Données projet'!$A$62,'Données projet'!$B$62,AI27+AH28-AQ27)))</f>
        <v>54.738229073808903</v>
      </c>
      <c r="AJ28" s="13">
        <f>AI28*VLOOKUP('Données projet'!$B$10,Paramètres!$A$1:$I$89,3,0)*VLOOKUP('Données projet'!$B$10,Paramètres!$A$1:$I$89,5,0)</f>
        <v>49.527149665982293</v>
      </c>
      <c r="AK28" s="13">
        <f t="shared" si="35"/>
        <v>14.491576552783048</v>
      </c>
      <c r="AL28" s="20">
        <f t="shared" si="4"/>
        <v>111.49928149768296</v>
      </c>
      <c r="AM28" s="59">
        <f t="shared" si="5"/>
        <v>404.83261483101626</v>
      </c>
      <c r="AN28" s="59">
        <f ca="1">AVERAGE(OFFSET($AM$3,0,0,'Données projet'!$E$10+1,1))-AVERAGE(OFFSET($H$3,0,0,'Données projet'!$E$10+1,1))</f>
        <v>370.05613271587413</v>
      </c>
      <c r="AO28" s="59">
        <f t="shared" si="36"/>
        <v>183.24480056442525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4.0628205133333335</v>
      </c>
      <c r="BD28" s="12">
        <f>IF('Données projet'!$A$88&gt;35,BD27+BC28-BL27,IF(A28&lt;'Données projet'!$A$88,$BA$205^A28,IF(A28='Données projet'!$A$88,'Données projet'!$B$88,BD27+BC28-BL27)))</f>
        <v>54.738229073808903</v>
      </c>
      <c r="BE28" s="13">
        <f>BD28*VLOOKUP('Données projet'!$B$11,Paramètres!$A$1:$I$89,3,0)*VLOOKUP('Données projet'!$B$11,Paramètres!$A$1:$I$89,5,0)</f>
        <v>55.504564280842231</v>
      </c>
      <c r="BF28" s="13">
        <f t="shared" si="37"/>
        <v>16.02658171322895</v>
      </c>
      <c r="BG28" s="20">
        <f t="shared" si="7"/>
        <v>124.58341260634063</v>
      </c>
      <c r="BH28" s="59">
        <f t="shared" si="8"/>
        <v>417.91674593967394</v>
      </c>
      <c r="BI28" s="59">
        <f ca="1">AVERAGE(OFFSET($BH$3,0,0,'Données projet'!$E$11+1,1))-AVERAGE(OFFSET($H$3,0,0,'Données projet'!$E$11+1,1))</f>
        <v>428.72181435671394</v>
      </c>
      <c r="BJ28" s="59">
        <f t="shared" si="38"/>
        <v>211.84936043087572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165</v>
      </c>
      <c r="BW28" s="12">
        <f>VLOOKUP(A28,'Données projet'!$A$113:$I$133,9,0)</f>
        <v>16.8</v>
      </c>
      <c r="BX28" s="12">
        <f t="array" ref="BX28">INDEX(BW:BW,MIN(IF(ISNUMBER(BW28:BW224),ROW(BW28:BW224),"")))</f>
        <v>16.8</v>
      </c>
      <c r="BY28" s="12">
        <f>IF('Données projet'!$A$114&gt;35,BY27+BX28-CG27,IF(A28&lt;'Données projet'!$A$114,$BV$205^A28,IF(A28='Données projet'!$A$114,'Données projet'!$B$114,BY27+BX28-CG27)))</f>
        <v>165.00000000000003</v>
      </c>
      <c r="BZ28" s="13">
        <f>BY28*VLOOKUP('Données projet'!$B$12,Paramètres!$A$1:$I$89,3,0)*VLOOKUP('Données projet'!$B$12,Paramètres!$A$1:$I$89,5,0)</f>
        <v>131.27400000000003</v>
      </c>
      <c r="CA28" s="13">
        <f t="shared" si="39"/>
        <v>34.290576031111669</v>
      </c>
      <c r="CB28" s="20">
        <f t="shared" si="10"/>
        <v>288.35830325418618</v>
      </c>
      <c r="CC28" s="59">
        <f t="shared" si="11"/>
        <v>581.6916365875195</v>
      </c>
      <c r="CD28" s="59">
        <f ca="1">AVERAGE(OFFSET($CC$3,0,0,'Données projet'!$E$12+1,1))-AVERAGE(OFFSET($H$3,0,0,'Données projet'!$E$12+1,1))</f>
        <v>296.737543892524</v>
      </c>
      <c r="CE28" s="59">
        <f t="shared" si="40"/>
        <v>296.38358650317099</v>
      </c>
      <c r="CF28" s="15">
        <f>IF(ISNA(VLOOKUP(A28,'Données projet'!$A$113:$I$133,3,0)),0,VLOOKUP(A28,'Données projet'!$A$113:$I$133,3,0))</f>
        <v>4</v>
      </c>
      <c r="CG28" s="15">
        <f>IF(ISNA(VLOOKUP(A28,'Données projet'!$A$113:$I$133,4,0)),0,VLOOKUP(A28,'Données projet'!$A$113:$I$133,4,0))</f>
        <v>42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111</v>
      </c>
      <c r="CR28" s="12">
        <f>VLOOKUP(A28,'Données projet'!$A$139:$I$159,9,0)</f>
        <v>11</v>
      </c>
      <c r="CS28" s="12">
        <f t="array" ref="CS28">INDEX(CR:CR,MIN(IF(ISNUMBER(CR28:CR224),ROW(CR28:CR224),"")))</f>
        <v>11</v>
      </c>
      <c r="CT28" s="12">
        <f>IF('Données projet'!$A$140&gt;35,CT27+CS28-DB27,IF(A28&lt;'Données projet'!$A$140,$CQ$205^A28,IF(A28='Données projet'!$A$140,'Données projet'!$B$140,CT27+CS28-DB27)))</f>
        <v>111</v>
      </c>
      <c r="CU28" s="17">
        <f>CT28*VLOOKUP('Données projet'!$B$13,Paramètres!$A$1:$I$89,3,0)*VLOOKUP('Données projet'!$B$13,Paramètres!$A$1:$I$89,5,0)</f>
        <v>95.238000000000014</v>
      </c>
      <c r="CV28" s="13">
        <f t="shared" si="41"/>
        <v>25.824315354051141</v>
      </c>
      <c r="CW28" s="20">
        <f t="shared" si="13"/>
        <v>210.85019924163907</v>
      </c>
      <c r="CX28" s="59">
        <f t="shared" si="14"/>
        <v>504.18353257497239</v>
      </c>
      <c r="CY28" s="59">
        <f ca="1">AVERAGE(OFFSET($CX$3,0,0,'Données projet'!$E$13+1,1))-AVERAGE(OFFSET($H$3,0,0,'Données projet'!$E$13+1,1))</f>
        <v>391.93999504334352</v>
      </c>
      <c r="CZ28" s="59">
        <f t="shared" si="42"/>
        <v>215.4484906985528</v>
      </c>
      <c r="DA28" s="15">
        <f>IF(ISNA(VLOOKUP(A28,'Données projet'!$A$139:$I$159,3,0)),0,VLOOKUP(A28,'Données projet'!$A$139:$I$159,3,0))</f>
        <v>1</v>
      </c>
      <c r="DB28" s="15">
        <f>IF(ISNA(VLOOKUP(A28,'Données projet'!$A$139:$I$159,4,0)),0,VLOOKUP(A28,'Données projet'!$A$139:$I$159,4,0))</f>
        <v>26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>
        <f>VLOOKUP(A28,'Données projet'!$A$165:$I$185,2,0)</f>
        <v>165</v>
      </c>
      <c r="DM28" s="12">
        <f>VLOOKUP(A28,'Données projet'!$A$165:$I$185,9,0)</f>
        <v>16.8</v>
      </c>
      <c r="DN28" s="12">
        <f t="array" ref="DN28">INDEX(DM:DM,MIN(IF(ISNUMBER(DM28:DM224),ROW(DM28:DM224),"")))</f>
        <v>16.8</v>
      </c>
      <c r="DO28" s="12">
        <f>IF('Données projet'!$A$166&gt;35,DO27+DN28-DW27,IF(A28&lt;'Données projet'!$A$166,$DL$205^A28,IF(A28='Données projet'!$A$166,'Données projet'!$B$166,DO27+DN28-DW27)))</f>
        <v>165.00000000000003</v>
      </c>
      <c r="DP28" s="17">
        <f>DO28*VLOOKUP('Données projet'!$B$14,Paramètres!$A$1:$I$89,3,0)*VLOOKUP('Données projet'!$B$14,Paramètres!$A$1:$I$89,5,0)</f>
        <v>120.97800000000002</v>
      </c>
      <c r="DQ28" s="13">
        <f t="shared" si="43"/>
        <v>31.902993864447531</v>
      </c>
      <c r="DR28" s="20">
        <f t="shared" si="16"/>
        <v>266.26773098057953</v>
      </c>
      <c r="DS28" s="59">
        <f t="shared" si="17"/>
        <v>559.60106431391284</v>
      </c>
      <c r="DT28" s="59">
        <f ca="1">AVERAGE(OFFSET($DS$3,0,0,'Données projet'!$E$14+1,1))-AVERAGE(OFFSET($H$3,0,0,'Données projet'!$E$14+1,1))</f>
        <v>267.92147257573157</v>
      </c>
      <c r="DU28" s="59">
        <f t="shared" si="44"/>
        <v>269.06662611892438</v>
      </c>
      <c r="DV28" s="15">
        <f>IF(ISNA(VLOOKUP(A28,'Données projet'!$A$165:$I$185,3,0)),0,VLOOKUP(A28,'Données projet'!$A$165:$I$185,3,0))</f>
        <v>4</v>
      </c>
      <c r="DW28" s="15">
        <f>IF(ISNA(VLOOKUP(A28,'Données projet'!$A$165:$I$185,4,0)),0,VLOOKUP(A28,'Données projet'!$A$165:$I$185,4,0))</f>
        <v>42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28.819999999999993</v>
      </c>
      <c r="EJ28" s="12">
        <f>IF('Données projet'!$A$192&gt;35,EJ27+EI28-ER27,IF(A28&lt;'Données projet'!$A$192,$EG$205^A28,IF(A28='Données projet'!$A$192,'Données projet'!$B$192,EJ27+EI28-ER27)))</f>
        <v>266.59000000000003</v>
      </c>
      <c r="EK28" s="17">
        <f>EJ28*VLOOKUP('Données projet'!$B$15,Paramètres!$A$1:$I$89,3,0)*VLOOKUP('Données projet'!$B$15,Paramètres!$A$1:$I$89,5,0)</f>
        <v>149.02381000000003</v>
      </c>
      <c r="EL28" s="13">
        <f t="shared" si="45"/>
        <v>38.356658710715394</v>
      </c>
      <c r="EM28" s="20">
        <f t="shared" si="19"/>
        <v>326.3543163378294</v>
      </c>
      <c r="EN28" s="59">
        <f t="shared" si="20"/>
        <v>619.68764967116272</v>
      </c>
      <c r="EO28" s="59">
        <f ca="1">AVERAGE(OFFSET($EN$3,0,0,'Données projet'!$E$15+1,1))-AVERAGE(OFFSET($H$3,0,0,'Données projet'!$E$15+1,1))</f>
        <v>326.29985515186428</v>
      </c>
      <c r="EP28" s="59">
        <f t="shared" si="46"/>
        <v>437.68177084535927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20.306118372544891</v>
      </c>
      <c r="EX28" s="21">
        <f>EXP(-LN(2)/2)*EX27+(1-EXP(-LN(2)/2))/(LN(2)/2)*ER28*EU28*VLOOKUP('Données projet'!$B$15,Paramètres!$A$1:$I$89,3,0)*0.475*44/12</f>
        <v>4.1856225891156189</v>
      </c>
      <c r="EY28" s="22">
        <f t="shared" si="21"/>
        <v>24.491740961660511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1.7053025658242404E-13</v>
      </c>
      <c r="FF28" s="17">
        <f>FE28*VLOOKUP('Données projet'!$B$16,Paramètres!$A$1:$I$89,3,0)*VLOOKUP('Données projet'!$B$16,Paramètres!$A$1:$I$89,5,0)</f>
        <v>9.7631982498569413E-14</v>
      </c>
      <c r="FG28" s="13">
        <f t="shared" si="47"/>
        <v>1.4708068762530911E-12</v>
      </c>
      <c r="FH28" s="20">
        <f t="shared" si="22"/>
        <v>2.7316976789924749E-12</v>
      </c>
      <c r="FI28" s="59">
        <f t="shared" si="23"/>
        <v>293.33333333333604</v>
      </c>
      <c r="FJ28" s="59">
        <f ca="1">AVERAGE(OFFSET($FI$3,0,0,'Données projet'!$E$16+1,1))-AVERAGE(OFFSET($H$3,0,0,'Données projet'!$E$16+1,1))</f>
        <v>211.14768428403215</v>
      </c>
      <c r="FK28" s="59">
        <f t="shared" si="48"/>
        <v>350.7800157534798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91.696939088414823</v>
      </c>
      <c r="FR28" s="21">
        <f>EXP(-LN(2)/25)*FR27+(1-EXP(-LN(2)/25))/(LN(2)/25)*Calculateur!FM28*Calculateur!FO28*VLOOKUP('Données projet'!$B$16,Paramètres!$A$1:$I$89,3,0)*0.475*44/12</f>
        <v>24.713241175272294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116.41018026368712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22.713599999999996</v>
      </c>
      <c r="D29" s="11">
        <f t="shared" si="32"/>
        <v>7.2772341841187966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231.50819370196962</v>
      </c>
      <c r="H29" s="66">
        <f t="shared" si="1"/>
        <v>345.5673695373402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11</v>
      </c>
      <c r="N29" s="13">
        <f>IF('Données projet'!$A$36&gt;35,N28+M29-V28,IF(A29&lt;'Données projet'!$A$36,$K$205^A29,IF(A29='Données projet'!$A$36,'Données projet'!$B$36,N28+M29-V28)))</f>
        <v>125</v>
      </c>
      <c r="O29" s="13">
        <f>N29*VLOOKUP('Données projet'!$B$9,Paramètres!$A$1:$I$89,3,0)*VLOOKUP('Données projet'!$B$9,Paramètres!$A$1:$I$89,5,0)</f>
        <v>109.2</v>
      </c>
      <c r="P29" s="13">
        <f t="shared" si="33"/>
        <v>29.142418334948612</v>
      </c>
      <c r="Q29" s="20">
        <f t="shared" si="2"/>
        <v>240.94637860003544</v>
      </c>
      <c r="R29" s="59">
        <f t="shared" si="0"/>
        <v>534.27971193336873</v>
      </c>
      <c r="S29" s="59">
        <f ca="1">AVERAGE(OFFSET($R$3,0,0,'Données projet'!$E$9+1,1))-AVERAGE(OFFSET($H$3,0,0,'Données projet'!$E$9+1,1))</f>
        <v>252.49539407921907</v>
      </c>
      <c r="T29" s="59">
        <f t="shared" si="34"/>
        <v>263.36387286233929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4.0628205133333335</v>
      </c>
      <c r="AI29" s="13">
        <f>IF('Données projet'!$A$62&gt;35,AI28+AH29-AQ28,IF(A29&lt;'Données projet'!$A$62,$AF$205^A29,IF(A29='Données projet'!$A$62,'Données projet'!$B$62,AI28+AH29-AQ28)))</f>
        <v>64.242491013250699</v>
      </c>
      <c r="AJ29" s="13">
        <f>AI29*VLOOKUP('Données projet'!$B$10,Paramètres!$A$1:$I$89,3,0)*VLOOKUP('Données projet'!$B$10,Paramètres!$A$1:$I$89,5,0)</f>
        <v>58.126605868789227</v>
      </c>
      <c r="AK29" s="13">
        <f t="shared" si="35"/>
        <v>16.693745310788277</v>
      </c>
      <c r="AL29" s="20">
        <f t="shared" si="4"/>
        <v>130.31211163776413</v>
      </c>
      <c r="AM29" s="59">
        <f t="shared" si="5"/>
        <v>423.64544497109745</v>
      </c>
      <c r="AN29" s="59">
        <f ca="1">AVERAGE(OFFSET($AM$3,0,0,'Données projet'!$E$10+1,1))-AVERAGE(OFFSET($H$3,0,0,'Données projet'!$E$10+1,1))</f>
        <v>370.05613271587413</v>
      </c>
      <c r="AO29" s="59">
        <f t="shared" si="36"/>
        <v>183.24480056442525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4.0628205133333335</v>
      </c>
      <c r="BD29" s="12">
        <f>IF('Données projet'!$A$88&gt;35,BD28+BC29-BL28,IF(A29&lt;'Données projet'!$A$88,$BA$205^A29,IF(A29='Données projet'!$A$88,'Données projet'!$B$88,BD28+BC29-BL28)))</f>
        <v>64.242491013250699</v>
      </c>
      <c r="BE29" s="13">
        <f>BD29*VLOOKUP('Données projet'!$B$11,Paramètres!$A$1:$I$89,3,0)*VLOOKUP('Données projet'!$B$11,Paramètres!$A$1:$I$89,5,0)</f>
        <v>65.141885887436217</v>
      </c>
      <c r="BF29" s="13">
        <f t="shared" si="37"/>
        <v>18.462012904441391</v>
      </c>
      <c r="BG29" s="20">
        <f t="shared" si="7"/>
        <v>145.61012372918682</v>
      </c>
      <c r="BH29" s="59">
        <f t="shared" si="8"/>
        <v>438.94345706252011</v>
      </c>
      <c r="BI29" s="59">
        <f ca="1">AVERAGE(OFFSET($BH$3,0,0,'Données projet'!$E$11+1,1))-AVERAGE(OFFSET($H$3,0,0,'Données projet'!$E$11+1,1))</f>
        <v>428.72181435671394</v>
      </c>
      <c r="BJ29" s="59">
        <f t="shared" si="38"/>
        <v>211.84936043087572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16.399999999999999</v>
      </c>
      <c r="BY29" s="12">
        <f>IF('Données projet'!$A$114&gt;35,BY28+BX29-CG28,IF(A29&lt;'Données projet'!$A$114,$BV$205^A29,IF(A29='Données projet'!$A$114,'Données projet'!$B$114,BY28+BX29-CG28)))</f>
        <v>139.40000000000003</v>
      </c>
      <c r="BZ29" s="13">
        <f>BY29*VLOOKUP('Données projet'!$B$12,Paramètres!$A$1:$I$89,3,0)*VLOOKUP('Données projet'!$B$12,Paramètres!$A$1:$I$89,5,0)</f>
        <v>110.90664000000004</v>
      </c>
      <c r="CA29" s="13">
        <f t="shared" si="39"/>
        <v>29.544493872672952</v>
      </c>
      <c r="CB29" s="20">
        <f t="shared" si="10"/>
        <v>244.6190581615721</v>
      </c>
      <c r="CC29" s="59">
        <f t="shared" si="11"/>
        <v>537.95239149490544</v>
      </c>
      <c r="CD29" s="59">
        <f ca="1">AVERAGE(OFFSET($CC$3,0,0,'Données projet'!$E$12+1,1))-AVERAGE(OFFSET($H$3,0,0,'Données projet'!$E$12+1,1))</f>
        <v>296.737543892524</v>
      </c>
      <c r="CE29" s="59">
        <f t="shared" si="40"/>
        <v>296.38358650317099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12.2</v>
      </c>
      <c r="CT29" s="12">
        <f>IF('Données projet'!$A$140&gt;35,CT28+CS29-DB28,IF(A29&lt;'Données projet'!$A$140,$CQ$205^A29,IF(A29='Données projet'!$A$140,'Données projet'!$B$140,CT28+CS29-DB28)))</f>
        <v>97.2</v>
      </c>
      <c r="CU29" s="17">
        <f>CT29*VLOOKUP('Données projet'!$B$13,Paramètres!$A$1:$I$89,3,0)*VLOOKUP('Données projet'!$B$13,Paramètres!$A$1:$I$89,5,0)</f>
        <v>83.397600000000011</v>
      </c>
      <c r="CV29" s="13">
        <f t="shared" si="41"/>
        <v>22.965893371329315</v>
      </c>
      <c r="CW29" s="20">
        <f t="shared" si="13"/>
        <v>185.24975095506522</v>
      </c>
      <c r="CX29" s="59">
        <f t="shared" si="14"/>
        <v>478.58308428839854</v>
      </c>
      <c r="CY29" s="59">
        <f ca="1">AVERAGE(OFFSET($CX$3,0,0,'Données projet'!$E$13+1,1))-AVERAGE(OFFSET($H$3,0,0,'Données projet'!$E$13+1,1))</f>
        <v>391.93999504334352</v>
      </c>
      <c r="CZ29" s="59">
        <f t="shared" si="42"/>
        <v>215.4484906985528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16.399999999999999</v>
      </c>
      <c r="DO29" s="12">
        <f>IF('Données projet'!$A$166&gt;35,DO28+DN29-DW28,IF(A29&lt;'Données projet'!$A$166,$DL$205^A29,IF(A29='Données projet'!$A$166,'Données projet'!$B$166,DO28+DN29-DW28)))</f>
        <v>139.40000000000003</v>
      </c>
      <c r="DP29" s="17">
        <f>DO29*VLOOKUP('Données projet'!$B$14,Paramètres!$A$1:$I$89,3,0)*VLOOKUP('Données projet'!$B$14,Paramètres!$A$1:$I$89,5,0)</f>
        <v>102.20808000000002</v>
      </c>
      <c r="DQ29" s="13">
        <f t="shared" si="43"/>
        <v>27.487371629246301</v>
      </c>
      <c r="DR29" s="20">
        <f t="shared" si="16"/>
        <v>225.88624492093732</v>
      </c>
      <c r="DS29" s="59">
        <f t="shared" si="17"/>
        <v>519.21957825427057</v>
      </c>
      <c r="DT29" s="59">
        <f ca="1">AVERAGE(OFFSET($DS$3,0,0,'Données projet'!$E$14+1,1))-AVERAGE(OFFSET($H$3,0,0,'Données projet'!$E$14+1,1))</f>
        <v>267.92147257573157</v>
      </c>
      <c r="DU29" s="59">
        <f t="shared" si="44"/>
        <v>269.06662611892438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28.819999999999993</v>
      </c>
      <c r="EJ29" s="12">
        <f>IF('Données projet'!$A$192&gt;35,EJ28+EI29-ER28,IF(A29&lt;'Données projet'!$A$192,$EG$205^A29,IF(A29='Données projet'!$A$192,'Données projet'!$B$192,EJ28+EI29-ER28)))</f>
        <v>295.41000000000003</v>
      </c>
      <c r="EK29" s="17">
        <f>EJ29*VLOOKUP('Données projet'!$B$15,Paramètres!$A$1:$I$89,3,0)*VLOOKUP('Données projet'!$B$15,Paramètres!$A$1:$I$89,5,0)</f>
        <v>165.13419000000002</v>
      </c>
      <c r="EL29" s="13">
        <f t="shared" si="45"/>
        <v>41.998408993833188</v>
      </c>
      <c r="EM29" s="20">
        <f t="shared" si="19"/>
        <v>360.75594324759282</v>
      </c>
      <c r="EN29" s="59">
        <f t="shared" si="20"/>
        <v>654.08927658092614</v>
      </c>
      <c r="EO29" s="59">
        <f ca="1">AVERAGE(OFFSET($EN$3,0,0,'Données projet'!$E$15+1,1))-AVERAGE(OFFSET($H$3,0,0,'Données projet'!$E$15+1,1))</f>
        <v>326.29985515186428</v>
      </c>
      <c r="EP29" s="59">
        <f t="shared" si="46"/>
        <v>437.68177084535927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19.750846497795294</v>
      </c>
      <c r="EX29" s="21">
        <f>EXP(-LN(2)/2)*EX28+(1-EXP(-LN(2)/2))/(LN(2)/2)*ER29*EU29*VLOOKUP('Données projet'!$B$15,Paramètres!$A$1:$I$89,3,0)*0.475*44/12</f>
        <v>2.9596821162512486</v>
      </c>
      <c r="EY29" s="22">
        <f t="shared" si="21"/>
        <v>22.710528614046542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1.7053025658242404E-13</v>
      </c>
      <c r="FF29" s="17">
        <f>FE29*VLOOKUP('Données projet'!$B$16,Paramètres!$A$1:$I$89,3,0)*VLOOKUP('Données projet'!$B$16,Paramètres!$A$1:$I$89,5,0)</f>
        <v>9.7631982498569413E-14</v>
      </c>
      <c r="FG29" s="13">
        <f t="shared" si="47"/>
        <v>1.4708068762530911E-12</v>
      </c>
      <c r="FH29" s="20">
        <f t="shared" si="22"/>
        <v>2.7316976789924749E-12</v>
      </c>
      <c r="FI29" s="59">
        <f t="shared" si="23"/>
        <v>293.33333333333604</v>
      </c>
      <c r="FJ29" s="59">
        <f ca="1">AVERAGE(OFFSET($FI$3,0,0,'Données projet'!$E$16+1,1))-AVERAGE(OFFSET($H$3,0,0,'Données projet'!$E$16+1,1))</f>
        <v>211.14768428403215</v>
      </c>
      <c r="FK29" s="59">
        <f t="shared" si="48"/>
        <v>350.7800157534798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89.898818042501262</v>
      </c>
      <c r="FR29" s="21">
        <f>EXP(-LN(2)/25)*FR28+(1-EXP(-LN(2)/25))/(LN(2)/25)*Calculateur!FM29*Calculateur!FO29*VLOOKUP('Données projet'!$B$16,Paramètres!$A$1:$I$89,3,0)*0.475*44/12</f>
        <v>24.037456295721604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113.93627433822286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23.587199999999996</v>
      </c>
      <c r="D30" s="11">
        <f t="shared" si="32"/>
        <v>7.5240023521814967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240.15664973613787</v>
      </c>
      <c r="H30" s="66">
        <f t="shared" si="1"/>
        <v>347.51867743004942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11</v>
      </c>
      <c r="N30" s="13">
        <f>IF('Données projet'!$A$36&gt;35,N29+M30-V29,IF(A30&lt;'Données projet'!$A$36,$K$205^A30,IF(A30='Données projet'!$A$36,'Données projet'!$B$36,N29+M30-V29)))</f>
        <v>136</v>
      </c>
      <c r="O30" s="13">
        <f>N30*VLOOKUP('Données projet'!$B$9,Paramètres!$A$1:$I$89,3,0)*VLOOKUP('Données projet'!$B$9,Paramètres!$A$1:$I$89,5,0)</f>
        <v>118.80960000000002</v>
      </c>
      <c r="P30" s="13">
        <f t="shared" si="33"/>
        <v>31.39719715333722</v>
      </c>
      <c r="Q30" s="20">
        <f t="shared" si="2"/>
        <v>261.61017170872901</v>
      </c>
      <c r="R30" s="59">
        <f t="shared" si="0"/>
        <v>554.94350504206227</v>
      </c>
      <c r="S30" s="59">
        <f ca="1">AVERAGE(OFFSET($R$3,0,0,'Données projet'!$E$9+1,1))-AVERAGE(OFFSET($H$3,0,0,'Données projet'!$E$9+1,1))</f>
        <v>252.49539407921907</v>
      </c>
      <c r="T30" s="59">
        <f t="shared" si="34"/>
        <v>263.36387286233929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4.0628205133333335</v>
      </c>
      <c r="AI30" s="13">
        <f>IF('Données projet'!$A$62&gt;35,AI29+AH30-AQ29,IF(A30&lt;'Données projet'!$A$62,$AF$205^A30,IF(A30='Données projet'!$A$62,'Données projet'!$B$62,AI29+AH30-AQ29)))</f>
        <v>75.396988931129442</v>
      </c>
      <c r="AJ30" s="13">
        <f>AI30*VLOOKUP('Données projet'!$B$10,Paramètres!$A$1:$I$89,3,0)*VLOOKUP('Données projet'!$B$10,Paramètres!$A$1:$I$89,5,0)</f>
        <v>68.21919558488591</v>
      </c>
      <c r="AK30" s="13">
        <f t="shared" si="35"/>
        <v>19.230560007492496</v>
      </c>
      <c r="AL30" s="20">
        <f t="shared" si="4"/>
        <v>152.30832432339238</v>
      </c>
      <c r="AM30" s="59">
        <f t="shared" si="5"/>
        <v>445.64165765672567</v>
      </c>
      <c r="AN30" s="59">
        <f ca="1">AVERAGE(OFFSET($AM$3,0,0,'Données projet'!$E$10+1,1))-AVERAGE(OFFSET($H$3,0,0,'Données projet'!$E$10+1,1))</f>
        <v>370.05613271587413</v>
      </c>
      <c r="AO30" s="59">
        <f t="shared" si="36"/>
        <v>183.24480056442525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4.0628205133333335</v>
      </c>
      <c r="BD30" s="12">
        <f>IF('Données projet'!$A$88&gt;35,BD29+BC30-BL29,IF(A30&lt;'Données projet'!$A$88,$BA$205^A30,IF(A30='Données projet'!$A$88,'Données projet'!$B$88,BD29+BC30-BL29)))</f>
        <v>75.396988931129442</v>
      </c>
      <c r="BE30" s="13">
        <f>BD30*VLOOKUP('Données projet'!$B$11,Paramètres!$A$1:$I$89,3,0)*VLOOKUP('Données projet'!$B$11,Paramètres!$A$1:$I$89,5,0)</f>
        <v>76.452546776165264</v>
      </c>
      <c r="BF30" s="13">
        <f t="shared" si="37"/>
        <v>21.267537057039007</v>
      </c>
      <c r="BG30" s="20">
        <f t="shared" si="7"/>
        <v>170.19581267616408</v>
      </c>
      <c r="BH30" s="59">
        <f t="shared" si="8"/>
        <v>463.52914600949737</v>
      </c>
      <c r="BI30" s="59">
        <f ca="1">AVERAGE(OFFSET($BH$3,0,0,'Données projet'!$E$11+1,1))-AVERAGE(OFFSET($H$3,0,0,'Données projet'!$E$11+1,1))</f>
        <v>428.72181435671394</v>
      </c>
      <c r="BJ30" s="59">
        <f t="shared" si="38"/>
        <v>211.84936043087572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16.399999999999999</v>
      </c>
      <c r="BY30" s="12">
        <f>IF('Données projet'!$A$114&gt;35,BY29+BX30-CG29,IF(A30&lt;'Données projet'!$A$114,$BV$205^A30,IF(A30='Données projet'!$A$114,'Données projet'!$B$114,BY29+BX30-CG29)))</f>
        <v>155.80000000000004</v>
      </c>
      <c r="BZ30" s="13">
        <f>BY30*VLOOKUP('Données projet'!$B$12,Paramètres!$A$1:$I$89,3,0)*VLOOKUP('Données projet'!$B$12,Paramètres!$A$1:$I$89,5,0)</f>
        <v>123.95448000000005</v>
      </c>
      <c r="CA30" s="13">
        <f t="shared" si="39"/>
        <v>32.595569202682604</v>
      </c>
      <c r="CB30" s="20">
        <f t="shared" si="10"/>
        <v>272.65800236133896</v>
      </c>
      <c r="CC30" s="59">
        <f t="shared" si="11"/>
        <v>565.99133569467222</v>
      </c>
      <c r="CD30" s="59">
        <f ca="1">AVERAGE(OFFSET($CC$3,0,0,'Données projet'!$E$12+1,1))-AVERAGE(OFFSET($H$3,0,0,'Données projet'!$E$12+1,1))</f>
        <v>296.737543892524</v>
      </c>
      <c r="CE30" s="59">
        <f t="shared" si="40"/>
        <v>296.38358650317099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12.2</v>
      </c>
      <c r="CT30" s="12">
        <f>IF('Données projet'!$A$140&gt;35,CT29+CS30-DB29,IF(A30&lt;'Données projet'!$A$140,$CQ$205^A30,IF(A30='Données projet'!$A$140,'Données projet'!$B$140,CT29+CS30-DB29)))</f>
        <v>109.4</v>
      </c>
      <c r="CU30" s="17">
        <f>CT30*VLOOKUP('Données projet'!$B$13,Paramètres!$A$1:$I$89,3,0)*VLOOKUP('Données projet'!$B$13,Paramètres!$A$1:$I$89,5,0)</f>
        <v>93.865200000000016</v>
      </c>
      <c r="CV30" s="13">
        <f t="shared" si="41"/>
        <v>25.495124560846406</v>
      </c>
      <c r="CW30" s="20">
        <f t="shared" si="13"/>
        <v>207.88589861014086</v>
      </c>
      <c r="CX30" s="59">
        <f t="shared" si="14"/>
        <v>501.21923194347414</v>
      </c>
      <c r="CY30" s="59">
        <f ca="1">AVERAGE(OFFSET($CX$3,0,0,'Données projet'!$E$13+1,1))-AVERAGE(OFFSET($H$3,0,0,'Données projet'!$E$13+1,1))</f>
        <v>391.93999504334352</v>
      </c>
      <c r="CZ30" s="59">
        <f t="shared" si="42"/>
        <v>215.4484906985528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16.399999999999999</v>
      </c>
      <c r="DO30" s="12">
        <f>IF('Données projet'!$A$166&gt;35,DO29+DN30-DW29,IF(A30&lt;'Données projet'!$A$166,$DL$205^A30,IF(A30='Données projet'!$A$166,'Données projet'!$B$166,DO29+DN30-DW29)))</f>
        <v>155.80000000000004</v>
      </c>
      <c r="DP30" s="17">
        <f>DO30*VLOOKUP('Données projet'!$B$14,Paramètres!$A$1:$I$89,3,0)*VLOOKUP('Données projet'!$B$14,Paramètres!$A$1:$I$89,5,0)</f>
        <v>114.23256000000002</v>
      </c>
      <c r="DQ30" s="13">
        <f t="shared" si="43"/>
        <v>30.326006869580301</v>
      </c>
      <c r="DR30" s="20">
        <f t="shared" si="16"/>
        <v>251.77283729785236</v>
      </c>
      <c r="DS30" s="59">
        <f t="shared" si="17"/>
        <v>545.10617063118571</v>
      </c>
      <c r="DT30" s="59">
        <f ca="1">AVERAGE(OFFSET($DS$3,0,0,'Données projet'!$E$14+1,1))-AVERAGE(OFFSET($H$3,0,0,'Données projet'!$E$14+1,1))</f>
        <v>267.92147257573157</v>
      </c>
      <c r="DU30" s="59">
        <f t="shared" si="44"/>
        <v>269.06662611892438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28.819999999999993</v>
      </c>
      <c r="EJ30" s="12">
        <f>IF('Données projet'!$A$192&gt;35,EJ29+EI30-ER29,IF(A30&lt;'Données projet'!$A$192,$EG$205^A30,IF(A30='Données projet'!$A$192,'Données projet'!$B$192,EJ29+EI30-ER29)))</f>
        <v>324.23</v>
      </c>
      <c r="EK30" s="17">
        <f>EJ30*VLOOKUP('Données projet'!$B$15,Paramètres!$A$1:$I$89,3,0)*VLOOKUP('Données projet'!$B$15,Paramètres!$A$1:$I$89,5,0)</f>
        <v>181.24457000000001</v>
      </c>
      <c r="EL30" s="13">
        <f t="shared" si="45"/>
        <v>45.598968922238527</v>
      </c>
      <c r="EM30" s="20">
        <f t="shared" si="19"/>
        <v>395.08583028956542</v>
      </c>
      <c r="EN30" s="59">
        <f t="shared" si="20"/>
        <v>688.41916362289874</v>
      </c>
      <c r="EO30" s="59">
        <f ca="1">AVERAGE(OFFSET($EN$3,0,0,'Données projet'!$E$15+1,1))-AVERAGE(OFFSET($H$3,0,0,'Données projet'!$E$15+1,1))</f>
        <v>326.29985515186428</v>
      </c>
      <c r="EP30" s="59">
        <f t="shared" si="46"/>
        <v>437.68177084535927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19.210758561661205</v>
      </c>
      <c r="EX30" s="21">
        <f>EXP(-LN(2)/2)*EX29+(1-EXP(-LN(2)/2))/(LN(2)/2)*ER30*EU30*VLOOKUP('Données projet'!$B$15,Paramètres!$A$1:$I$89,3,0)*0.475*44/12</f>
        <v>2.0928112945578095</v>
      </c>
      <c r="EY30" s="22">
        <f t="shared" si="21"/>
        <v>21.303569856219013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1.7053025658242404E-13</v>
      </c>
      <c r="FF30" s="17">
        <f>FE30*VLOOKUP('Données projet'!$B$16,Paramètres!$A$1:$I$89,3,0)*VLOOKUP('Données projet'!$B$16,Paramètres!$A$1:$I$89,5,0)</f>
        <v>9.7631982498569413E-14</v>
      </c>
      <c r="FG30" s="13">
        <f t="shared" si="47"/>
        <v>1.4708068762530911E-12</v>
      </c>
      <c r="FH30" s="20">
        <f t="shared" si="22"/>
        <v>2.7316976789924749E-12</v>
      </c>
      <c r="FI30" s="59">
        <f t="shared" si="23"/>
        <v>293.33333333333604</v>
      </c>
      <c r="FJ30" s="59">
        <f ca="1">AVERAGE(OFFSET($FI$3,0,0,'Données projet'!$E$16+1,1))-AVERAGE(OFFSET($H$3,0,0,'Données projet'!$E$16+1,1))</f>
        <v>211.14768428403215</v>
      </c>
      <c r="FK30" s="59">
        <f t="shared" si="48"/>
        <v>350.7800157534798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88.135957053552517</v>
      </c>
      <c r="FR30" s="21">
        <f>EXP(-LN(2)/25)*FR29+(1-EXP(-LN(2)/25))/(LN(2)/25)*Calculateur!FM30*Calculateur!FO30*VLOOKUP('Données projet'!$B$16,Paramètres!$A$1:$I$89,3,0)*0.475*44/12</f>
        <v>23.380150789240208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111.51610784279272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24.460799999999995</v>
      </c>
      <c r="D31" s="11">
        <f t="shared" si="32"/>
        <v>7.7697087087225771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248.79690933049005</v>
      </c>
      <c r="H31" s="66">
        <f t="shared" si="1"/>
        <v>349.46813600102513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11</v>
      </c>
      <c r="N31" s="13">
        <f>IF('Données projet'!$A$36&gt;35,N30+M31-V30,IF(A31&lt;'Données projet'!$A$36,$K$205^A31,IF(A31='Données projet'!$A$36,'Données projet'!$B$36,N30+M31-V30)))</f>
        <v>147</v>
      </c>
      <c r="O31" s="13">
        <f>N31*VLOOKUP('Données projet'!$B$9,Paramètres!$A$1:$I$89,3,0)*VLOOKUP('Données projet'!$B$9,Paramètres!$A$1:$I$89,5,0)</f>
        <v>128.41920000000002</v>
      </c>
      <c r="P31" s="13">
        <f t="shared" si="33"/>
        <v>33.630823177860762</v>
      </c>
      <c r="Q31" s="20">
        <f t="shared" si="2"/>
        <v>282.23712370144091</v>
      </c>
      <c r="R31" s="59">
        <f t="shared" si="0"/>
        <v>575.57045703477422</v>
      </c>
      <c r="S31" s="59">
        <f ca="1">AVERAGE(OFFSET($R$3,0,0,'Données projet'!$E$9+1,1))-AVERAGE(OFFSET($H$3,0,0,'Données projet'!$E$9+1,1))</f>
        <v>252.49539407921907</v>
      </c>
      <c r="T31" s="59">
        <f t="shared" si="34"/>
        <v>263.36387286233929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4.0628205133333335</v>
      </c>
      <c r="AI31" s="13">
        <f>IF('Données projet'!$A$62&gt;35,AI30+AH31-AQ30,IF(A31&lt;'Données projet'!$A$62,$AF$205^A31,IF(A31='Données projet'!$A$62,'Données projet'!$B$62,AI30+AH31-AQ30)))</f>
        <v>88.488255206485093</v>
      </c>
      <c r="AJ31" s="13">
        <f>AI31*VLOOKUP('Données projet'!$B$10,Paramètres!$A$1:$I$89,3,0)*VLOOKUP('Données projet'!$B$10,Paramètres!$A$1:$I$89,5,0)</f>
        <v>80.064173310827712</v>
      </c>
      <c r="AK31" s="13">
        <f t="shared" si="35"/>
        <v>22.15287410445745</v>
      </c>
      <c r="AL31" s="20">
        <f t="shared" si="4"/>
        <v>178.02802424828835</v>
      </c>
      <c r="AM31" s="59">
        <f t="shared" si="5"/>
        <v>471.36135758162163</v>
      </c>
      <c r="AN31" s="59">
        <f ca="1">AVERAGE(OFFSET($AM$3,0,0,'Données projet'!$E$10+1,1))-AVERAGE(OFFSET($H$3,0,0,'Données projet'!$E$10+1,1))</f>
        <v>370.05613271587413</v>
      </c>
      <c r="AO31" s="59">
        <f t="shared" si="36"/>
        <v>183.24480056442525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4.0628205133333335</v>
      </c>
      <c r="BD31" s="12">
        <f>IF('Données projet'!$A$88&gt;35,BD30+BC31-BL30,IF(A31&lt;'Données projet'!$A$88,$BA$205^A31,IF(A31='Données projet'!$A$88,'Données projet'!$B$88,BD30+BC31-BL30)))</f>
        <v>88.488255206485093</v>
      </c>
      <c r="BE31" s="13">
        <f>BD31*VLOOKUP('Données projet'!$B$11,Paramètres!$A$1:$I$89,3,0)*VLOOKUP('Données projet'!$B$11,Paramètres!$A$1:$I$89,5,0)</f>
        <v>89.727090779375885</v>
      </c>
      <c r="BF31" s="13">
        <f t="shared" si="37"/>
        <v>24.499394232560416</v>
      </c>
      <c r="BG31" s="20">
        <f t="shared" si="7"/>
        <v>198.94446139578906</v>
      </c>
      <c r="BH31" s="59">
        <f t="shared" si="8"/>
        <v>492.27779472912238</v>
      </c>
      <c r="BI31" s="59">
        <f ca="1">AVERAGE(OFFSET($BH$3,0,0,'Données projet'!$E$11+1,1))-AVERAGE(OFFSET($H$3,0,0,'Données projet'!$E$11+1,1))</f>
        <v>428.72181435671394</v>
      </c>
      <c r="BJ31" s="59">
        <f t="shared" si="38"/>
        <v>211.84936043087572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16.399999999999999</v>
      </c>
      <c r="BY31" s="12">
        <f>IF('Données projet'!$A$114&gt;35,BY30+BX31-CG30,IF(A31&lt;'Données projet'!$A$114,$BV$205^A31,IF(A31='Données projet'!$A$114,'Données projet'!$B$114,BY30+BX31-CG30)))</f>
        <v>172.20000000000005</v>
      </c>
      <c r="BZ31" s="13">
        <f>BY31*VLOOKUP('Données projet'!$B$12,Paramètres!$A$1:$I$89,3,0)*VLOOKUP('Données projet'!$B$12,Paramètres!$A$1:$I$89,5,0)</f>
        <v>137.00232000000005</v>
      </c>
      <c r="CA31" s="13">
        <f t="shared" si="39"/>
        <v>35.609416420931346</v>
      </c>
      <c r="CB31" s="20">
        <f t="shared" si="10"/>
        <v>300.63210759978887</v>
      </c>
      <c r="CC31" s="59">
        <f t="shared" si="11"/>
        <v>593.96544093312218</v>
      </c>
      <c r="CD31" s="59">
        <f ca="1">AVERAGE(OFFSET($CC$3,0,0,'Données projet'!$E$12+1,1))-AVERAGE(OFFSET($H$3,0,0,'Données projet'!$E$12+1,1))</f>
        <v>296.737543892524</v>
      </c>
      <c r="CE31" s="59">
        <f t="shared" si="40"/>
        <v>296.38358650317099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12.2</v>
      </c>
      <c r="CT31" s="12">
        <f>IF('Données projet'!$A$140&gt;35,CT30+CS31-DB30,IF(A31&lt;'Données projet'!$A$140,$CQ$205^A31,IF(A31='Données projet'!$A$140,'Données projet'!$B$140,CT30+CS31-DB30)))</f>
        <v>121.60000000000001</v>
      </c>
      <c r="CU31" s="17">
        <f>CT31*VLOOKUP('Données projet'!$B$13,Paramètres!$A$1:$I$89,3,0)*VLOOKUP('Données projet'!$B$13,Paramètres!$A$1:$I$89,5,0)</f>
        <v>104.33280000000002</v>
      </c>
      <c r="CV31" s="13">
        <f t="shared" si="41"/>
        <v>27.991665469945552</v>
      </c>
      <c r="CW31" s="20">
        <f t="shared" si="13"/>
        <v>230.46511069348855</v>
      </c>
      <c r="CX31" s="59">
        <f t="shared" si="14"/>
        <v>523.79844402682193</v>
      </c>
      <c r="CY31" s="59">
        <f ca="1">AVERAGE(OFFSET($CX$3,0,0,'Données projet'!$E$13+1,1))-AVERAGE(OFFSET($H$3,0,0,'Données projet'!$E$13+1,1))</f>
        <v>391.93999504334352</v>
      </c>
      <c r="CZ31" s="59">
        <f t="shared" si="42"/>
        <v>215.4484906985528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16.399999999999999</v>
      </c>
      <c r="DO31" s="12">
        <f>IF('Données projet'!$A$166&gt;35,DO30+DN31-DW30,IF(A31&lt;'Données projet'!$A$166,$DL$205^A31,IF(A31='Données projet'!$A$166,'Données projet'!$B$166,DO30+DN31-DW30)))</f>
        <v>172.20000000000005</v>
      </c>
      <c r="DP31" s="17">
        <f>DO31*VLOOKUP('Données projet'!$B$14,Paramètres!$A$1:$I$89,3,0)*VLOOKUP('Données projet'!$B$14,Paramètres!$A$1:$I$89,5,0)</f>
        <v>126.25704000000002</v>
      </c>
      <c r="DQ31" s="13">
        <f t="shared" si="43"/>
        <v>33.130006114881255</v>
      </c>
      <c r="DR31" s="20">
        <f t="shared" si="16"/>
        <v>277.59910531675155</v>
      </c>
      <c r="DS31" s="59">
        <f t="shared" si="17"/>
        <v>570.9324386500848</v>
      </c>
      <c r="DT31" s="59">
        <f ca="1">AVERAGE(OFFSET($DS$3,0,0,'Données projet'!$E$14+1,1))-AVERAGE(OFFSET($H$3,0,0,'Données projet'!$E$14+1,1))</f>
        <v>267.92147257573157</v>
      </c>
      <c r="DU31" s="59">
        <f t="shared" si="44"/>
        <v>269.06662611892438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28.819999999999993</v>
      </c>
      <c r="EJ31" s="12">
        <f>IF('Données projet'!$A$192&gt;35,EJ30+EI31-ER30,IF(A31&lt;'Données projet'!$A$192,$EG$205^A31,IF(A31='Données projet'!$A$192,'Données projet'!$B$192,EJ30+EI31-ER30)))</f>
        <v>353.05</v>
      </c>
      <c r="EK31" s="17">
        <f>EJ31*VLOOKUP('Données projet'!$B$15,Paramètres!$A$1:$I$89,3,0)*VLOOKUP('Données projet'!$B$15,Paramètres!$A$1:$I$89,5,0)</f>
        <v>197.35495</v>
      </c>
      <c r="EL31" s="13">
        <f t="shared" si="45"/>
        <v>49.162416141827357</v>
      </c>
      <c r="EM31" s="20">
        <f t="shared" si="19"/>
        <v>429.35107936368263</v>
      </c>
      <c r="EN31" s="59">
        <f t="shared" si="20"/>
        <v>722.68441269701589</v>
      </c>
      <c r="EO31" s="59">
        <f ca="1">AVERAGE(OFFSET($EN$3,0,0,'Données projet'!$E$15+1,1))-AVERAGE(OFFSET($H$3,0,0,'Données projet'!$E$15+1,1))</f>
        <v>326.29985515186428</v>
      </c>
      <c r="EP31" s="59">
        <f t="shared" si="46"/>
        <v>437.68177084535927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18.685439358542695</v>
      </c>
      <c r="EX31" s="21">
        <f>EXP(-LN(2)/2)*EX30+(1-EXP(-LN(2)/2))/(LN(2)/2)*ER31*EU31*VLOOKUP('Données projet'!$B$15,Paramètres!$A$1:$I$89,3,0)*0.475*44/12</f>
        <v>1.4798410581256243</v>
      </c>
      <c r="EY31" s="22">
        <f t="shared" si="21"/>
        <v>20.16528041666832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1.7053025658242404E-13</v>
      </c>
      <c r="FF31" s="17">
        <f>FE31*VLOOKUP('Données projet'!$B$16,Paramètres!$A$1:$I$89,3,0)*VLOOKUP('Données projet'!$B$16,Paramètres!$A$1:$I$89,5,0)</f>
        <v>9.7631982498569413E-14</v>
      </c>
      <c r="FG31" s="13">
        <f t="shared" si="47"/>
        <v>1.4708068762530911E-12</v>
      </c>
      <c r="FH31" s="20">
        <f t="shared" si="22"/>
        <v>2.7316976789924749E-12</v>
      </c>
      <c r="FI31" s="59">
        <f t="shared" si="23"/>
        <v>293.33333333333604</v>
      </c>
      <c r="FJ31" s="59">
        <f ca="1">AVERAGE(OFFSET($FI$3,0,0,'Données projet'!$E$16+1,1))-AVERAGE(OFFSET($H$3,0,0,'Données projet'!$E$16+1,1))</f>
        <v>211.14768428403215</v>
      </c>
      <c r="FK31" s="59">
        <f t="shared" si="48"/>
        <v>350.7800157534798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86.407664693358029</v>
      </c>
      <c r="FR31" s="21">
        <f>EXP(-LN(2)/25)*FR30+(1-EXP(-LN(2)/25))/(LN(2)/25)*Calculateur!FM31*Calculateur!FO31*VLOOKUP('Données projet'!$B$16,Paramètres!$A$1:$I$89,3,0)*0.475*44/12</f>
        <v>22.740819336399742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109.14848402975777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25.334399999999995</v>
      </c>
      <c r="D32" s="11">
        <f t="shared" si="32"/>
        <v>8.0143955200794537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257.42929875149048</v>
      </c>
      <c r="H32" s="66">
        <f t="shared" si="1"/>
        <v>351.41581886413837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11</v>
      </c>
      <c r="N32" s="13">
        <f>IF('Données projet'!$A$36&gt;35,N31+M32-V31,IF(A32&lt;'Données projet'!$A$36,$K$205^A32,IF(A32='Données projet'!$A$36,'Données projet'!$B$36,N31+M32-V31)))</f>
        <v>158</v>
      </c>
      <c r="O32" s="13">
        <f>N32*VLOOKUP('Données projet'!$B$9,Paramètres!$A$1:$I$89,3,0)*VLOOKUP('Données projet'!$B$9,Paramètres!$A$1:$I$89,5,0)</f>
        <v>138.02880000000002</v>
      </c>
      <c r="P32" s="13">
        <f t="shared" si="33"/>
        <v>35.845059256813073</v>
      </c>
      <c r="Q32" s="20">
        <f t="shared" si="2"/>
        <v>302.8303048722828</v>
      </c>
      <c r="R32" s="59">
        <f t="shared" si="0"/>
        <v>596.16363820561605</v>
      </c>
      <c r="S32" s="59">
        <f ca="1">AVERAGE(OFFSET($R$3,0,0,'Données projet'!$E$9+1,1))-AVERAGE(OFFSET($H$3,0,0,'Données projet'!$E$9+1,1))</f>
        <v>252.49539407921907</v>
      </c>
      <c r="T32" s="59">
        <f t="shared" si="34"/>
        <v>263.36387286233929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4.0628205133333335</v>
      </c>
      <c r="AI32" s="13">
        <f>IF('Données projet'!$A$62&gt;35,AI31+AH32-AQ31,IF(A32&lt;'Données projet'!$A$62,$AF$205^A32,IF(A32='Données projet'!$A$62,'Données projet'!$B$62,AI31+AH32-AQ31)))</f>
        <v>103.85257316628947</v>
      </c>
      <c r="AJ32" s="13">
        <f>AI32*VLOOKUP('Données projet'!$B$10,Paramètres!$A$1:$I$89,3,0)*VLOOKUP('Données projet'!$B$10,Paramètres!$A$1:$I$89,5,0)</f>
        <v>93.965808200858717</v>
      </c>
      <c r="AK32" s="13">
        <f t="shared" si="35"/>
        <v>25.519268856275549</v>
      </c>
      <c r="AL32" s="20">
        <f t="shared" si="4"/>
        <v>208.10317587450882</v>
      </c>
      <c r="AM32" s="59">
        <f t="shared" si="5"/>
        <v>501.43650920784216</v>
      </c>
      <c r="AN32" s="59">
        <f ca="1">AVERAGE(OFFSET($AM$3,0,0,'Données projet'!$E$10+1,1))-AVERAGE(OFFSET($H$3,0,0,'Données projet'!$E$10+1,1))</f>
        <v>370.05613271587413</v>
      </c>
      <c r="AO32" s="59">
        <f t="shared" si="36"/>
        <v>183.24480056442525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4.0628205133333335</v>
      </c>
      <c r="BD32" s="12">
        <f>IF('Données projet'!$A$88&gt;35,BD31+BC32-BL31,IF(A32&lt;'Données projet'!$A$88,$BA$205^A32,IF(A32='Données projet'!$A$88,'Données projet'!$B$88,BD31+BC32-BL31)))</f>
        <v>103.85257316628947</v>
      </c>
      <c r="BE32" s="13">
        <f>BD32*VLOOKUP('Données projet'!$B$11,Paramètres!$A$1:$I$89,3,0)*VLOOKUP('Données projet'!$B$11,Paramètres!$A$1:$I$89,5,0)</f>
        <v>105.30650919061753</v>
      </c>
      <c r="BF32" s="13">
        <f t="shared" si="37"/>
        <v>28.222370844006942</v>
      </c>
      <c r="BG32" s="20">
        <f t="shared" si="7"/>
        <v>232.56279939363762</v>
      </c>
      <c r="BH32" s="59">
        <f t="shared" si="8"/>
        <v>525.8961327269709</v>
      </c>
      <c r="BI32" s="59">
        <f ca="1">AVERAGE(OFFSET($BH$3,0,0,'Données projet'!$E$11+1,1))-AVERAGE(OFFSET($H$3,0,0,'Données projet'!$E$11+1,1))</f>
        <v>428.72181435671394</v>
      </c>
      <c r="BJ32" s="59">
        <f t="shared" si="38"/>
        <v>211.84936043087572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16.399999999999999</v>
      </c>
      <c r="BY32" s="12">
        <f>IF('Données projet'!$A$114&gt;35,BY31+BX32-CG31,IF(A32&lt;'Données projet'!$A$114,$BV$205^A32,IF(A32='Données projet'!$A$114,'Données projet'!$B$114,BY31+BX32-CG31)))</f>
        <v>188.60000000000005</v>
      </c>
      <c r="BZ32" s="13">
        <f>BY32*VLOOKUP('Données projet'!$B$12,Paramètres!$A$1:$I$89,3,0)*VLOOKUP('Données projet'!$B$12,Paramètres!$A$1:$I$89,5,0)</f>
        <v>150.05016000000003</v>
      </c>
      <c r="CA32" s="13">
        <f t="shared" si="39"/>
        <v>38.589984439024605</v>
      </c>
      <c r="CB32" s="20">
        <f t="shared" si="10"/>
        <v>328.5482515646346</v>
      </c>
      <c r="CC32" s="59">
        <f t="shared" si="11"/>
        <v>621.88158489796797</v>
      </c>
      <c r="CD32" s="59">
        <f ca="1">AVERAGE(OFFSET($CC$3,0,0,'Données projet'!$E$12+1,1))-AVERAGE(OFFSET($H$3,0,0,'Données projet'!$E$12+1,1))</f>
        <v>296.737543892524</v>
      </c>
      <c r="CE32" s="59">
        <f t="shared" si="40"/>
        <v>296.38358650317099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12.2</v>
      </c>
      <c r="CT32" s="12">
        <f>IF('Données projet'!$A$140&gt;35,CT31+CS32-DB31,IF(A32&lt;'Données projet'!$A$140,$CQ$205^A32,IF(A32='Données projet'!$A$140,'Données projet'!$B$140,CT31+CS32-DB31)))</f>
        <v>133.80000000000001</v>
      </c>
      <c r="CU32" s="17">
        <f>CT32*VLOOKUP('Données projet'!$B$13,Paramètres!$A$1:$I$89,3,0)*VLOOKUP('Données projet'!$B$13,Paramètres!$A$1:$I$89,5,0)</f>
        <v>114.80040000000002</v>
      </c>
      <c r="CV32" s="13">
        <f t="shared" si="41"/>
        <v>30.459169258522444</v>
      </c>
      <c r="CW32" s="20">
        <f t="shared" si="13"/>
        <v>252.99374979192666</v>
      </c>
      <c r="CX32" s="59">
        <f t="shared" si="14"/>
        <v>546.32708312525995</v>
      </c>
      <c r="CY32" s="59">
        <f ca="1">AVERAGE(OFFSET($CX$3,0,0,'Données projet'!$E$13+1,1))-AVERAGE(OFFSET($H$3,0,0,'Données projet'!$E$13+1,1))</f>
        <v>391.93999504334352</v>
      </c>
      <c r="CZ32" s="59">
        <f t="shared" si="42"/>
        <v>215.4484906985528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16.399999999999999</v>
      </c>
      <c r="DO32" s="12">
        <f>IF('Données projet'!$A$166&gt;35,DO31+DN32-DW31,IF(A32&lt;'Données projet'!$A$166,$DL$205^A32,IF(A32='Données projet'!$A$166,'Données projet'!$B$166,DO31+DN32-DW31)))</f>
        <v>188.60000000000005</v>
      </c>
      <c r="DP32" s="17">
        <f>DO32*VLOOKUP('Données projet'!$B$14,Paramètres!$A$1:$I$89,3,0)*VLOOKUP('Données projet'!$B$14,Paramètres!$A$1:$I$89,5,0)</f>
        <v>138.28152000000003</v>
      </c>
      <c r="DQ32" s="13">
        <f t="shared" si="43"/>
        <v>35.903043322174675</v>
      </c>
      <c r="DR32" s="20">
        <f t="shared" si="16"/>
        <v>303.37144778612094</v>
      </c>
      <c r="DS32" s="59">
        <f t="shared" si="17"/>
        <v>596.70478111945431</v>
      </c>
      <c r="DT32" s="59">
        <f ca="1">AVERAGE(OFFSET($DS$3,0,0,'Données projet'!$E$14+1,1))-AVERAGE(OFFSET($H$3,0,0,'Données projet'!$E$14+1,1))</f>
        <v>267.92147257573157</v>
      </c>
      <c r="DU32" s="59">
        <f t="shared" si="44"/>
        <v>269.06662611892438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28.819999999999993</v>
      </c>
      <c r="EJ32" s="12">
        <f>IF('Données projet'!$A$192&gt;35,EJ31+EI32-ER31,IF(A32&lt;'Données projet'!$A$192,$EG$205^A32,IF(A32='Données projet'!$A$192,'Données projet'!$B$192,EJ31+EI32-ER31)))</f>
        <v>381.87</v>
      </c>
      <c r="EK32" s="17">
        <f>EJ32*VLOOKUP('Données projet'!$B$15,Paramètres!$A$1:$I$89,3,0)*VLOOKUP('Données projet'!$B$15,Paramètres!$A$1:$I$89,5,0)</f>
        <v>213.46533000000002</v>
      </c>
      <c r="EL32" s="13">
        <f t="shared" si="45"/>
        <v>52.692124649376929</v>
      </c>
      <c r="EM32" s="20">
        <f t="shared" si="19"/>
        <v>463.55756684766487</v>
      </c>
      <c r="EN32" s="59">
        <f t="shared" si="20"/>
        <v>756.89090018099819</v>
      </c>
      <c r="EO32" s="59">
        <f ca="1">AVERAGE(OFFSET($EN$3,0,0,'Données projet'!$E$15+1,1))-AVERAGE(OFFSET($H$3,0,0,'Données projet'!$E$15+1,1))</f>
        <v>326.29985515186428</v>
      </c>
      <c r="EP32" s="59">
        <f t="shared" si="46"/>
        <v>437.68177084535927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18.174485036658794</v>
      </c>
      <c r="EX32" s="21">
        <f>EXP(-LN(2)/2)*EX31+(1-EXP(-LN(2)/2))/(LN(2)/2)*ER32*EU32*VLOOKUP('Données projet'!$B$15,Paramètres!$A$1:$I$89,3,0)*0.475*44/12</f>
        <v>1.0464056472789047</v>
      </c>
      <c r="EY32" s="22">
        <f t="shared" si="21"/>
        <v>19.2208906839377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1.7053025658242404E-13</v>
      </c>
      <c r="FF32" s="17">
        <f>FE32*VLOOKUP('Données projet'!$B$16,Paramètres!$A$1:$I$89,3,0)*VLOOKUP('Données projet'!$B$16,Paramètres!$A$1:$I$89,5,0)</f>
        <v>9.7631982498569413E-14</v>
      </c>
      <c r="FG32" s="13">
        <f t="shared" si="47"/>
        <v>1.4708068762530911E-12</v>
      </c>
      <c r="FH32" s="20">
        <f t="shared" si="22"/>
        <v>2.7316976789924749E-12</v>
      </c>
      <c r="FI32" s="59">
        <f t="shared" si="23"/>
        <v>293.33333333333604</v>
      </c>
      <c r="FJ32" s="59">
        <f ca="1">AVERAGE(OFFSET($FI$3,0,0,'Données projet'!$E$16+1,1))-AVERAGE(OFFSET($H$3,0,0,'Données projet'!$E$16+1,1))</f>
        <v>211.14768428403215</v>
      </c>
      <c r="FK32" s="59">
        <f t="shared" si="48"/>
        <v>350.7800157534798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84.713263092192705</v>
      </c>
      <c r="FR32" s="21">
        <f>EXP(-LN(2)/25)*FR31+(1-EXP(-LN(2)/25))/(LN(2)/25)*Calculateur!FM32*Calculateur!FO32*VLOOKUP('Données projet'!$B$16,Paramètres!$A$1:$I$89,3,0)*0.475*44/12</f>
        <v>22.118970435758175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106.83223352795088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26.207999999999995</v>
      </c>
      <c r="D33" s="11">
        <f t="shared" si="32"/>
        <v>8.258101972345095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266.05412048827787</v>
      </c>
      <c r="H33" s="66">
        <f t="shared" si="1"/>
        <v>353.361794268501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169</v>
      </c>
      <c r="L33" s="12">
        <f>VLOOKUP(A33,'Données projet'!$A$35:$I$55,9,0)</f>
        <v>11</v>
      </c>
      <c r="M33" s="12">
        <f t="array" ref="M33">INDEX(L:L,MIN(IF(ISNUMBER(L33:L229),ROW(L33:L229),"")))</f>
        <v>11</v>
      </c>
      <c r="N33" s="13">
        <f>IF('Données projet'!$A$36&gt;35,N32+M33-V32,IF(A33&lt;'Données projet'!$A$36,$K$205^A33,IF(A33='Données projet'!$A$36,'Données projet'!$B$36,N32+M33-V32)))</f>
        <v>169</v>
      </c>
      <c r="O33" s="13">
        <f>N33*VLOOKUP('Données projet'!$B$9,Paramètres!$A$1:$I$89,3,0)*VLOOKUP('Données projet'!$B$9,Paramètres!$A$1:$I$89,5,0)</f>
        <v>147.63840000000002</v>
      </c>
      <c r="P33" s="13">
        <f t="shared" si="33"/>
        <v>38.04140887895133</v>
      </c>
      <c r="Q33" s="20">
        <f t="shared" si="2"/>
        <v>323.39233379750692</v>
      </c>
      <c r="R33" s="59">
        <f t="shared" si="0"/>
        <v>616.72566713084029</v>
      </c>
      <c r="S33" s="59">
        <f ca="1">AVERAGE(OFFSET($R$3,0,0,'Données projet'!$E$9+1,1))-AVERAGE(OFFSET($H$3,0,0,'Données projet'!$E$9+1,1))</f>
        <v>252.49539407921907</v>
      </c>
      <c r="T33" s="59">
        <f t="shared" si="34"/>
        <v>263.36387286233929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32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121.8846154</v>
      </c>
      <c r="AG33" s="12">
        <f>VLOOKUP(A33,'Données projet'!$A$61:$I$81,9,0)</f>
        <v>4.0628205133333335</v>
      </c>
      <c r="AH33" s="12">
        <f t="array" ref="AH33">INDEX(AG:AG,MIN(IF(ISNUMBER(AG33:AG229),ROW(AG33:AG229),"")))</f>
        <v>4.0628205133333335</v>
      </c>
      <c r="AI33" s="13">
        <f>IF('Données projet'!$A$62&gt;35,AI32+AH33-AQ32,IF(A33&lt;'Données projet'!$A$62,$AF$205^A33,IF(A33='Données projet'!$A$62,'Données projet'!$B$62,AI32+AH33-AQ32)))</f>
        <v>121.8846154</v>
      </c>
      <c r="AJ33" s="13">
        <f>AI33*VLOOKUP('Données projet'!$B$10,Paramètres!$A$1:$I$89,3,0)*VLOOKUP('Données projet'!$B$10,Paramètres!$A$1:$I$89,5,0)</f>
        <v>110.28120001392</v>
      </c>
      <c r="AK33" s="13">
        <f t="shared" si="35"/>
        <v>29.397227641348678</v>
      </c>
      <c r="AL33" s="20">
        <f t="shared" si="4"/>
        <v>243.27326149959291</v>
      </c>
      <c r="AM33" s="59">
        <f t="shared" si="5"/>
        <v>536.60659483292625</v>
      </c>
      <c r="AN33" s="59">
        <f ca="1">AVERAGE(OFFSET($AM$3,0,0,'Données projet'!$E$10+1,1))-AVERAGE(OFFSET($H$3,0,0,'Données projet'!$E$10+1,1))</f>
        <v>370.05613271587413</v>
      </c>
      <c r="AO33" s="59">
        <f t="shared" si="36"/>
        <v>183.24480056442525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121.8846154</v>
      </c>
      <c r="BB33" s="12">
        <f>VLOOKUP(A33,'Données projet'!$A$87:$I$107,9,0)</f>
        <v>4.0628205133333335</v>
      </c>
      <c r="BC33" s="12">
        <f t="array" ref="BC33">INDEX(BB:BB,MIN(IF(ISNUMBER(BB33:BB229),ROW(BB33:BB229),"")))</f>
        <v>4.0628205133333335</v>
      </c>
      <c r="BD33" s="12">
        <f>IF('Données projet'!$A$88&gt;35,BD32+BC33-BL32,IF(A33&lt;'Données projet'!$A$88,$BA$205^A33,IF(A33='Données projet'!$A$88,'Données projet'!$B$88,BD32+BC33-BL32)))</f>
        <v>121.8846154</v>
      </c>
      <c r="BE33" s="13">
        <f>BD33*VLOOKUP('Données projet'!$B$11,Paramètres!$A$1:$I$89,3,0)*VLOOKUP('Données projet'!$B$11,Paramètres!$A$1:$I$89,5,0)</f>
        <v>123.5910000156</v>
      </c>
      <c r="BF33" s="13">
        <f t="shared" si="37"/>
        <v>32.511098376386634</v>
      </c>
      <c r="BG33" s="20">
        <f t="shared" si="7"/>
        <v>271.87782136604341</v>
      </c>
      <c r="BH33" s="59">
        <f t="shared" si="8"/>
        <v>565.21115469937672</v>
      </c>
      <c r="BI33" s="59">
        <f ca="1">AVERAGE(OFFSET($BH$3,0,0,'Données projet'!$E$11+1,1))-AVERAGE(OFFSET($H$3,0,0,'Données projet'!$E$11+1,1))</f>
        <v>428.72181435671394</v>
      </c>
      <c r="BJ33" s="59">
        <f t="shared" si="38"/>
        <v>211.84936043087572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205</v>
      </c>
      <c r="BW33" s="12">
        <f>VLOOKUP(A33,'Données projet'!$A$113:$I$133,9,0)</f>
        <v>16.399999999999999</v>
      </c>
      <c r="BX33" s="12">
        <f t="array" ref="BX33">INDEX(BW:BW,MIN(IF(ISNUMBER(BW33:BW229),ROW(BW33:BW229),"")))</f>
        <v>16.399999999999999</v>
      </c>
      <c r="BY33" s="12">
        <f>IF('Données projet'!$A$114&gt;35,BY32+BX33-CG32,IF(A33&lt;'Données projet'!$A$114,$BV$205^A33,IF(A33='Données projet'!$A$114,'Données projet'!$B$114,BY32+BX33-CG32)))</f>
        <v>205.00000000000006</v>
      </c>
      <c r="BZ33" s="13">
        <f>BY33*VLOOKUP('Données projet'!$B$12,Paramètres!$A$1:$I$89,3,0)*VLOOKUP('Données projet'!$B$12,Paramètres!$A$1:$I$89,5,0)</f>
        <v>163.09800000000004</v>
      </c>
      <c r="CA33" s="13">
        <f t="shared" si="39"/>
        <v>41.540496136845142</v>
      </c>
      <c r="CB33" s="20">
        <f t="shared" si="10"/>
        <v>356.41204743833867</v>
      </c>
      <c r="CC33" s="59">
        <f t="shared" si="11"/>
        <v>649.74538077167199</v>
      </c>
      <c r="CD33" s="59">
        <f ca="1">AVERAGE(OFFSET($CC$3,0,0,'Données projet'!$E$12+1,1))-AVERAGE(OFFSET($H$3,0,0,'Données projet'!$E$12+1,1))</f>
        <v>296.737543892524</v>
      </c>
      <c r="CE33" s="59">
        <f t="shared" si="40"/>
        <v>296.38358650317099</v>
      </c>
      <c r="CF33" s="15">
        <f>IF(ISNA(VLOOKUP(A33,'Données projet'!$A$113:$I$133,3,0)),0,VLOOKUP(A33,'Données projet'!$A$113:$I$133,3,0))</f>
        <v>5</v>
      </c>
      <c r="CG33" s="15">
        <f>IF(ISNA(VLOOKUP(A33,'Données projet'!$A$113:$I$133,4,0)),0,VLOOKUP(A33,'Données projet'!$A$113:$I$133,4,0))</f>
        <v>42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146</v>
      </c>
      <c r="CR33" s="12">
        <f>VLOOKUP(A33,'Données projet'!$A$139:$I$159,9,0)</f>
        <v>12.2</v>
      </c>
      <c r="CS33" s="12">
        <f t="array" ref="CS33">INDEX(CR:CR,MIN(IF(ISNUMBER(CR33:CR229),ROW(CR33:CR229),"")))</f>
        <v>12.2</v>
      </c>
      <c r="CT33" s="12">
        <f>IF('Données projet'!$A$140&gt;35,CT32+CS33-DB32,IF(A33&lt;'Données projet'!$A$140,$CQ$205^A33,IF(A33='Données projet'!$A$140,'Données projet'!$B$140,CT32+CS33-DB32)))</f>
        <v>146</v>
      </c>
      <c r="CU33" s="17">
        <f>CT33*VLOOKUP('Données projet'!$B$13,Paramètres!$A$1:$I$89,3,0)*VLOOKUP('Données projet'!$B$13,Paramètres!$A$1:$I$89,5,0)</f>
        <v>125.26800000000003</v>
      </c>
      <c r="CV33" s="13">
        <f t="shared" si="41"/>
        <v>32.9005846700787</v>
      </c>
      <c r="CW33" s="20">
        <f t="shared" si="13"/>
        <v>275.47695163372049</v>
      </c>
      <c r="CX33" s="59">
        <f t="shared" si="14"/>
        <v>568.8102849670538</v>
      </c>
      <c r="CY33" s="59">
        <f ca="1">AVERAGE(OFFSET($CX$3,0,0,'Données projet'!$E$13+1,1))-AVERAGE(OFFSET($H$3,0,0,'Données projet'!$E$13+1,1))</f>
        <v>391.93999504334352</v>
      </c>
      <c r="CZ33" s="59">
        <f t="shared" si="42"/>
        <v>215.4484906985528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35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205</v>
      </c>
      <c r="DM33" s="12">
        <f>VLOOKUP(A33,'Données projet'!$A$165:$I$185,9,0)</f>
        <v>16.399999999999999</v>
      </c>
      <c r="DN33" s="12">
        <f t="array" ref="DN33">INDEX(DM:DM,MIN(IF(ISNUMBER(DM33:DM229),ROW(DM33:DM229),"")))</f>
        <v>16.399999999999999</v>
      </c>
      <c r="DO33" s="12">
        <f>IF('Données projet'!$A$166&gt;35,DO32+DN33-DW32,IF(A33&lt;'Données projet'!$A$166,$DL$205^A33,IF(A33='Données projet'!$A$166,'Données projet'!$B$166,DO32+DN33-DW32)))</f>
        <v>205.00000000000006</v>
      </c>
      <c r="DP33" s="17">
        <f>DO33*VLOOKUP('Données projet'!$B$14,Paramètres!$A$1:$I$89,3,0)*VLOOKUP('Données projet'!$B$14,Paramètres!$A$1:$I$89,5,0)</f>
        <v>150.30600000000004</v>
      </c>
      <c r="DQ33" s="13">
        <f t="shared" si="43"/>
        <v>38.648116968856677</v>
      </c>
      <c r="DR33" s="20">
        <f t="shared" si="16"/>
        <v>329.09508705409212</v>
      </c>
      <c r="DS33" s="59">
        <f t="shared" si="17"/>
        <v>622.42842038742538</v>
      </c>
      <c r="DT33" s="59">
        <f ca="1">AVERAGE(OFFSET($DS$3,0,0,'Données projet'!$E$14+1,1))-AVERAGE(OFFSET($H$3,0,0,'Données projet'!$E$14+1,1))</f>
        <v>267.92147257573157</v>
      </c>
      <c r="DU33" s="59">
        <f t="shared" si="44"/>
        <v>269.06662611892438</v>
      </c>
      <c r="DV33" s="15">
        <f>IF(ISNA(VLOOKUP(A33,'Données projet'!$A$165:$I$185,3,0)),0,VLOOKUP(A33,'Données projet'!$A$165:$I$185,3,0))</f>
        <v>5</v>
      </c>
      <c r="DW33" s="15">
        <f>IF(ISNA(VLOOKUP(A33,'Données projet'!$A$165:$I$185,4,0)),0,VLOOKUP(A33,'Données projet'!$A$165:$I$185,4,0))</f>
        <v>42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410.69</v>
      </c>
      <c r="EH33" s="12">
        <f>VLOOKUP(A33,'Données projet'!$A$191:$I$211,9,0)</f>
        <v>28.819999999999993</v>
      </c>
      <c r="EI33" s="12">
        <f t="array" ref="EI33">INDEX(EH:EH,MIN(IF(ISNUMBER(EH33:EH229),ROW(EH33:EH229),"")))</f>
        <v>28.819999999999993</v>
      </c>
      <c r="EJ33" s="12">
        <f>IF('Données projet'!$A$192&gt;35,EJ32+EI33-ER32,IF(A33&lt;'Données projet'!$A$192,$EG$205^A33,IF(A33='Données projet'!$A$192,'Données projet'!$B$192,EJ32+EI33-ER32)))</f>
        <v>410.69</v>
      </c>
      <c r="EK33" s="17">
        <f>EJ33*VLOOKUP('Données projet'!$B$15,Paramètres!$A$1:$I$89,3,0)*VLOOKUP('Données projet'!$B$15,Paramètres!$A$1:$I$89,5,0)</f>
        <v>229.57571000000002</v>
      </c>
      <c r="EL33" s="13">
        <f t="shared" si="45"/>
        <v>56.190930256761952</v>
      </c>
      <c r="EM33" s="20">
        <f t="shared" si="19"/>
        <v>497.71023178052701</v>
      </c>
      <c r="EN33" s="59">
        <f t="shared" si="20"/>
        <v>791.04356511386027</v>
      </c>
      <c r="EO33" s="59">
        <f ca="1">AVERAGE(OFFSET($EN$3,0,0,'Données projet'!$E$15+1,1))-AVERAGE(OFFSET($H$3,0,0,'Données projet'!$E$15+1,1))</f>
        <v>326.29985515186428</v>
      </c>
      <c r="EP33" s="59">
        <f t="shared" si="46"/>
        <v>437.68177084535927</v>
      </c>
      <c r="EQ33" s="15">
        <f>IF(ISNA(VLOOKUP(A33,'Données projet'!$A$191:$I$211,3,0)),0,VLOOKUP(A33,'Données projet'!$A$191:$I$211,3,0))</f>
        <v>3</v>
      </c>
      <c r="ER33" s="15">
        <f>IF(ISNA(VLOOKUP(A33,'Données projet'!$A$191:$I$211,4,0)),0,VLOOKUP(A33,'Données projet'!$A$191:$I$211,4,0))</f>
        <v>80.97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0.55000000000000004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50.571271540152075</v>
      </c>
      <c r="EX33" s="21">
        <f>EXP(-LN(2)/2)*EX32+(1-EXP(-LN(2)/2))/(LN(2)/2)*ER33*EU33*VLOOKUP('Données projet'!$B$15,Paramètres!$A$1:$I$89,3,0)*0.475*44/12</f>
        <v>0.73992052906281214</v>
      </c>
      <c r="EY33" s="22">
        <f t="shared" si="21"/>
        <v>51.31119206921489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1.7053025658242404E-13</v>
      </c>
      <c r="FF33" s="17">
        <f>FE33*VLOOKUP('Données projet'!$B$16,Paramètres!$A$1:$I$89,3,0)*VLOOKUP('Données projet'!$B$16,Paramètres!$A$1:$I$89,5,0)</f>
        <v>9.7631982498569413E-14</v>
      </c>
      <c r="FG33" s="13">
        <f t="shared" si="47"/>
        <v>1.4708068762530911E-12</v>
      </c>
      <c r="FH33" s="20">
        <f t="shared" si="22"/>
        <v>2.7316976789924749E-12</v>
      </c>
      <c r="FI33" s="59">
        <f t="shared" si="23"/>
        <v>293.33333333333604</v>
      </c>
      <c r="FJ33" s="59">
        <f ca="1">AVERAGE(OFFSET($FI$3,0,0,'Données projet'!$E$16+1,1))-AVERAGE(OFFSET($H$3,0,0,'Données projet'!$E$16+1,1))</f>
        <v>211.14768428403215</v>
      </c>
      <c r="FK33" s="59">
        <f t="shared" si="48"/>
        <v>350.7800157534798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83.052087672943301</v>
      </c>
      <c r="FR33" s="21">
        <f>EXP(-LN(2)/25)*FR32+(1-EXP(-LN(2)/25))/(LN(2)/25)*Calculateur!FM33*Calculateur!FO33*VLOOKUP('Données projet'!$B$16,Paramètres!$A$1:$I$89,3,0)*0.475*44/12</f>
        <v>21.514126026006267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104.56621369894957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27.081599999999995</v>
      </c>
      <c r="D34" s="11">
        <f t="shared" si="32"/>
        <v>8.5008644909657693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274.67165571973572</v>
      </c>
      <c r="H34" s="66">
        <f t="shared" si="1"/>
        <v>355.3061256550987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10.4</v>
      </c>
      <c r="N34" s="13">
        <f>IF('Données projet'!$A$36&gt;35,N33+M34-V33,IF(A34&lt;'Données projet'!$A$36,$K$205^A34,IF(A34='Données projet'!$A$36,'Données projet'!$B$36,N33+M34-V33)))</f>
        <v>147.4</v>
      </c>
      <c r="O34" s="13">
        <f>N34*VLOOKUP('Données projet'!$B$9,Paramètres!$A$1:$I$89,3,0)*VLOOKUP('Données projet'!$B$9,Paramètres!$A$1:$I$89,5,0)</f>
        <v>128.76864000000003</v>
      </c>
      <c r="P34" s="13">
        <f t="shared" si="33"/>
        <v>33.711670780700224</v>
      </c>
      <c r="Q34" s="20">
        <f t="shared" si="2"/>
        <v>282.98654127638628</v>
      </c>
      <c r="R34" s="59">
        <f t="shared" si="0"/>
        <v>576.31987460971959</v>
      </c>
      <c r="S34" s="59">
        <f ca="1">AVERAGE(OFFSET($R$3,0,0,'Données projet'!$E$9+1,1))-AVERAGE(OFFSET($H$3,0,0,'Données projet'!$E$9+1,1))</f>
        <v>252.49539407921907</v>
      </c>
      <c r="T34" s="59">
        <f t="shared" si="34"/>
        <v>263.36387286233929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15.881076919999998</v>
      </c>
      <c r="AI34" s="13">
        <f>IF('Données projet'!$A$62&gt;35,AI33+AH34-AQ33,IF(A34&lt;'Données projet'!$A$62,$AF$205^A34,IF(A34='Données projet'!$A$62,'Données projet'!$B$62,AI33+AH34-AQ33)))</f>
        <v>137.76569232</v>
      </c>
      <c r="AJ34" s="13">
        <f>AI34*VLOOKUP('Données projet'!$B$10,Paramètres!$A$1:$I$89,3,0)*VLOOKUP('Données projet'!$B$10,Paramètres!$A$1:$I$89,5,0)</f>
        <v>124.65039841113601</v>
      </c>
      <c r="AK34" s="13">
        <f t="shared" si="35"/>
        <v>32.757216609030209</v>
      </c>
      <c r="AL34" s="20">
        <f t="shared" si="4"/>
        <v>274.15159616012278</v>
      </c>
      <c r="AM34" s="59">
        <f t="shared" si="5"/>
        <v>567.48492949345609</v>
      </c>
      <c r="AN34" s="59">
        <f ca="1">AVERAGE(OFFSET($AM$3,0,0,'Données projet'!$E$10+1,1))-AVERAGE(OFFSET($H$3,0,0,'Données projet'!$E$10+1,1))</f>
        <v>370.05613271587413</v>
      </c>
      <c r="AO34" s="59">
        <f t="shared" si="36"/>
        <v>183.24480056442525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15.881076919999998</v>
      </c>
      <c r="BD34" s="12">
        <f>IF('Données projet'!$A$88&gt;35,BD33+BC34-BL33,IF(A34&lt;'Données projet'!$A$88,$BA$205^A34,IF(A34='Données projet'!$A$88,'Données projet'!$B$88,BD33+BC34-BL33)))</f>
        <v>137.76569232</v>
      </c>
      <c r="BE34" s="13">
        <f>BD34*VLOOKUP('Données projet'!$B$11,Paramètres!$A$1:$I$89,3,0)*VLOOKUP('Données projet'!$B$11,Paramètres!$A$1:$I$89,5,0)</f>
        <v>139.69441201248003</v>
      </c>
      <c r="BF34" s="13">
        <f t="shared" si="37"/>
        <v>36.226990677680369</v>
      </c>
      <c r="BG34" s="20">
        <f t="shared" si="7"/>
        <v>306.396443018696</v>
      </c>
      <c r="BH34" s="59">
        <f t="shared" si="8"/>
        <v>599.72977635202938</v>
      </c>
      <c r="BI34" s="59">
        <f ca="1">AVERAGE(OFFSET($BH$3,0,0,'Données projet'!$E$11+1,1))-AVERAGE(OFFSET($H$3,0,0,'Données projet'!$E$11+1,1))</f>
        <v>428.72181435671394</v>
      </c>
      <c r="BJ34" s="59">
        <f t="shared" si="38"/>
        <v>211.84936043087572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15.2</v>
      </c>
      <c r="BY34" s="12">
        <f>IF('Données projet'!$A$114&gt;35,BY33+BX34-CG33,IF(A34&lt;'Données projet'!$A$114,$BV$205^A34,IF(A34='Données projet'!$A$114,'Données projet'!$B$114,BY33+BX34-CG33)))</f>
        <v>178.20000000000005</v>
      </c>
      <c r="BZ34" s="13">
        <f>BY34*VLOOKUP('Données projet'!$B$12,Paramètres!$A$1:$I$89,3,0)*VLOOKUP('Données projet'!$B$12,Paramètres!$A$1:$I$89,5,0)</f>
        <v>141.77592000000004</v>
      </c>
      <c r="CA34" s="13">
        <f t="shared" si="39"/>
        <v>36.703544878441981</v>
      </c>
      <c r="CB34" s="20">
        <f t="shared" si="10"/>
        <v>310.85173466328649</v>
      </c>
      <c r="CC34" s="59">
        <f t="shared" si="11"/>
        <v>604.18506799661986</v>
      </c>
      <c r="CD34" s="59">
        <f ca="1">AVERAGE(OFFSET($CC$3,0,0,'Données projet'!$E$12+1,1))-AVERAGE(OFFSET($H$3,0,0,'Données projet'!$E$12+1,1))</f>
        <v>296.737543892524</v>
      </c>
      <c r="CE34" s="59">
        <f t="shared" si="40"/>
        <v>296.38358650317099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12.8</v>
      </c>
      <c r="CT34" s="12">
        <f>IF('Données projet'!$A$140&gt;35,CT33+CS34-DB33,IF(A34&lt;'Données projet'!$A$140,$CQ$205^A34,IF(A34='Données projet'!$A$140,'Données projet'!$B$140,CT33+CS34-DB33)))</f>
        <v>123.80000000000001</v>
      </c>
      <c r="CU34" s="17">
        <f>CT34*VLOOKUP('Données projet'!$B$13,Paramètres!$A$1:$I$89,3,0)*VLOOKUP('Données projet'!$B$13,Paramètres!$A$1:$I$89,5,0)</f>
        <v>106.22040000000003</v>
      </c>
      <c r="CV34" s="13">
        <f t="shared" si="41"/>
        <v>28.438677354079406</v>
      </c>
      <c r="CW34" s="20">
        <f t="shared" si="13"/>
        <v>234.53122639168836</v>
      </c>
      <c r="CX34" s="59">
        <f t="shared" si="14"/>
        <v>527.86455972502165</v>
      </c>
      <c r="CY34" s="59">
        <f ca="1">AVERAGE(OFFSET($CX$3,0,0,'Données projet'!$E$13+1,1))-AVERAGE(OFFSET($H$3,0,0,'Données projet'!$E$13+1,1))</f>
        <v>391.93999504334352</v>
      </c>
      <c r="CZ34" s="59">
        <f t="shared" si="42"/>
        <v>215.4484906985528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15.2</v>
      </c>
      <c r="DO34" s="12">
        <f>IF('Données projet'!$A$166&gt;35,DO33+DN34-DW33,IF(A34&lt;'Données projet'!$A$166,$DL$205^A34,IF(A34='Données projet'!$A$166,'Données projet'!$B$166,DO33+DN34-DW33)))</f>
        <v>178.20000000000005</v>
      </c>
      <c r="DP34" s="17">
        <f>DO34*VLOOKUP('Données projet'!$B$14,Paramètres!$A$1:$I$89,3,0)*VLOOKUP('Données projet'!$B$14,Paramètres!$A$1:$I$89,5,0)</f>
        <v>130.65624000000003</v>
      </c>
      <c r="DQ34" s="13">
        <f t="shared" si="43"/>
        <v>34.147952661921146</v>
      </c>
      <c r="DR34" s="20">
        <f t="shared" si="16"/>
        <v>287.03396888617937</v>
      </c>
      <c r="DS34" s="59">
        <f t="shared" si="17"/>
        <v>580.36730221951268</v>
      </c>
      <c r="DT34" s="59">
        <f ca="1">AVERAGE(OFFSET($DS$3,0,0,'Données projet'!$E$14+1,1))-AVERAGE(OFFSET($H$3,0,0,'Données projet'!$E$14+1,1))</f>
        <v>267.92147257573157</v>
      </c>
      <c r="DU34" s="59">
        <f t="shared" si="44"/>
        <v>269.06662611892438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28.661666666666662</v>
      </c>
      <c r="EJ34" s="12">
        <f>IF('Données projet'!$A$192&gt;35,EJ33+EI34-ER33,IF(A34&lt;'Données projet'!$A$192,$EG$205^A34,IF(A34='Données projet'!$A$192,'Données projet'!$B$192,EJ33+EI34-ER33)))</f>
        <v>358.38166666666666</v>
      </c>
      <c r="EK34" s="17">
        <f>EJ34*VLOOKUP('Données projet'!$B$15,Paramètres!$A$1:$I$89,3,0)*VLOOKUP('Données projet'!$B$15,Paramètres!$A$1:$I$89,5,0)</f>
        <v>200.33535166666667</v>
      </c>
      <c r="EL34" s="13">
        <f t="shared" si="45"/>
        <v>49.817860683914162</v>
      </c>
      <c r="EM34" s="20">
        <f t="shared" si="19"/>
        <v>435.68351151059488</v>
      </c>
      <c r="EN34" s="59">
        <f t="shared" si="20"/>
        <v>729.0168448439282</v>
      </c>
      <c r="EO34" s="59">
        <f ca="1">AVERAGE(OFFSET($EN$3,0,0,'Données projet'!$E$15+1,1))-AVERAGE(OFFSET($H$3,0,0,'Données projet'!$E$15+1,1))</f>
        <v>326.29985515186428</v>
      </c>
      <c r="EP34" s="59">
        <f t="shared" si="46"/>
        <v>437.68177084535927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49.188397460459029</v>
      </c>
      <c r="EX34" s="21">
        <f>EXP(-LN(2)/2)*EX33+(1-EXP(-LN(2)/2))/(LN(2)/2)*ER34*EU34*VLOOKUP('Données projet'!$B$15,Paramètres!$A$1:$I$89,3,0)*0.475*44/12</f>
        <v>0.52320282363945236</v>
      </c>
      <c r="EY34" s="22">
        <f t="shared" si="21"/>
        <v>49.711600284098481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1.7053025658242404E-13</v>
      </c>
      <c r="FF34" s="17">
        <f>FE34*VLOOKUP('Données projet'!$B$16,Paramètres!$A$1:$I$89,3,0)*VLOOKUP('Données projet'!$B$16,Paramètres!$A$1:$I$89,5,0)</f>
        <v>9.7631982498569413E-14</v>
      </c>
      <c r="FG34" s="13">
        <f t="shared" si="47"/>
        <v>1.4708068762530911E-12</v>
      </c>
      <c r="FH34" s="20">
        <f t="shared" si="22"/>
        <v>2.7316976789924749E-12</v>
      </c>
      <c r="FI34" s="59">
        <f t="shared" si="23"/>
        <v>293.33333333333604</v>
      </c>
      <c r="FJ34" s="59">
        <f ca="1">AVERAGE(OFFSET($FI$3,0,0,'Données projet'!$E$16+1,1))-AVERAGE(OFFSET($H$3,0,0,'Données projet'!$E$16+1,1))</f>
        <v>211.14768428403215</v>
      </c>
      <c r="FK34" s="59">
        <f t="shared" si="48"/>
        <v>350.7800157534798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81.423486890448416</v>
      </c>
      <c r="FR34" s="21">
        <f>EXP(-LN(2)/25)*FR33+(1-EXP(-LN(2)/25))/(LN(2)/25)*Calculateur!FM34*Calculateur!FO34*VLOOKUP('Données projet'!$B$16,Paramètres!$A$1:$I$89,3,0)*0.475*44/12</f>
        <v>20.925821118446407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102.34930800889482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27.955199999999994</v>
      </c>
      <c r="D35" s="11">
        <f t="shared" si="32"/>
        <v>8.7427170179419935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283.28216645428904</v>
      </c>
      <c r="H35" s="66">
        <f t="shared" si="1"/>
        <v>357.24887213958226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10.4</v>
      </c>
      <c r="N35" s="13">
        <f>IF('Données projet'!$A$36&gt;35,N34+M35-V34,IF(A35&lt;'Données projet'!$A$36,$K$205^A35,IF(A35='Données projet'!$A$36,'Données projet'!$B$36,N34+M35-V34)))</f>
        <v>157.80000000000001</v>
      </c>
      <c r="O35" s="13">
        <f>N35*VLOOKUP('Données projet'!$B$9,Paramètres!$A$1:$I$89,3,0)*VLOOKUP('Données projet'!$B$9,Paramètres!$A$1:$I$89,5,0)</f>
        <v>137.85408000000001</v>
      </c>
      <c r="P35" s="13">
        <f t="shared" si="33"/>
        <v>35.804964283629964</v>
      </c>
      <c r="Q35" s="20">
        <f t="shared" ref="Q35:Q66" si="53">(O35+P35)*0.475*44/12</f>
        <v>302.45616879398887</v>
      </c>
      <c r="R35" s="59">
        <f t="shared" si="0"/>
        <v>595.78950212732218</v>
      </c>
      <c r="S35" s="59">
        <f ca="1">AVERAGE(OFFSET($R$3,0,0,'Données projet'!$E$9+1,1))-AVERAGE(OFFSET($H$3,0,0,'Données projet'!$E$9+1,1))</f>
        <v>252.49539407921907</v>
      </c>
      <c r="T35" s="59">
        <f t="shared" si="34"/>
        <v>263.36387286233929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15.881076919999998</v>
      </c>
      <c r="AI35" s="13">
        <f>IF('Données projet'!$A$62&gt;35,AI34+AH35-AQ34,IF(A35&lt;'Données projet'!$A$62,$AF$205^A35,IF(A35='Données projet'!$A$62,'Données projet'!$B$62,AI34+AH35-AQ34)))</f>
        <v>153.64676924</v>
      </c>
      <c r="AJ35" s="13">
        <f>AI35*VLOOKUP('Données projet'!$B$10,Paramètres!$A$1:$I$89,3,0)*VLOOKUP('Données projet'!$B$10,Paramètres!$A$1:$I$89,5,0)</f>
        <v>139.01959680835199</v>
      </c>
      <c r="AK35" s="13">
        <f t="shared" si="35"/>
        <v>36.072317113336823</v>
      </c>
      <c r="AL35" s="20">
        <f t="shared" si="4"/>
        <v>304.95175008027468</v>
      </c>
      <c r="AM35" s="59">
        <f t="shared" si="5"/>
        <v>598.28508341360794</v>
      </c>
      <c r="AN35" s="59">
        <f ca="1">AVERAGE(OFFSET($AM$3,0,0,'Données projet'!$E$10+1,1))-AVERAGE(OFFSET($H$3,0,0,'Données projet'!$E$10+1,1))</f>
        <v>370.05613271587413</v>
      </c>
      <c r="AO35" s="59">
        <f t="shared" si="36"/>
        <v>183.24480056442525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15.881076919999998</v>
      </c>
      <c r="BD35" s="12">
        <f>IF('Données projet'!$A$88&gt;35,BD34+BC35-BL34,IF(A35&lt;'Données projet'!$A$88,$BA$205^A35,IF(A35='Données projet'!$A$88,'Données projet'!$B$88,BD34+BC35-BL34)))</f>
        <v>153.64676924</v>
      </c>
      <c r="BE35" s="13">
        <f>BD35*VLOOKUP('Données projet'!$B$11,Paramètres!$A$1:$I$89,3,0)*VLOOKUP('Données projet'!$B$11,Paramètres!$A$1:$I$89,5,0)</f>
        <v>155.79782400936</v>
      </c>
      <c r="BF35" s="13">
        <f t="shared" si="37"/>
        <v>39.893239751845705</v>
      </c>
      <c r="BG35" s="20">
        <f t="shared" si="7"/>
        <v>340.82860271743323</v>
      </c>
      <c r="BH35" s="59">
        <f t="shared" si="8"/>
        <v>634.1619360507666</v>
      </c>
      <c r="BI35" s="59">
        <f ca="1">AVERAGE(OFFSET($BH$3,0,0,'Données projet'!$E$11+1,1))-AVERAGE(OFFSET($H$3,0,0,'Données projet'!$E$11+1,1))</f>
        <v>428.72181435671394</v>
      </c>
      <c r="BJ35" s="59">
        <f t="shared" si="38"/>
        <v>211.84936043087572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15.2</v>
      </c>
      <c r="BY35" s="12">
        <f>IF('Données projet'!$A$114&gt;35,BY34+BX35-CG34,IF(A35&lt;'Données projet'!$A$114,$BV$205^A35,IF(A35='Données projet'!$A$114,'Données projet'!$B$114,BY34+BX35-CG34)))</f>
        <v>193.40000000000003</v>
      </c>
      <c r="BZ35" s="13">
        <f>BY35*VLOOKUP('Données projet'!$B$12,Paramètres!$A$1:$I$89,3,0)*VLOOKUP('Données projet'!$B$12,Paramètres!$A$1:$I$89,5,0)</f>
        <v>153.86904000000004</v>
      </c>
      <c r="CA35" s="13">
        <f t="shared" si="39"/>
        <v>39.456531419736123</v>
      </c>
      <c r="CB35" s="20">
        <f t="shared" si="10"/>
        <v>336.70870355604046</v>
      </c>
      <c r="CC35" s="59">
        <f t="shared" si="11"/>
        <v>630.04203688937378</v>
      </c>
      <c r="CD35" s="59">
        <f ca="1">AVERAGE(OFFSET($CC$3,0,0,'Données projet'!$E$12+1,1))-AVERAGE(OFFSET($H$3,0,0,'Données projet'!$E$12+1,1))</f>
        <v>296.737543892524</v>
      </c>
      <c r="CE35" s="59">
        <f t="shared" si="40"/>
        <v>296.38358650317099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12.8</v>
      </c>
      <c r="CT35" s="12">
        <f>IF('Données projet'!$A$140&gt;35,CT34+CS35-DB34,IF(A35&lt;'Données projet'!$A$140,$CQ$205^A35,IF(A35='Données projet'!$A$140,'Données projet'!$B$140,CT34+CS35-DB34)))</f>
        <v>136.60000000000002</v>
      </c>
      <c r="CU35" s="17">
        <f>CT35*VLOOKUP('Données projet'!$B$13,Paramètres!$A$1:$I$89,3,0)*VLOOKUP('Données projet'!$B$13,Paramètres!$A$1:$I$89,5,0)</f>
        <v>117.20280000000004</v>
      </c>
      <c r="CV35" s="13">
        <f t="shared" si="41"/>
        <v>31.021705481209352</v>
      </c>
      <c r="CW35" s="20">
        <f t="shared" si="13"/>
        <v>258.15768037977301</v>
      </c>
      <c r="CX35" s="59">
        <f t="shared" si="14"/>
        <v>551.49101371310633</v>
      </c>
      <c r="CY35" s="59">
        <f ca="1">AVERAGE(OFFSET($CX$3,0,0,'Données projet'!$E$13+1,1))-AVERAGE(OFFSET($H$3,0,0,'Données projet'!$E$13+1,1))</f>
        <v>391.93999504334352</v>
      </c>
      <c r="CZ35" s="59">
        <f t="shared" si="42"/>
        <v>215.4484906985528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15.2</v>
      </c>
      <c r="DO35" s="12">
        <f>IF('Données projet'!$A$166&gt;35,DO34+DN35-DW34,IF(A35&lt;'Données projet'!$A$166,$DL$205^A35,IF(A35='Données projet'!$A$166,'Données projet'!$B$166,DO34+DN35-DW34)))</f>
        <v>193.40000000000003</v>
      </c>
      <c r="DP35" s="17">
        <f>DO35*VLOOKUP('Données projet'!$B$14,Paramètres!$A$1:$I$89,3,0)*VLOOKUP('Données projet'!$B$14,Paramètres!$A$1:$I$89,5,0)</f>
        <v>141.80088000000003</v>
      </c>
      <c r="DQ35" s="13">
        <f t="shared" si="43"/>
        <v>36.709254421801973</v>
      </c>
      <c r="DR35" s="20">
        <f t="shared" si="16"/>
        <v>310.90515078463847</v>
      </c>
      <c r="DS35" s="59">
        <f t="shared" si="17"/>
        <v>604.23848411797178</v>
      </c>
      <c r="DT35" s="59">
        <f ca="1">AVERAGE(OFFSET($DS$3,0,0,'Données projet'!$E$14+1,1))-AVERAGE(OFFSET($H$3,0,0,'Données projet'!$E$14+1,1))</f>
        <v>267.92147257573157</v>
      </c>
      <c r="DU35" s="59">
        <f t="shared" si="44"/>
        <v>269.06662611892438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28.661666666666662</v>
      </c>
      <c r="EJ35" s="12">
        <f>IF('Données projet'!$A$192&gt;35,EJ34+EI35-ER34,IF(A35&lt;'Données projet'!$A$192,$EG$205^A35,IF(A35='Données projet'!$A$192,'Données projet'!$B$192,EJ34+EI35-ER34)))</f>
        <v>387.04333333333329</v>
      </c>
      <c r="EK35" s="17">
        <f>EJ35*VLOOKUP('Données projet'!$B$15,Paramètres!$A$1:$I$89,3,0)*VLOOKUP('Données projet'!$B$15,Paramètres!$A$1:$I$89,5,0)</f>
        <v>216.35722333333334</v>
      </c>
      <c r="EL35" s="13">
        <f t="shared" si="45"/>
        <v>53.322378483830668</v>
      </c>
      <c r="EM35" s="20">
        <f t="shared" si="19"/>
        <v>469.69197316489391</v>
      </c>
      <c r="EN35" s="59">
        <f t="shared" si="20"/>
        <v>763.02530649822722</v>
      </c>
      <c r="EO35" s="59">
        <f ca="1">AVERAGE(OFFSET($EN$3,0,0,'Données projet'!$E$15+1,1))-AVERAGE(OFFSET($H$3,0,0,'Données projet'!$E$15+1,1))</f>
        <v>326.29985515186428</v>
      </c>
      <c r="EP35" s="59">
        <f t="shared" si="46"/>
        <v>437.68177084535927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47.843338145197379</v>
      </c>
      <c r="EX35" s="21">
        <f>EXP(-LN(2)/2)*EX34+(1-EXP(-LN(2)/2))/(LN(2)/2)*ER35*EU35*VLOOKUP('Données projet'!$B$15,Paramètres!$A$1:$I$89,3,0)*0.475*44/12</f>
        <v>0.36996026453140607</v>
      </c>
      <c r="EY35" s="22">
        <f t="shared" si="21"/>
        <v>48.213298409728786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1.7053025658242404E-13</v>
      </c>
      <c r="FF35" s="17">
        <f>FE35*VLOOKUP('Données projet'!$B$16,Paramètres!$A$1:$I$89,3,0)*VLOOKUP('Données projet'!$B$16,Paramètres!$A$1:$I$89,5,0)</f>
        <v>9.7631982498569413E-14</v>
      </c>
      <c r="FG35" s="13">
        <f t="shared" si="47"/>
        <v>1.4708068762530911E-12</v>
      </c>
      <c r="FH35" s="20">
        <f t="shared" si="22"/>
        <v>2.7316976789924749E-12</v>
      </c>
      <c r="FI35" s="59">
        <f t="shared" si="23"/>
        <v>293.33333333333604</v>
      </c>
      <c r="FJ35" s="59">
        <f ca="1">AVERAGE(OFFSET($FI$3,0,0,'Données projet'!$E$16+1,1))-AVERAGE(OFFSET($H$3,0,0,'Données projet'!$E$16+1,1))</f>
        <v>211.14768428403215</v>
      </c>
      <c r="FK35" s="59">
        <f t="shared" si="48"/>
        <v>350.7800157534798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79.826821975949869</v>
      </c>
      <c r="FR35" s="21">
        <f>EXP(-LN(2)/25)*FR34+(1-EXP(-LN(2)/25))/(LN(2)/25)*Calculateur!FM35*Calculateur!FO35*VLOOKUP('Données projet'!$B$16,Paramètres!$A$1:$I$89,3,0)*0.475*44/12</f>
        <v>20.353603439521386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100.18042541547126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28.828799999999994</v>
      </c>
      <c r="D36" s="11">
        <f t="shared" si="32"/>
        <v>8.9836912534059454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291.88589739471257</v>
      </c>
      <c r="H36" s="66">
        <f t="shared" si="1"/>
        <v>359.19008893301532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10.4</v>
      </c>
      <c r="N36" s="13">
        <f>IF('Données projet'!$A$36&gt;35,N35+M36-V35,IF(A36&lt;'Données projet'!$A$36,$K$205^A36,IF(A36='Données projet'!$A$36,'Données projet'!$B$36,N35+M36-V35)))</f>
        <v>168.20000000000002</v>
      </c>
      <c r="O36" s="13">
        <f>N36*VLOOKUP('Données projet'!$B$9,Paramètres!$A$1:$I$89,3,0)*VLOOKUP('Données projet'!$B$9,Paramètres!$A$1:$I$89,5,0)</f>
        <v>146.93952000000004</v>
      </c>
      <c r="P36" s="13">
        <f t="shared" si="33"/>
        <v>37.882248330654257</v>
      </c>
      <c r="Q36" s="20">
        <f t="shared" si="53"/>
        <v>321.89791317588953</v>
      </c>
      <c r="R36" s="59">
        <f t="shared" si="0"/>
        <v>615.23124650922284</v>
      </c>
      <c r="S36" s="59">
        <f ca="1">AVERAGE(OFFSET($R$3,0,0,'Données projet'!$E$9+1,1))-AVERAGE(OFFSET($H$3,0,0,'Données projet'!$E$9+1,1))</f>
        <v>252.49539407921907</v>
      </c>
      <c r="T36" s="59">
        <f t="shared" si="34"/>
        <v>263.36387286233929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15.881076919999998</v>
      </c>
      <c r="AI36" s="13">
        <f>IF('Données projet'!$A$62&gt;35,AI35+AH36-AQ35,IF(A36&lt;'Données projet'!$A$62,$AF$205^A36,IF(A36='Données projet'!$A$62,'Données projet'!$B$62,AI35+AH36-AQ35)))</f>
        <v>169.52784616</v>
      </c>
      <c r="AJ36" s="13">
        <f>AI36*VLOOKUP('Données projet'!$B$10,Paramètres!$A$1:$I$89,3,0)*VLOOKUP('Données projet'!$B$10,Paramètres!$A$1:$I$89,5,0)</f>
        <v>153.38879520556799</v>
      </c>
      <c r="AK36" s="13">
        <f t="shared" si="35"/>
        <v>39.347697315453154</v>
      </c>
      <c r="AL36" s="20">
        <f t="shared" si="4"/>
        <v>335.68272447411181</v>
      </c>
      <c r="AM36" s="59">
        <f t="shared" si="5"/>
        <v>629.01605780744512</v>
      </c>
      <c r="AN36" s="59">
        <f ca="1">AVERAGE(OFFSET($AM$3,0,0,'Données projet'!$E$10+1,1))-AVERAGE(OFFSET($H$3,0,0,'Données projet'!$E$10+1,1))</f>
        <v>370.05613271587413</v>
      </c>
      <c r="AO36" s="59">
        <f t="shared" si="36"/>
        <v>183.24480056442525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15.881076919999998</v>
      </c>
      <c r="BD36" s="12">
        <f>IF('Données projet'!$A$88&gt;35,BD35+BC36-BL35,IF(A36&lt;'Données projet'!$A$88,$BA$205^A36,IF(A36='Données projet'!$A$88,'Données projet'!$B$88,BD35+BC36-BL35)))</f>
        <v>169.52784616</v>
      </c>
      <c r="BE36" s="13">
        <f>BD36*VLOOKUP('Données projet'!$B$11,Paramètres!$A$1:$I$89,3,0)*VLOOKUP('Données projet'!$B$11,Paramètres!$A$1:$I$89,5,0)</f>
        <v>171.90123600624</v>
      </c>
      <c r="BF36" s="13">
        <f t="shared" si="37"/>
        <v>43.51556119216054</v>
      </c>
      <c r="BG36" s="20">
        <f t="shared" si="7"/>
        <v>375.18425512054756</v>
      </c>
      <c r="BH36" s="59">
        <f t="shared" si="8"/>
        <v>668.51758845388088</v>
      </c>
      <c r="BI36" s="59">
        <f ca="1">AVERAGE(OFFSET($BH$3,0,0,'Données projet'!$E$11+1,1))-AVERAGE(OFFSET($H$3,0,0,'Données projet'!$E$11+1,1))</f>
        <v>428.72181435671394</v>
      </c>
      <c r="BJ36" s="59">
        <f t="shared" si="38"/>
        <v>211.84936043087572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15.2</v>
      </c>
      <c r="BY36" s="12">
        <f>IF('Données projet'!$A$114&gt;35,BY35+BX36-CG35,IF(A36&lt;'Données projet'!$A$114,$BV$205^A36,IF(A36='Données projet'!$A$114,'Données projet'!$B$114,BY35+BX36-CG35)))</f>
        <v>208.60000000000002</v>
      </c>
      <c r="BZ36" s="13">
        <f>BY36*VLOOKUP('Données projet'!$B$12,Paramètres!$A$1:$I$89,3,0)*VLOOKUP('Données projet'!$B$12,Paramètres!$A$1:$I$89,5,0)</f>
        <v>165.96216000000001</v>
      </c>
      <c r="CA36" s="13">
        <f t="shared" si="39"/>
        <v>42.184420424142857</v>
      </c>
      <c r="CB36" s="20">
        <f t="shared" si="10"/>
        <v>362.52196090538217</v>
      </c>
      <c r="CC36" s="59">
        <f t="shared" si="11"/>
        <v>655.85529423871549</v>
      </c>
      <c r="CD36" s="59">
        <f ca="1">AVERAGE(OFFSET($CC$3,0,0,'Données projet'!$E$12+1,1))-AVERAGE(OFFSET($H$3,0,0,'Données projet'!$E$12+1,1))</f>
        <v>296.737543892524</v>
      </c>
      <c r="CE36" s="59">
        <f t="shared" si="40"/>
        <v>296.38358650317099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12.8</v>
      </c>
      <c r="CT36" s="12">
        <f>IF('Données projet'!$A$140&gt;35,CT35+CS36-DB35,IF(A36&lt;'Données projet'!$A$140,$CQ$205^A36,IF(A36='Données projet'!$A$140,'Données projet'!$B$140,CT35+CS36-DB35)))</f>
        <v>149.40000000000003</v>
      </c>
      <c r="CU36" s="17">
        <f>CT36*VLOOKUP('Données projet'!$B$13,Paramètres!$A$1:$I$89,3,0)*VLOOKUP('Données projet'!$B$13,Paramètres!$A$1:$I$89,5,0)</f>
        <v>128.18520000000004</v>
      </c>
      <c r="CV36" s="13">
        <f t="shared" si="41"/>
        <v>33.57666984533806</v>
      </c>
      <c r="CW36" s="20">
        <f t="shared" si="13"/>
        <v>281.73525664729715</v>
      </c>
      <c r="CX36" s="59">
        <f t="shared" si="14"/>
        <v>575.06858998063046</v>
      </c>
      <c r="CY36" s="59">
        <f ca="1">AVERAGE(OFFSET($CX$3,0,0,'Données projet'!$E$13+1,1))-AVERAGE(OFFSET($H$3,0,0,'Données projet'!$E$13+1,1))</f>
        <v>391.93999504334352</v>
      </c>
      <c r="CZ36" s="59">
        <f t="shared" si="42"/>
        <v>215.4484906985528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15.2</v>
      </c>
      <c r="DO36" s="12">
        <f>IF('Données projet'!$A$166&gt;35,DO35+DN36-DW35,IF(A36&lt;'Données projet'!$A$166,$DL$205^A36,IF(A36='Données projet'!$A$166,'Données projet'!$B$166,DO35+DN36-DW35)))</f>
        <v>208.60000000000002</v>
      </c>
      <c r="DP36" s="17">
        <f>DO36*VLOOKUP('Données projet'!$B$14,Paramètres!$A$1:$I$89,3,0)*VLOOKUP('Données projet'!$B$14,Paramètres!$A$1:$I$89,5,0)</f>
        <v>152.94552000000002</v>
      </c>
      <c r="DQ36" s="13">
        <f t="shared" si="43"/>
        <v>39.247206134585156</v>
      </c>
      <c r="DR36" s="20">
        <f t="shared" si="16"/>
        <v>334.73566468440248</v>
      </c>
      <c r="DS36" s="59">
        <f t="shared" si="17"/>
        <v>628.06899801773579</v>
      </c>
      <c r="DT36" s="59">
        <f ca="1">AVERAGE(OFFSET($DS$3,0,0,'Données projet'!$E$14+1,1))-AVERAGE(OFFSET($H$3,0,0,'Données projet'!$E$14+1,1))</f>
        <v>267.92147257573157</v>
      </c>
      <c r="DU36" s="59">
        <f t="shared" si="44"/>
        <v>269.06662611892438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28.661666666666662</v>
      </c>
      <c r="EJ36" s="12">
        <f>IF('Données projet'!$A$192&gt;35,EJ35+EI36-ER35,IF(A36&lt;'Données projet'!$A$192,$EG$205^A36,IF(A36='Données projet'!$A$192,'Données projet'!$B$192,EJ35+EI36-ER35)))</f>
        <v>415.70499999999993</v>
      </c>
      <c r="EK36" s="17">
        <f>EJ36*VLOOKUP('Données projet'!$B$15,Paramètres!$A$1:$I$89,3,0)*VLOOKUP('Données projet'!$B$15,Paramètres!$A$1:$I$89,5,0)</f>
        <v>232.37909499999998</v>
      </c>
      <c r="EL36" s="13">
        <f t="shared" si="45"/>
        <v>56.796788993130136</v>
      </c>
      <c r="EM36" s="20">
        <f t="shared" si="19"/>
        <v>503.64799795470162</v>
      </c>
      <c r="EN36" s="59">
        <f t="shared" si="20"/>
        <v>796.98133128803488</v>
      </c>
      <c r="EO36" s="59">
        <f ca="1">AVERAGE(OFFSET($EN$3,0,0,'Données projet'!$E$15+1,1))-AVERAGE(OFFSET($H$3,0,0,'Données projet'!$E$15+1,1))</f>
        <v>326.29985515186428</v>
      </c>
      <c r="EP36" s="59">
        <f t="shared" si="46"/>
        <v>437.68177084535927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46.535059547645147</v>
      </c>
      <c r="EX36" s="21">
        <f>EXP(-LN(2)/2)*EX35+(1-EXP(-LN(2)/2))/(LN(2)/2)*ER36*EU36*VLOOKUP('Données projet'!$B$15,Paramètres!$A$1:$I$89,3,0)*0.475*44/12</f>
        <v>0.26160141181972618</v>
      </c>
      <c r="EY36" s="22">
        <f t="shared" si="21"/>
        <v>46.796660959464873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1.7053025658242404E-13</v>
      </c>
      <c r="FF36" s="17">
        <f>FE36*VLOOKUP('Données projet'!$B$16,Paramètres!$A$1:$I$89,3,0)*VLOOKUP('Données projet'!$B$16,Paramètres!$A$1:$I$89,5,0)</f>
        <v>9.7631982498569413E-14</v>
      </c>
      <c r="FG36" s="13">
        <f t="shared" si="47"/>
        <v>1.4708068762530911E-12</v>
      </c>
      <c r="FH36" s="20">
        <f t="shared" si="22"/>
        <v>2.7316976789924749E-12</v>
      </c>
      <c r="FI36" s="59">
        <f t="shared" si="23"/>
        <v>293.33333333333604</v>
      </c>
      <c r="FJ36" s="59">
        <f ca="1">AVERAGE(OFFSET($FI$3,0,0,'Données projet'!$E$16+1,1))-AVERAGE(OFFSET($H$3,0,0,'Données projet'!$E$16+1,1))</f>
        <v>211.14768428403215</v>
      </c>
      <c r="FK36" s="59">
        <f t="shared" si="48"/>
        <v>350.7800157534798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78.26146668655521</v>
      </c>
      <c r="FR36" s="21">
        <f>EXP(-LN(2)/25)*FR35+(1-EXP(-LN(2)/25))/(LN(2)/25)*Calculateur!FM36*Calculateur!FO36*VLOOKUP('Données projet'!$B$16,Paramètres!$A$1:$I$89,3,0)*0.475*44/12</f>
        <v>19.797033083118187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98.058499769673404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29.702399999999994</v>
      </c>
      <c r="D37" s="11">
        <f t="shared" si="32"/>
        <v>9.223816867094067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300.48307757055068</v>
      </c>
      <c r="H37" s="66">
        <f t="shared" si="1"/>
        <v>361.12982771018881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10.4</v>
      </c>
      <c r="N37" s="13">
        <f>IF('Données projet'!$A$36&gt;35,N36+M37-V36,IF(A37&lt;'Données projet'!$A$36,$K$205^A37,IF(A37='Données projet'!$A$36,'Données projet'!$B$36,N36+M37-V36)))</f>
        <v>178.60000000000002</v>
      </c>
      <c r="O37" s="13">
        <f>N37*VLOOKUP('Données projet'!$B$9,Paramètres!$A$1:$I$89,3,0)*VLOOKUP('Données projet'!$B$9,Paramètres!$A$1:$I$89,5,0)</f>
        <v>156.02496000000005</v>
      </c>
      <c r="P37" s="13">
        <f t="shared" si="33"/>
        <v>39.944625507905997</v>
      </c>
      <c r="Q37" s="20">
        <f t="shared" si="53"/>
        <v>341.31369475960304</v>
      </c>
      <c r="R37" s="59">
        <f t="shared" si="0"/>
        <v>634.64702809293635</v>
      </c>
      <c r="S37" s="59">
        <f ca="1">AVERAGE(OFFSET($R$3,0,0,'Données projet'!$E$9+1,1))-AVERAGE(OFFSET($H$3,0,0,'Données projet'!$E$9+1,1))</f>
        <v>252.49539407921907</v>
      </c>
      <c r="T37" s="59">
        <f t="shared" si="34"/>
        <v>263.36387286233929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15.881076919999998</v>
      </c>
      <c r="AI37" s="13">
        <f>IF('Données projet'!$A$62&gt;35,AI36+AH37-AQ36,IF(A37&lt;'Données projet'!$A$62,$AF$205^A37,IF(A37='Données projet'!$A$62,'Données projet'!$B$62,AI36+AH37-AQ36)))</f>
        <v>185.40892307999999</v>
      </c>
      <c r="AJ37" s="13">
        <f>AI37*VLOOKUP('Données projet'!$B$10,Paramètres!$A$1:$I$89,3,0)*VLOOKUP('Données projet'!$B$10,Paramètres!$A$1:$I$89,5,0)</f>
        <v>167.75799360278398</v>
      </c>
      <c r="AK37" s="13">
        <f t="shared" si="35"/>
        <v>42.587501411908057</v>
      </c>
      <c r="AL37" s="20">
        <f t="shared" si="4"/>
        <v>366.35173715058863</v>
      </c>
      <c r="AM37" s="59">
        <f t="shared" si="5"/>
        <v>659.68507048392189</v>
      </c>
      <c r="AN37" s="59">
        <f ca="1">AVERAGE(OFFSET($AM$3,0,0,'Données projet'!$E$10+1,1))-AVERAGE(OFFSET($H$3,0,0,'Données projet'!$E$10+1,1))</f>
        <v>370.05613271587413</v>
      </c>
      <c r="AO37" s="59">
        <f t="shared" si="36"/>
        <v>183.24480056442525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15.881076919999998</v>
      </c>
      <c r="BD37" s="12">
        <f>IF('Données projet'!$A$88&gt;35,BD36+BC37-BL36,IF(A37&lt;'Données projet'!$A$88,$BA$205^A37,IF(A37='Données projet'!$A$88,'Données projet'!$B$88,BD36+BC37-BL36)))</f>
        <v>185.40892307999999</v>
      </c>
      <c r="BE37" s="13">
        <f>BD37*VLOOKUP('Données projet'!$B$11,Paramètres!$A$1:$I$89,3,0)*VLOOKUP('Données projet'!$B$11,Paramètres!$A$1:$I$89,5,0)</f>
        <v>188.00464800312002</v>
      </c>
      <c r="BF37" s="13">
        <f t="shared" si="37"/>
        <v>47.098538164856876</v>
      </c>
      <c r="BG37" s="20">
        <f t="shared" si="7"/>
        <v>409.47138257589313</v>
      </c>
      <c r="BH37" s="59">
        <f t="shared" si="8"/>
        <v>702.80471590922639</v>
      </c>
      <c r="BI37" s="59">
        <f ca="1">AVERAGE(OFFSET($BH$3,0,0,'Données projet'!$E$11+1,1))-AVERAGE(OFFSET($H$3,0,0,'Données projet'!$E$11+1,1))</f>
        <v>428.72181435671394</v>
      </c>
      <c r="BJ37" s="59">
        <f t="shared" si="38"/>
        <v>211.84936043087572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15.2</v>
      </c>
      <c r="BY37" s="12">
        <f>IF('Données projet'!$A$114&gt;35,BY36+BX37-CG36,IF(A37&lt;'Données projet'!$A$114,$BV$205^A37,IF(A37='Données projet'!$A$114,'Données projet'!$B$114,BY36+BX37-CG36)))</f>
        <v>223.8</v>
      </c>
      <c r="BZ37" s="13">
        <f>BY37*VLOOKUP('Données projet'!$B$12,Paramètres!$A$1:$I$89,3,0)*VLOOKUP('Données projet'!$B$12,Paramètres!$A$1:$I$89,5,0)</f>
        <v>178.05528000000001</v>
      </c>
      <c r="CA37" s="13">
        <f t="shared" si="39"/>
        <v>44.889248639558041</v>
      </c>
      <c r="CB37" s="20">
        <f t="shared" si="10"/>
        <v>388.29505404723028</v>
      </c>
      <c r="CC37" s="59">
        <f t="shared" si="11"/>
        <v>681.62838738056359</v>
      </c>
      <c r="CD37" s="59">
        <f ca="1">AVERAGE(OFFSET($CC$3,0,0,'Données projet'!$E$12+1,1))-AVERAGE(OFFSET($H$3,0,0,'Données projet'!$E$12+1,1))</f>
        <v>296.737543892524</v>
      </c>
      <c r="CE37" s="59">
        <f t="shared" si="40"/>
        <v>296.38358650317099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12.8</v>
      </c>
      <c r="CT37" s="12">
        <f>IF('Données projet'!$A$140&gt;35,CT36+CS37-DB36,IF(A37&lt;'Données projet'!$A$140,$CQ$205^A37,IF(A37='Données projet'!$A$140,'Données projet'!$B$140,CT36+CS37-DB36)))</f>
        <v>162.20000000000005</v>
      </c>
      <c r="CU37" s="17">
        <f>CT37*VLOOKUP('Données projet'!$B$13,Paramètres!$A$1:$I$89,3,0)*VLOOKUP('Données projet'!$B$13,Paramètres!$A$1:$I$89,5,0)</f>
        <v>139.16760000000005</v>
      </c>
      <c r="CV37" s="13">
        <f t="shared" si="41"/>
        <v>36.106248210614609</v>
      </c>
      <c r="CW37" s="20">
        <f t="shared" si="13"/>
        <v>305.2686189668205</v>
      </c>
      <c r="CX37" s="59">
        <f t="shared" si="14"/>
        <v>598.60195230015381</v>
      </c>
      <c r="CY37" s="59">
        <f ca="1">AVERAGE(OFFSET($CX$3,0,0,'Données projet'!$E$13+1,1))-AVERAGE(OFFSET($H$3,0,0,'Données projet'!$E$13+1,1))</f>
        <v>391.93999504334352</v>
      </c>
      <c r="CZ37" s="59">
        <f t="shared" si="42"/>
        <v>215.4484906985528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15.2</v>
      </c>
      <c r="DO37" s="12">
        <f>IF('Données projet'!$A$166&gt;35,DO36+DN37-DW36,IF(A37&lt;'Données projet'!$A$166,$DL$205^A37,IF(A37='Données projet'!$A$166,'Données projet'!$B$166,DO36+DN37-DW36)))</f>
        <v>223.8</v>
      </c>
      <c r="DP37" s="17">
        <f>DO37*VLOOKUP('Données projet'!$B$14,Paramètres!$A$1:$I$89,3,0)*VLOOKUP('Données projet'!$B$14,Paramètres!$A$1:$I$89,5,0)</f>
        <v>164.09016</v>
      </c>
      <c r="DQ37" s="13">
        <f t="shared" si="43"/>
        <v>41.763702733606458</v>
      </c>
      <c r="DR37" s="20">
        <f t="shared" si="16"/>
        <v>358.52881092769786</v>
      </c>
      <c r="DS37" s="59">
        <f t="shared" si="17"/>
        <v>651.86214426103118</v>
      </c>
      <c r="DT37" s="59">
        <f ca="1">AVERAGE(OFFSET($DS$3,0,0,'Données projet'!$E$14+1,1))-AVERAGE(OFFSET($H$3,0,0,'Données projet'!$E$14+1,1))</f>
        <v>267.92147257573157</v>
      </c>
      <c r="DU37" s="59">
        <f t="shared" si="44"/>
        <v>269.06662611892438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28.661666666666662</v>
      </c>
      <c r="EJ37" s="12">
        <f>IF('Données projet'!$A$192&gt;35,EJ36+EI37-ER36,IF(A37&lt;'Données projet'!$A$192,$EG$205^A37,IF(A37='Données projet'!$A$192,'Données projet'!$B$192,EJ36+EI37-ER36)))</f>
        <v>444.36666666666656</v>
      </c>
      <c r="EK37" s="17">
        <f>EJ37*VLOOKUP('Données projet'!$B$15,Paramètres!$A$1:$I$89,3,0)*VLOOKUP('Données projet'!$B$15,Paramètres!$A$1:$I$89,5,0)</f>
        <v>248.40096666666662</v>
      </c>
      <c r="EL37" s="13">
        <f t="shared" si="45"/>
        <v>60.243404162664191</v>
      </c>
      <c r="EM37" s="20">
        <f t="shared" si="19"/>
        <v>537.55561252775112</v>
      </c>
      <c r="EN37" s="59">
        <f t="shared" si="20"/>
        <v>830.88894586108449</v>
      </c>
      <c r="EO37" s="59">
        <f ca="1">AVERAGE(OFFSET($EN$3,0,0,'Données projet'!$E$15+1,1))-AVERAGE(OFFSET($H$3,0,0,'Données projet'!$E$15+1,1))</f>
        <v>326.29985515186428</v>
      </c>
      <c r="EP37" s="59">
        <f t="shared" si="46"/>
        <v>437.68177084535927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45.26255589714237</v>
      </c>
      <c r="EX37" s="21">
        <f>EXP(-LN(2)/2)*EX36+(1-EXP(-LN(2)/2))/(LN(2)/2)*ER37*EU37*VLOOKUP('Données projet'!$B$15,Paramètres!$A$1:$I$89,3,0)*0.475*44/12</f>
        <v>0.18498013226570303</v>
      </c>
      <c r="EY37" s="22">
        <f t="shared" si="21"/>
        <v>45.44753602940807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1.7053025658242404E-13</v>
      </c>
      <c r="FF37" s="17">
        <f>FE37*VLOOKUP('Données projet'!$B$16,Paramètres!$A$1:$I$89,3,0)*VLOOKUP('Données projet'!$B$16,Paramètres!$A$1:$I$89,5,0)</f>
        <v>9.7631982498569413E-14</v>
      </c>
      <c r="FG37" s="13">
        <f t="shared" si="47"/>
        <v>1.4708068762530911E-12</v>
      </c>
      <c r="FH37" s="20">
        <f t="shared" si="22"/>
        <v>2.7316976789924749E-12</v>
      </c>
      <c r="FI37" s="59">
        <f t="shared" si="23"/>
        <v>293.33333333333604</v>
      </c>
      <c r="FJ37" s="59">
        <f ca="1">AVERAGE(OFFSET($FI$3,0,0,'Données projet'!$E$16+1,1))-AVERAGE(OFFSET($H$3,0,0,'Données projet'!$E$16+1,1))</f>
        <v>211.14768428403215</v>
      </c>
      <c r="FK37" s="59">
        <f t="shared" si="48"/>
        <v>350.7800157534798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76.726807059613122</v>
      </c>
      <c r="FR37" s="21">
        <f>EXP(-LN(2)/25)*FR36+(1-EXP(-LN(2)/25))/(LN(2)/25)*Calculateur!FM37*Calculateur!FO37*VLOOKUP('Données projet'!$B$16,Paramètres!$A$1:$I$89,3,0)*0.475*44/12</f>
        <v>19.255682172379597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95.982489231992716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30.575999999999993</v>
      </c>
      <c r="D38" s="11">
        <f t="shared" si="32"/>
        <v>9.4631216842413828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309.0739217730914</v>
      </c>
      <c r="H38" s="66">
        <f t="shared" si="1"/>
        <v>363.06813693338705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189</v>
      </c>
      <c r="L38" s="12">
        <f>VLOOKUP(A38,'Données projet'!$A$35:$I$55,9,0)</f>
        <v>10.4</v>
      </c>
      <c r="M38" s="12">
        <f t="array" ref="M38">INDEX(L:L,MIN(IF(ISNUMBER(L38:L234),ROW(L38:L234),"")))</f>
        <v>10.4</v>
      </c>
      <c r="N38" s="13">
        <f>IF('Données projet'!$A$36&gt;35,N37+M38-V37,IF(A38&lt;'Données projet'!$A$36,$K$205^A38,IF(A38='Données projet'!$A$36,'Données projet'!$B$36,N37+M38-V37)))</f>
        <v>189.00000000000003</v>
      </c>
      <c r="O38" s="13">
        <f>N38*VLOOKUP('Données projet'!$B$9,Paramètres!$A$1:$I$89,3,0)*VLOOKUP('Données projet'!$B$9,Paramètres!$A$1:$I$89,5,0)</f>
        <v>165.11040000000006</v>
      </c>
      <c r="P38" s="13">
        <f t="shared" si="33"/>
        <v>41.993062739333482</v>
      </c>
      <c r="Q38" s="20">
        <f t="shared" si="53"/>
        <v>360.70519760433922</v>
      </c>
      <c r="R38" s="59">
        <f t="shared" si="0"/>
        <v>654.03853093767248</v>
      </c>
      <c r="S38" s="59">
        <f ca="1">AVERAGE(OFFSET($R$3,0,0,'Données projet'!$E$9+1,1))-AVERAGE(OFFSET($H$3,0,0,'Données projet'!$E$9+1,1))</f>
        <v>252.49539407921907</v>
      </c>
      <c r="T38" s="59">
        <f t="shared" si="34"/>
        <v>263.36387286233929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32</v>
      </c>
      <c r="W38" s="16">
        <f>IF(ISNA(VLOOKUP(A38,'Données projet'!$A$35:$I$55,5,0)),0%,VLOOKUP(A38,'Données projet'!$A$35:$I$55,5,0)*VLOOKUP('Données projet'!$B$9,Paramètres!$A$1:$I$89,7,0))</f>
        <v>0.43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13.288567588185396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13.288567588185396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201.29</v>
      </c>
      <c r="AG38" s="12">
        <f>VLOOKUP(A38,'Données projet'!$A$61:$I$81,9,0)</f>
        <v>15.881076919999998</v>
      </c>
      <c r="AH38" s="12">
        <f t="array" ref="AH38">INDEX(AG:AG,MIN(IF(ISNUMBER(AG38:AG234),ROW(AG38:AG234),"")))</f>
        <v>15.881076919999998</v>
      </c>
      <c r="AI38" s="13">
        <f>IF('Données projet'!$A$62&gt;35,AI37+AH38-AQ37,IF(A38&lt;'Données projet'!$A$62,$AF$205^A38,IF(A38='Données projet'!$A$62,'Données projet'!$B$62,AI37+AH38-AQ37)))</f>
        <v>201.29</v>
      </c>
      <c r="AJ38" s="13">
        <f>AI38*VLOOKUP('Données projet'!$B$10,Paramètres!$A$1:$I$89,3,0)*VLOOKUP('Données projet'!$B$10,Paramètres!$A$1:$I$89,5,0)</f>
        <v>182.12719199999998</v>
      </c>
      <c r="AK38" s="13">
        <f t="shared" si="35"/>
        <v>45.795123112801811</v>
      </c>
      <c r="AL38" s="20">
        <f t="shared" si="4"/>
        <v>396.96469882146312</v>
      </c>
      <c r="AM38" s="59">
        <f t="shared" si="5"/>
        <v>690.29803215479637</v>
      </c>
      <c r="AN38" s="59">
        <f ca="1">AVERAGE(OFFSET($AM$3,0,0,'Données projet'!$E$10+1,1))-AVERAGE(OFFSET($H$3,0,0,'Données projet'!$E$10+1,1))</f>
        <v>370.05613271587413</v>
      </c>
      <c r="AO38" s="59">
        <f t="shared" si="36"/>
        <v>183.24480056442525</v>
      </c>
      <c r="AP38" s="15">
        <f>IF(ISNA(VLOOKUP(A38,'Données projet'!$A$61:$I$81,3,0)),0,VLOOKUP(A38,'Données projet'!$A$61:$I$81,3,0))</f>
        <v>1</v>
      </c>
      <c r="AQ38" s="15">
        <f>IF(ISNA(VLOOKUP(A38,'Données projet'!$A$61:$I$81,4,0)),0,VLOOKUP(A38,'Données projet'!$A$61:$I$81,4,0))</f>
        <v>69.58</v>
      </c>
      <c r="AR38" s="16">
        <f>IF(ISNA(VLOOKUP(A38,'Données projet'!$A$61:$I$81,5,0)),0%,VLOOKUP(A38,'Données projet'!$A$61:$I$81,5,0)*VLOOKUP('Données projet'!$B$10,Paramètres!$A$1:$I$89,7,0))</f>
        <v>0.43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29.926269476330646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29.926269476330646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201.29</v>
      </c>
      <c r="BB38" s="12">
        <f>VLOOKUP(A38,'Données projet'!$A$87:$I$107,9,0)</f>
        <v>15.881076919999998</v>
      </c>
      <c r="BC38" s="12">
        <f t="array" ref="BC38">INDEX(BB:BB,MIN(IF(ISNUMBER(BB38:BB234),ROW(BB38:BB234),"")))</f>
        <v>15.881076919999998</v>
      </c>
      <c r="BD38" s="12">
        <f>IF('Données projet'!$A$88&gt;35,BD37+BC38-BL37,IF(A38&lt;'Données projet'!$A$88,$BA$205^A38,IF(A38='Données projet'!$A$88,'Données projet'!$B$88,BD37+BC38-BL37)))</f>
        <v>201.29</v>
      </c>
      <c r="BE38" s="13">
        <f>BD38*VLOOKUP('Données projet'!$B$11,Paramètres!$A$1:$I$89,3,0)*VLOOKUP('Données projet'!$B$11,Paramètres!$A$1:$I$89,5,0)</f>
        <v>204.10806000000002</v>
      </c>
      <c r="BF38" s="13">
        <f t="shared" si="37"/>
        <v>50.645923855244554</v>
      </c>
      <c r="BG38" s="20">
        <f t="shared" si="7"/>
        <v>443.69652188121762</v>
      </c>
      <c r="BH38" s="59">
        <f t="shared" si="8"/>
        <v>737.02985521455093</v>
      </c>
      <c r="BI38" s="59">
        <f ca="1">AVERAGE(OFFSET($BH$3,0,0,'Données projet'!$E$11+1,1))-AVERAGE(OFFSET($H$3,0,0,'Données projet'!$E$11+1,1))</f>
        <v>428.72181435671394</v>
      </c>
      <c r="BJ38" s="59">
        <f t="shared" si="38"/>
        <v>211.84936043087572</v>
      </c>
      <c r="BK38" s="15">
        <f>IF(ISNA(VLOOKUP(A38,'Données projet'!$A$87:$I$107,3,0)),0,VLOOKUP(A38,'Données projet'!$A$87:$I$107,3,0))</f>
        <v>1</v>
      </c>
      <c r="BL38" s="15">
        <f>IF(ISNA(VLOOKUP(A38,'Données projet'!$A$87:$I$107,4,0)),0,VLOOKUP(A38,'Données projet'!$A$87:$I$107,4,0))</f>
        <v>69.58</v>
      </c>
      <c r="BM38" s="16">
        <f>IF(ISNA(VLOOKUP(A38,'Données projet'!$A$87:$I$107,5,0)),0%,VLOOKUP(A38,'Données projet'!$A$87:$I$107,5,0)*VLOOKUP('Données projet'!$B$11,Paramètres!$A$1:$I$89,7,0))</f>
        <v>0.43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33.538060620025725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33.538060620025725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239</v>
      </c>
      <c r="BW38" s="12">
        <f>VLOOKUP(A38,'Données projet'!$A$113:$I$133,9,0)</f>
        <v>15.2</v>
      </c>
      <c r="BX38" s="12">
        <f t="array" ref="BX38">INDEX(BW:BW,MIN(IF(ISNUMBER(BW38:BW234),ROW(BW38:BW234),"")))</f>
        <v>15.2</v>
      </c>
      <c r="BY38" s="12">
        <f>IF('Données projet'!$A$114&gt;35,BY37+BX38-CG37,IF(A38&lt;'Données projet'!$A$114,$BV$205^A38,IF(A38='Données projet'!$A$114,'Données projet'!$B$114,BY37+BX38-CG37)))</f>
        <v>239</v>
      </c>
      <c r="BZ38" s="13">
        <f>BY38*VLOOKUP('Données projet'!$B$12,Paramètres!$A$1:$I$89,3,0)*VLOOKUP('Données projet'!$B$12,Paramètres!$A$1:$I$89,5,0)</f>
        <v>190.14840000000001</v>
      </c>
      <c r="CA38" s="13">
        <f t="shared" si="39"/>
        <v>47.572760493232991</v>
      </c>
      <c r="CB38" s="20">
        <f t="shared" si="10"/>
        <v>414.03102119238082</v>
      </c>
      <c r="CC38" s="59">
        <f t="shared" si="11"/>
        <v>707.36435452571413</v>
      </c>
      <c r="CD38" s="59">
        <f ca="1">AVERAGE(OFFSET($CC$3,0,0,'Données projet'!$E$12+1,1))-AVERAGE(OFFSET($H$3,0,0,'Données projet'!$E$12+1,1))</f>
        <v>296.737543892524</v>
      </c>
      <c r="CE38" s="59">
        <f t="shared" si="40"/>
        <v>296.38358650317099</v>
      </c>
      <c r="CF38" s="15">
        <f>IF(ISNA(VLOOKUP(A38,'Données projet'!$A$113:$I$133,3,0)),0,VLOOKUP(A38,'Données projet'!$A$113:$I$133,3,0))</f>
        <v>6</v>
      </c>
      <c r="CG38" s="15">
        <f>IF(ISNA(VLOOKUP(A38,'Données projet'!$A$113:$I$133,4,0)),0,VLOOKUP(A38,'Données projet'!$A$113:$I$133,4,0))</f>
        <v>42</v>
      </c>
      <c r="CH38" s="16">
        <f>IF(ISNA(VLOOKUP(A38,'Données projet'!$A$113:$I$133,5,0)),0%,VLOOKUP(A38,'Données projet'!$A$113:$I$133,5,0)*VLOOKUP('Données projet'!$B$12,Paramètres!$A$1:$I$89,7,0))</f>
        <v>0.53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19.577942327869806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19.577942327869806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175</v>
      </c>
      <c r="CR38" s="12">
        <f>VLOOKUP(A38,'Données projet'!$A$139:$I$159,9,0)</f>
        <v>12.8</v>
      </c>
      <c r="CS38" s="12">
        <f t="array" ref="CS38">INDEX(CR:CR,MIN(IF(ISNUMBER(CR38:CR234),ROW(CR38:CR234),"")))</f>
        <v>12.8</v>
      </c>
      <c r="CT38" s="12">
        <f>IF('Données projet'!$A$140&gt;35,CT37+CS38-DB37,IF(A38&lt;'Données projet'!$A$140,$CQ$205^A38,IF(A38='Données projet'!$A$140,'Données projet'!$B$140,CT37+CS38-DB37)))</f>
        <v>175.00000000000006</v>
      </c>
      <c r="CU38" s="17">
        <f>CT38*VLOOKUP('Données projet'!$B$13,Paramètres!$A$1:$I$89,3,0)*VLOOKUP('Données projet'!$B$13,Paramètres!$A$1:$I$89,5,0)</f>
        <v>150.15000000000006</v>
      </c>
      <c r="CV38" s="13">
        <f t="shared" si="41"/>
        <v>38.612671675922371</v>
      </c>
      <c r="CW38" s="20">
        <f t="shared" si="13"/>
        <v>328.76165316889825</v>
      </c>
      <c r="CX38" s="59">
        <f t="shared" si="14"/>
        <v>622.09498650223156</v>
      </c>
      <c r="CY38" s="59">
        <f ca="1">AVERAGE(OFFSET($CX$3,0,0,'Données projet'!$E$13+1,1))-AVERAGE(OFFSET($H$3,0,0,'Données projet'!$E$13+1,1))</f>
        <v>391.93999504334352</v>
      </c>
      <c r="CZ38" s="59">
        <f t="shared" si="42"/>
        <v>215.4484906985528</v>
      </c>
      <c r="DA38" s="15">
        <f>IF(ISNA(VLOOKUP(A38,'Données projet'!$A$139:$I$159,3,0)),0,VLOOKUP(A38,'Données projet'!$A$139:$I$159,3,0))</f>
        <v>3</v>
      </c>
      <c r="DB38" s="15">
        <f>IF(ISNA(VLOOKUP(A38,'Données projet'!$A$139:$I$159,4,0)),0,VLOOKUP(A38,'Données projet'!$A$139:$I$159,4,0))</f>
        <v>35</v>
      </c>
      <c r="DC38" s="16">
        <f>IF(ISNA(VLOOKUP(A38,'Données projet'!$A$139:$I$159,5,0)),0%,VLOOKUP(A38,'Données projet'!$A$139:$I$159,5,0)*VLOOKUP('Données projet'!$B$13,Paramètres!$A$1:$I$89,7,0))</f>
        <v>0.53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17.594556013608486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17.594556013608486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239</v>
      </c>
      <c r="DM38" s="12">
        <f>VLOOKUP(A38,'Données projet'!$A$165:$I$185,9,0)</f>
        <v>15.2</v>
      </c>
      <c r="DN38" s="12">
        <f t="array" ref="DN38">INDEX(DM:DM,MIN(IF(ISNUMBER(DM38:DM234),ROW(DM38:DM234),"")))</f>
        <v>15.2</v>
      </c>
      <c r="DO38" s="12">
        <f>IF('Données projet'!$A$166&gt;35,DO37+DN38-DW37,IF(A38&lt;'Données projet'!$A$166,$DL$205^A38,IF(A38='Données projet'!$A$166,'Données projet'!$B$166,DO37+DN38-DW37)))</f>
        <v>239</v>
      </c>
      <c r="DP38" s="17">
        <f>DO38*VLOOKUP('Données projet'!$B$14,Paramètres!$A$1:$I$89,3,0)*VLOOKUP('Données projet'!$B$14,Paramètres!$A$1:$I$89,5,0)</f>
        <v>175.23480000000001</v>
      </c>
      <c r="DQ38" s="13">
        <f t="shared" si="43"/>
        <v>44.260367185241513</v>
      </c>
      <c r="DR38" s="20">
        <f t="shared" si="16"/>
        <v>382.28741618096228</v>
      </c>
      <c r="DS38" s="59">
        <f t="shared" si="17"/>
        <v>675.62074951429554</v>
      </c>
      <c r="DT38" s="59">
        <f ca="1">AVERAGE(OFFSET($DS$3,0,0,'Données projet'!$E$14+1,1))-AVERAGE(OFFSET($H$3,0,0,'Données projet'!$E$14+1,1))</f>
        <v>267.92147257573157</v>
      </c>
      <c r="DU38" s="59">
        <f t="shared" si="44"/>
        <v>269.06662611892438</v>
      </c>
      <c r="DV38" s="15">
        <f>IF(ISNA(VLOOKUP(A38,'Données projet'!$A$165:$I$185,3,0)),0,VLOOKUP(A38,'Données projet'!$A$165:$I$185,3,0))</f>
        <v>6</v>
      </c>
      <c r="DW38" s="15">
        <f>IF(ISNA(VLOOKUP(A38,'Données projet'!$A$165:$I$185,4,0)),0,VLOOKUP(A38,'Données projet'!$A$165:$I$185,4,0))</f>
        <v>42</v>
      </c>
      <c r="DX38" s="16">
        <f>IF(ISNA(VLOOKUP(A38,'Données projet'!$A$165:$I$185,5,0)),0%,VLOOKUP(A38,'Données projet'!$A$165:$I$185,5,0)*VLOOKUP('Données projet'!$B$14,Paramètres!$A$1:$I$89,7,0))</f>
        <v>0.43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14.638187733860475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14.638187733860475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28.661666666666662</v>
      </c>
      <c r="EJ38" s="12">
        <f>IF('Données projet'!$A$192&gt;35,EJ37+EI38-ER37,IF(A38&lt;'Données projet'!$A$192,$EG$205^A38,IF(A38='Données projet'!$A$192,'Données projet'!$B$192,EJ37+EI38-ER37)))</f>
        <v>473.02833333333319</v>
      </c>
      <c r="EK38" s="17">
        <f>EJ38*VLOOKUP('Données projet'!$B$15,Paramètres!$A$1:$I$89,3,0)*VLOOKUP('Données projet'!$B$15,Paramètres!$A$1:$I$89,5,0)</f>
        <v>264.42283833333329</v>
      </c>
      <c r="EL38" s="13">
        <f t="shared" si="45"/>
        <v>63.664220837814945</v>
      </c>
      <c r="EM38" s="20">
        <f t="shared" si="19"/>
        <v>571.41829472308314</v>
      </c>
      <c r="EN38" s="59">
        <f t="shared" si="20"/>
        <v>864.75162805641639</v>
      </c>
      <c r="EO38" s="59">
        <f ca="1">AVERAGE(OFFSET($EN$3,0,0,'Données projet'!$E$15+1,1))-AVERAGE(OFFSET($H$3,0,0,'Données projet'!$E$15+1,1))</f>
        <v>326.29985515186428</v>
      </c>
      <c r="EP38" s="59">
        <f t="shared" si="46"/>
        <v>437.68177084535927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44.024848925880647</v>
      </c>
      <c r="EX38" s="21">
        <f>EXP(-LN(2)/2)*EX37+(1-EXP(-LN(2)/2))/(LN(2)/2)*ER38*EU38*VLOOKUP('Données projet'!$B$15,Paramètres!$A$1:$I$89,3,0)*0.475*44/12</f>
        <v>0.13080070590986309</v>
      </c>
      <c r="EY38" s="22">
        <f t="shared" si="21"/>
        <v>44.15564963179051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1.7053025658242404E-13</v>
      </c>
      <c r="FF38" s="17">
        <f>FE38*VLOOKUP('Données projet'!$B$16,Paramètres!$A$1:$I$89,3,0)*VLOOKUP('Données projet'!$B$16,Paramètres!$A$1:$I$89,5,0)</f>
        <v>9.7631982498569413E-14</v>
      </c>
      <c r="FG38" s="13">
        <f t="shared" si="47"/>
        <v>1.4708068762530911E-12</v>
      </c>
      <c r="FH38" s="20">
        <f t="shared" si="22"/>
        <v>2.7316976789924749E-12</v>
      </c>
      <c r="FI38" s="59">
        <f t="shared" si="23"/>
        <v>293.33333333333604</v>
      </c>
      <c r="FJ38" s="59">
        <f ca="1">AVERAGE(OFFSET($FI$3,0,0,'Données projet'!$E$16+1,1))-AVERAGE(OFFSET($H$3,0,0,'Données projet'!$E$16+1,1))</f>
        <v>211.14768428403215</v>
      </c>
      <c r="FK38" s="59">
        <f t="shared" si="48"/>
        <v>350.7800157534798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75.222241171905424</v>
      </c>
      <c r="FR38" s="21">
        <f>EXP(-LN(2)/25)*FR37+(1-EXP(-LN(2)/25))/(LN(2)/25)*Calculateur!FM38*Calculateur!FO38*VLOOKUP('Données projet'!$B$16,Paramètres!$A$1:$I$89,3,0)*0.475*44/12</f>
        <v>18.729134530763559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93.951375702668983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31.449599999999993</v>
      </c>
      <c r="D39" s="11">
        <f t="shared" si="32"/>
        <v>9.7016318496336797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317.65863182173365</v>
      </c>
      <c r="H39" s="66">
        <f t="shared" si="1"/>
        <v>365.00506213811195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9.8000000000000007</v>
      </c>
      <c r="N39" s="13">
        <f>IF('Données projet'!$A$36&gt;35,N38+M39-V38,IF(A39&lt;'Données projet'!$A$36,$K$205^A39,IF(A39='Données projet'!$A$36,'Données projet'!$B$36,N38+M39-V38)))</f>
        <v>166.80000000000004</v>
      </c>
      <c r="O39" s="13">
        <f>N39*VLOOKUP('Données projet'!$B$9,Paramètres!$A$1:$I$89,3,0)*VLOOKUP('Données projet'!$B$9,Paramètres!$A$1:$I$89,5,0)</f>
        <v>145.71648000000005</v>
      </c>
      <c r="P39" s="13">
        <f t="shared" si="33"/>
        <v>37.60350500083149</v>
      </c>
      <c r="Q39" s="20">
        <f t="shared" si="53"/>
        <v>319.28230720978155</v>
      </c>
      <c r="R39" s="59">
        <f t="shared" si="0"/>
        <v>612.61564054311486</v>
      </c>
      <c r="S39" s="59">
        <f ca="1">AVERAGE(OFFSET($R$3,0,0,'Données projet'!$E$9+1,1))-AVERAGE(OFFSET($H$3,0,0,'Données projet'!$E$9+1,1))</f>
        <v>252.49539407921907</v>
      </c>
      <c r="T39" s="59">
        <f t="shared" si="34"/>
        <v>263.36387286233929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13.027986883006985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13.027986883006985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12.86166666666667</v>
      </c>
      <c r="AI39" s="13">
        <f>IF('Données projet'!$A$62&gt;35,AI38+AH39-AQ38,IF(A39&lt;'Données projet'!$A$62,$AF$205^A39,IF(A39='Données projet'!$A$62,'Données projet'!$B$62,AI38+AH39-AQ38)))</f>
        <v>144.57166666666666</v>
      </c>
      <c r="AJ39" s="13">
        <f>AI39*VLOOKUP('Données projet'!$B$10,Paramètres!$A$1:$I$89,3,0)*VLOOKUP('Données projet'!$B$10,Paramètres!$A$1:$I$89,5,0)</f>
        <v>130.80844399999998</v>
      </c>
      <c r="AK39" s="13">
        <f t="shared" si="35"/>
        <v>34.183099548128496</v>
      </c>
      <c r="AL39" s="20">
        <f t="shared" si="4"/>
        <v>287.3602716796571</v>
      </c>
      <c r="AM39" s="59">
        <f t="shared" si="5"/>
        <v>580.69360501299047</v>
      </c>
      <c r="AN39" s="59">
        <f ca="1">AVERAGE(OFFSET($AM$3,0,0,'Données projet'!$E$10+1,1))-AVERAGE(OFFSET($H$3,0,0,'Données projet'!$E$10+1,1))</f>
        <v>370.05613271587413</v>
      </c>
      <c r="AO39" s="59">
        <f t="shared" si="36"/>
        <v>183.24480056442525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29.339433585121828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29.339433585121828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12.86166666666667</v>
      </c>
      <c r="BD39" s="12">
        <f>IF('Données projet'!$A$88&gt;35,BD38+BC39-BL38,IF(A39&lt;'Données projet'!$A$88,$BA$205^A39,IF(A39='Données projet'!$A$88,'Données projet'!$B$88,BD38+BC39-BL38)))</f>
        <v>144.57166666666666</v>
      </c>
      <c r="BE39" s="13">
        <f>BD39*VLOOKUP('Données projet'!$B$11,Paramètres!$A$1:$I$89,3,0)*VLOOKUP('Données projet'!$B$11,Paramètres!$A$1:$I$89,5,0)</f>
        <v>146.59566999999998</v>
      </c>
      <c r="BF39" s="13">
        <f t="shared" si="37"/>
        <v>37.803908782741182</v>
      </c>
      <c r="BG39" s="20">
        <f t="shared" si="7"/>
        <v>321.16259971327423</v>
      </c>
      <c r="BH39" s="59">
        <f t="shared" si="8"/>
        <v>614.49593304660755</v>
      </c>
      <c r="BI39" s="59">
        <f ca="1">AVERAGE(OFFSET($BH$3,0,0,'Données projet'!$E$11+1,1))-AVERAGE(OFFSET($H$3,0,0,'Données projet'!$E$11+1,1))</f>
        <v>428.72181435671394</v>
      </c>
      <c r="BJ39" s="59">
        <f t="shared" si="38"/>
        <v>211.84936043087572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32.880399707464115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32.880399707464115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13.2</v>
      </c>
      <c r="BY39" s="12">
        <f>IF('Données projet'!$A$114&gt;35,BY38+BX39-CG38,IF(A39&lt;'Données projet'!$A$114,$BV$205^A39,IF(A39='Données projet'!$A$114,'Données projet'!$B$114,BY38+BX39-CG38)))</f>
        <v>210.2</v>
      </c>
      <c r="BZ39" s="13">
        <f>BY39*VLOOKUP('Données projet'!$B$12,Paramètres!$A$1:$I$89,3,0)*VLOOKUP('Données projet'!$B$12,Paramètres!$A$1:$I$89,5,0)</f>
        <v>167.23511999999999</v>
      </c>
      <c r="CA39" s="13">
        <f t="shared" si="39"/>
        <v>42.470192710511604</v>
      </c>
      <c r="CB39" s="20">
        <f t="shared" si="10"/>
        <v>365.23675297080769</v>
      </c>
      <c r="CC39" s="59">
        <f t="shared" si="11"/>
        <v>658.570086304141</v>
      </c>
      <c r="CD39" s="59">
        <f ca="1">AVERAGE(OFFSET($CC$3,0,0,'Données projet'!$E$12+1,1))-AVERAGE(OFFSET($H$3,0,0,'Données projet'!$E$12+1,1))</f>
        <v>296.737543892524</v>
      </c>
      <c r="CE39" s="59">
        <f t="shared" si="40"/>
        <v>296.38358650317099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19.194030820185986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19.194030820185986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13.4</v>
      </c>
      <c r="CT39" s="12">
        <f>IF('Données projet'!$A$140&gt;35,CT38+CS39-DB38,IF(A39&lt;'Données projet'!$A$140,$CQ$205^A39,IF(A39='Données projet'!$A$140,'Données projet'!$B$140,CT38+CS39-DB38)))</f>
        <v>153.40000000000006</v>
      </c>
      <c r="CU39" s="17">
        <f>CT39*VLOOKUP('Données projet'!$B$13,Paramètres!$A$1:$I$89,3,0)*VLOOKUP('Données projet'!$B$13,Paramètres!$A$1:$I$89,5,0)</f>
        <v>131.61720000000008</v>
      </c>
      <c r="CV39" s="13">
        <f t="shared" si="41"/>
        <v>34.369777461794328</v>
      </c>
      <c r="CW39" s="20">
        <f t="shared" si="13"/>
        <v>289.09398574595861</v>
      </c>
      <c r="CX39" s="59">
        <f t="shared" si="14"/>
        <v>582.42731907929192</v>
      </c>
      <c r="CY39" s="59">
        <f ca="1">AVERAGE(OFFSET($CX$3,0,0,'Données projet'!$E$13+1,1))-AVERAGE(OFFSET($H$3,0,0,'Données projet'!$E$13+1,1))</f>
        <v>391.93999504334352</v>
      </c>
      <c r="CZ39" s="59">
        <f t="shared" si="42"/>
        <v>215.4484906985528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17.249537501801132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17.249537501801132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13.2</v>
      </c>
      <c r="DO39" s="12">
        <f>IF('Données projet'!$A$166&gt;35,DO38+DN39-DW38,IF(A39&lt;'Données projet'!$A$166,$DL$205^A39,IF(A39='Données projet'!$A$166,'Données projet'!$B$166,DO38+DN39-DW38)))</f>
        <v>210.2</v>
      </c>
      <c r="DP39" s="17">
        <f>DO39*VLOOKUP('Données projet'!$B$14,Paramètres!$A$1:$I$89,3,0)*VLOOKUP('Données projet'!$B$14,Paramètres!$A$1:$I$89,5,0)</f>
        <v>154.11863999999997</v>
      </c>
      <c r="DQ39" s="13">
        <f t="shared" si="43"/>
        <v>39.513080685376593</v>
      </c>
      <c r="DR39" s="20">
        <f t="shared" si="16"/>
        <v>337.24191352703082</v>
      </c>
      <c r="DS39" s="59">
        <f t="shared" si="17"/>
        <v>630.57524686036413</v>
      </c>
      <c r="DT39" s="59">
        <f ca="1">AVERAGE(OFFSET($DS$3,0,0,'Données projet'!$E$14+1,1))-AVERAGE(OFFSET($H$3,0,0,'Données projet'!$E$14+1,1))</f>
        <v>267.92147257573157</v>
      </c>
      <c r="DU39" s="59">
        <f t="shared" si="44"/>
        <v>269.06662611892438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14.351141800812382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14.351141800812382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>
        <f>VLOOKUP(A39,'Données projet'!$A$191:$I$211,2,0)</f>
        <v>501.69</v>
      </c>
      <c r="EH39" s="12">
        <f>VLOOKUP(A39,'Données projet'!$A$191:$I$211,9,0)</f>
        <v>28.661666666666662</v>
      </c>
      <c r="EI39" s="12">
        <f t="array" ref="EI39">INDEX(EH:EH,MIN(IF(ISNUMBER(EH39:EH235),ROW(EH39:EH235),"")))</f>
        <v>28.661666666666662</v>
      </c>
      <c r="EJ39" s="12">
        <f>IF('Données projet'!$A$192&gt;35,EJ38+EI39-ER38,IF(A39&lt;'Données projet'!$A$192,$EG$205^A39,IF(A39='Données projet'!$A$192,'Données projet'!$B$192,EJ38+EI39-ER38)))</f>
        <v>501.68999999999983</v>
      </c>
      <c r="EK39" s="17">
        <f>EJ39*VLOOKUP('Données projet'!$B$15,Paramètres!$A$1:$I$89,3,0)*VLOOKUP('Données projet'!$B$15,Paramètres!$A$1:$I$89,5,0)</f>
        <v>280.44470999999987</v>
      </c>
      <c r="EL39" s="13">
        <f t="shared" si="45"/>
        <v>67.06098020598759</v>
      </c>
      <c r="EM39" s="20">
        <f t="shared" si="19"/>
        <v>605.23907710876153</v>
      </c>
      <c r="EN39" s="59">
        <f t="shared" si="20"/>
        <v>898.57241044209491</v>
      </c>
      <c r="EO39" s="59">
        <f ca="1">AVERAGE(OFFSET($EN$3,0,0,'Données projet'!$E$15+1,1))-AVERAGE(OFFSET($H$3,0,0,'Données projet'!$E$15+1,1))</f>
        <v>326.29985515186428</v>
      </c>
      <c r="EP39" s="59">
        <f t="shared" si="46"/>
        <v>437.68177084535927</v>
      </c>
      <c r="EQ39" s="15">
        <f>IF(ISNA(VLOOKUP(A39,'Données projet'!$A$191:$I$211,3,0)),0,VLOOKUP(A39,'Données projet'!$A$191:$I$211,3,0))</f>
        <v>4</v>
      </c>
      <c r="ER39" s="15">
        <f>IF(ISNA(VLOOKUP(A39,'Données projet'!$A$191:$I$211,4,0)),0,VLOOKUP(A39,'Données projet'!$A$191:$I$211,4,0))</f>
        <v>85.88</v>
      </c>
      <c r="ES39" s="16">
        <f>IF(ISNA(VLOOKUP(A39,'Données projet'!$A$191:$I$211,5,0)),0%,VLOOKUP(A39,'Données projet'!$A$191:$I$211,5,0)*VLOOKUP('Données projet'!$B$15,Paramètres!$A$1:$I$89,7,0))</f>
        <v>0.55000000000000004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35.026350527921267</v>
      </c>
      <c r="EW39" s="21">
        <f>EXP(-LN(2)/25)*EW38+(1-EXP(-LN(2)/25))/(LN(2)/25)*Calculateur!ER39*Calculateur!ET39*VLOOKUP('Données projet'!$B$15,Paramètres!$A$1:$I$89,3,0)*0.475*44/12</f>
        <v>42.820987116836257</v>
      </c>
      <c r="EX39" s="21">
        <f>EXP(-LN(2)/2)*EX38+(1-EXP(-LN(2)/2))/(LN(2)/2)*ER39*EU39*VLOOKUP('Données projet'!$B$15,Paramètres!$A$1:$I$89,3,0)*0.475*44/12</f>
        <v>9.2490066132851517E-2</v>
      </c>
      <c r="EY39" s="22">
        <f t="shared" si="21"/>
        <v>77.93982771089037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1.7053025658242404E-13</v>
      </c>
      <c r="FF39" s="17">
        <f>FE39*VLOOKUP('Données projet'!$B$16,Paramètres!$A$1:$I$89,3,0)*VLOOKUP('Données projet'!$B$16,Paramètres!$A$1:$I$89,5,0)</f>
        <v>9.7631982498569413E-14</v>
      </c>
      <c r="FG39" s="13">
        <f t="shared" si="47"/>
        <v>1.4708068762530911E-12</v>
      </c>
      <c r="FH39" s="20">
        <f t="shared" si="22"/>
        <v>2.7316976789924749E-12</v>
      </c>
      <c r="FI39" s="59">
        <f t="shared" si="23"/>
        <v>293.33333333333604</v>
      </c>
      <c r="FJ39" s="59">
        <f ca="1">AVERAGE(OFFSET($FI$3,0,0,'Données projet'!$E$16+1,1))-AVERAGE(OFFSET($H$3,0,0,'Données projet'!$E$16+1,1))</f>
        <v>211.14768428403215</v>
      </c>
      <c r="FK39" s="59">
        <f t="shared" si="48"/>
        <v>350.7800157534798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73.747178903561093</v>
      </c>
      <c r="FR39" s="21">
        <f>EXP(-LN(2)/25)*FR38+(1-EXP(-LN(2)/25))/(LN(2)/25)*Calculateur!FM39*Calculateur!FO39*VLOOKUP('Données projet'!$B$16,Paramètres!$A$1:$I$89,3,0)*0.475*44/12</f>
        <v>18.21698536209745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91.964164265658539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32.323199999999993</v>
      </c>
      <c r="D40" s="11">
        <f t="shared" si="32"/>
        <v>9.9393719729191492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326.23739768569163</v>
      </c>
      <c r="H40" s="66">
        <f t="shared" si="1"/>
        <v>366.9406461861675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9.8000000000000007</v>
      </c>
      <c r="N40" s="13">
        <f>IF('Données projet'!$A$36&gt;35,N39+M40-V39,IF(A40&lt;'Données projet'!$A$36,$K$205^A40,IF(A40='Données projet'!$A$36,'Données projet'!$B$36,N39+M40-V39)))</f>
        <v>176.60000000000005</v>
      </c>
      <c r="O40" s="13">
        <f>N40*VLOOKUP('Données projet'!$B$9,Paramètres!$A$1:$I$89,3,0)*VLOOKUP('Données projet'!$B$9,Paramètres!$A$1:$I$89,5,0)</f>
        <v>154.27776000000009</v>
      </c>
      <c r="P40" s="13">
        <f t="shared" si="33"/>
        <v>39.549125277353333</v>
      </c>
      <c r="Q40" s="20">
        <f t="shared" si="53"/>
        <v>337.58182519139058</v>
      </c>
      <c r="R40" s="59">
        <f t="shared" si="0"/>
        <v>630.91515852472389</v>
      </c>
      <c r="S40" s="59">
        <f ca="1">AVERAGE(OFFSET($R$3,0,0,'Données projet'!$E$9+1,1))-AVERAGE(OFFSET($H$3,0,0,'Données projet'!$E$9+1,1))</f>
        <v>252.49539407921907</v>
      </c>
      <c r="T40" s="59">
        <f t="shared" si="34"/>
        <v>263.36387286233929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12.772516006518586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12.772516006518586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12.86166666666667</v>
      </c>
      <c r="AI40" s="13">
        <f>IF('Données projet'!$A$62&gt;35,AI39+AH40-AQ39,IF(A40&lt;'Données projet'!$A$62,$AF$205^A40,IF(A40='Données projet'!$A$62,'Données projet'!$B$62,AI39+AH40-AQ39)))</f>
        <v>157.43333333333334</v>
      </c>
      <c r="AJ40" s="13">
        <f>AI40*VLOOKUP('Données projet'!$B$10,Paramètres!$A$1:$I$89,3,0)*VLOOKUP('Données projet'!$B$10,Paramètres!$A$1:$I$89,5,0)</f>
        <v>142.44567999999998</v>
      </c>
      <c r="AK40" s="13">
        <f t="shared" si="35"/>
        <v>36.856710479085137</v>
      </c>
      <c r="AL40" s="20">
        <f t="shared" si="4"/>
        <v>312.28499675107327</v>
      </c>
      <c r="AM40" s="59">
        <f t="shared" si="5"/>
        <v>605.61833008440658</v>
      </c>
      <c r="AN40" s="59">
        <f ca="1">AVERAGE(OFFSET($AM$3,0,0,'Données projet'!$E$10+1,1))-AVERAGE(OFFSET($H$3,0,0,'Données projet'!$E$10+1,1))</f>
        <v>370.05613271587413</v>
      </c>
      <c r="AO40" s="59">
        <f t="shared" si="36"/>
        <v>183.24480056442525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28.764105187805065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28.764105187805065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12.86166666666667</v>
      </c>
      <c r="BD40" s="12">
        <f>IF('Données projet'!$A$88&gt;35,BD39+BC40-BL39,IF(A40&lt;'Données projet'!$A$88,$BA$205^A40,IF(A40='Données projet'!$A$88,'Données projet'!$B$88,BD39+BC40-BL39)))</f>
        <v>157.43333333333334</v>
      </c>
      <c r="BE40" s="13">
        <f>BD40*VLOOKUP('Données projet'!$B$11,Paramètres!$A$1:$I$89,3,0)*VLOOKUP('Données projet'!$B$11,Paramètres!$A$1:$I$89,5,0)</f>
        <v>159.63740000000001</v>
      </c>
      <c r="BF40" s="13">
        <f t="shared" si="37"/>
        <v>40.760719168297832</v>
      </c>
      <c r="BG40" s="20">
        <f t="shared" si="7"/>
        <v>349.02672421811872</v>
      </c>
      <c r="BH40" s="59">
        <f t="shared" si="8"/>
        <v>642.36005755145197</v>
      </c>
      <c r="BI40" s="59">
        <f ca="1">AVERAGE(OFFSET($BH$3,0,0,'Données projet'!$E$11+1,1))-AVERAGE(OFFSET($H$3,0,0,'Données projet'!$E$11+1,1))</f>
        <v>428.72181435671394</v>
      </c>
      <c r="BJ40" s="59">
        <f t="shared" si="38"/>
        <v>211.84936043087572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32.235635124264292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32.235635124264292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13.2</v>
      </c>
      <c r="BY40" s="12">
        <f>IF('Données projet'!$A$114&gt;35,BY39+BX40-CG39,IF(A40&lt;'Données projet'!$A$114,$BV$205^A40,IF(A40='Données projet'!$A$114,'Données projet'!$B$114,BY39+BX40-CG39)))</f>
        <v>223.39999999999998</v>
      </c>
      <c r="BZ40" s="13">
        <f>BY40*VLOOKUP('Données projet'!$B$12,Paramètres!$A$1:$I$89,3,0)*VLOOKUP('Données projet'!$B$12,Paramètres!$A$1:$I$89,5,0)</f>
        <v>177.73703999999998</v>
      </c>
      <c r="CA40" s="13">
        <f t="shared" si="39"/>
        <v>44.818349142210366</v>
      </c>
      <c r="CB40" s="20">
        <f t="shared" si="10"/>
        <v>387.61730275601627</v>
      </c>
      <c r="CC40" s="59">
        <f t="shared" si="11"/>
        <v>680.95063608934959</v>
      </c>
      <c r="CD40" s="59">
        <f ca="1">AVERAGE(OFFSET($CC$3,0,0,'Données projet'!$E$12+1,1))-AVERAGE(OFFSET($H$3,0,0,'Données projet'!$E$12+1,1))</f>
        <v>296.737543892524</v>
      </c>
      <c r="CE40" s="59">
        <f t="shared" si="40"/>
        <v>296.38358650317099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18.817647583004948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18.817647583004948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13.4</v>
      </c>
      <c r="CT40" s="12">
        <f>IF('Données projet'!$A$140&gt;35,CT39+CS40-DB39,IF(A40&lt;'Données projet'!$A$140,$CQ$205^A40,IF(A40='Données projet'!$A$140,'Données projet'!$B$140,CT39+CS40-DB39)))</f>
        <v>166.80000000000007</v>
      </c>
      <c r="CU40" s="17">
        <f>CT40*VLOOKUP('Données projet'!$B$13,Paramètres!$A$1:$I$89,3,0)*VLOOKUP('Données projet'!$B$13,Paramètres!$A$1:$I$89,5,0)</f>
        <v>143.11440000000007</v>
      </c>
      <c r="CV40" s="13">
        <f t="shared" si="41"/>
        <v>37.009554635379814</v>
      </c>
      <c r="CW40" s="20">
        <f t="shared" si="13"/>
        <v>313.71588765662</v>
      </c>
      <c r="CX40" s="59">
        <f t="shared" si="14"/>
        <v>607.04922098995326</v>
      </c>
      <c r="CY40" s="59">
        <f ca="1">AVERAGE(OFFSET($CX$3,0,0,'Données projet'!$E$13+1,1))-AVERAGE(OFFSET($H$3,0,0,'Données projet'!$E$13+1,1))</f>
        <v>391.93999504334352</v>
      </c>
      <c r="CZ40" s="59">
        <f t="shared" si="42"/>
        <v>215.4484906985528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16.911284592569807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16.911284592569807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13.2</v>
      </c>
      <c r="DO40" s="12">
        <f>IF('Données projet'!$A$166&gt;35,DO39+DN40-DW39,IF(A40&lt;'Données projet'!$A$166,$DL$205^A40,IF(A40='Données projet'!$A$166,'Données projet'!$B$166,DO39+DN40-DW39)))</f>
        <v>223.39999999999998</v>
      </c>
      <c r="DP40" s="17">
        <f>DO40*VLOOKUP('Données projet'!$B$14,Paramètres!$A$1:$I$89,3,0)*VLOOKUP('Données projet'!$B$14,Paramètres!$A$1:$I$89,5,0)</f>
        <v>163.79687999999999</v>
      </c>
      <c r="DQ40" s="13">
        <f t="shared" si="43"/>
        <v>41.697739822198329</v>
      </c>
      <c r="DR40" s="20">
        <f t="shared" si="16"/>
        <v>357.90312952366207</v>
      </c>
      <c r="DS40" s="59">
        <f t="shared" si="17"/>
        <v>651.23646285699533</v>
      </c>
      <c r="DT40" s="59">
        <f ca="1">AVERAGE(OFFSET($DS$3,0,0,'Données projet'!$E$14+1,1))-AVERAGE(OFFSET($H$3,0,0,'Données projet'!$E$14+1,1))</f>
        <v>267.92147257573157</v>
      </c>
      <c r="DU40" s="59">
        <f t="shared" si="44"/>
        <v>269.06662611892438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14.06972466343063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14.06972466343063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28.093333333333334</v>
      </c>
      <c r="EJ40" s="12">
        <f>IF('Données projet'!$A$192&gt;35,EJ39+EI40-ER39,IF(A40&lt;'Données projet'!$A$192,$EG$205^A40,IF(A40='Données projet'!$A$192,'Données projet'!$B$192,EJ39+EI40-ER39)))</f>
        <v>443.90333333333319</v>
      </c>
      <c r="EK40" s="17">
        <f>EJ40*VLOOKUP('Données projet'!$B$15,Paramètres!$A$1:$I$89,3,0)*VLOOKUP('Données projet'!$B$15,Paramètres!$A$1:$I$89,5,0)</f>
        <v>248.14196333333328</v>
      </c>
      <c r="EL40" s="13">
        <f t="shared" si="45"/>
        <v>60.187897687681328</v>
      </c>
      <c r="EM40" s="20">
        <f t="shared" si="19"/>
        <v>537.00784127826716</v>
      </c>
      <c r="EN40" s="59">
        <f t="shared" si="20"/>
        <v>830.34117461160054</v>
      </c>
      <c r="EO40" s="59">
        <f ca="1">AVERAGE(OFFSET($EN$3,0,0,'Données projet'!$E$15+1,1))-AVERAGE(OFFSET($H$3,0,0,'Données projet'!$E$15+1,1))</f>
        <v>326.29985515186428</v>
      </c>
      <c r="EP40" s="59">
        <f t="shared" si="46"/>
        <v>437.68177084535927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34.339505158033035</v>
      </c>
      <c r="EW40" s="21">
        <f>EXP(-LN(2)/25)*EW39+(1-EXP(-LN(2)/25))/(LN(2)/25)*Calculateur!ER40*Calculateur!ET40*VLOOKUP('Données projet'!$B$15,Paramètres!$A$1:$I$89,3,0)*0.475*44/12</f>
        <v>41.650044972268525</v>
      </c>
      <c r="EX40" s="21">
        <f>EXP(-LN(2)/2)*EX39+(1-EXP(-LN(2)/2))/(LN(2)/2)*ER40*EU40*VLOOKUP('Données projet'!$B$15,Paramètres!$A$1:$I$89,3,0)*0.475*44/12</f>
        <v>6.5400352954931545E-2</v>
      </c>
      <c r="EY40" s="22">
        <f t="shared" si="21"/>
        <v>76.054950483256491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1.7053025658242404E-13</v>
      </c>
      <c r="FF40" s="17">
        <f>FE40*VLOOKUP('Données projet'!$B$16,Paramètres!$A$1:$I$89,3,0)*VLOOKUP('Données projet'!$B$16,Paramètres!$A$1:$I$89,5,0)</f>
        <v>9.7631982498569413E-14</v>
      </c>
      <c r="FG40" s="13">
        <f t="shared" si="47"/>
        <v>1.4708068762530911E-12</v>
      </c>
      <c r="FH40" s="20">
        <f t="shared" si="22"/>
        <v>2.7316976789924749E-12</v>
      </c>
      <c r="FI40" s="59">
        <f t="shared" si="23"/>
        <v>293.33333333333604</v>
      </c>
      <c r="FJ40" s="59">
        <f ca="1">AVERAGE(OFFSET($FI$3,0,0,'Données projet'!$E$16+1,1))-AVERAGE(OFFSET($H$3,0,0,'Données projet'!$E$16+1,1))</f>
        <v>211.14768428403215</v>
      </c>
      <c r="FK40" s="59">
        <f t="shared" si="48"/>
        <v>350.7800157534798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72.301041706599847</v>
      </c>
      <c r="FR40" s="21">
        <f>EXP(-LN(2)/25)*FR39+(1-EXP(-LN(2)/25))/(LN(2)/25)*Calculateur!FM40*Calculateur!FO40*VLOOKUP('Données projet'!$B$16,Paramètres!$A$1:$I$89,3,0)*0.475*44/12</f>
        <v>17.71884093938127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90.019882645981113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33.196799999999996</v>
      </c>
      <c r="D41" s="11">
        <f t="shared" si="32"/>
        <v>10.176365257768927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334.81039848102324</v>
      </c>
      <c r="H41" s="66">
        <f t="shared" si="1"/>
        <v>368.87492949061419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9.8000000000000007</v>
      </c>
      <c r="N41" s="13">
        <f>IF('Données projet'!$A$36&gt;35,N40+M41-V40,IF(A41&lt;'Données projet'!$A$36,$K$205^A41,IF(A41='Données projet'!$A$36,'Données projet'!$B$36,N40+M41-V40)))</f>
        <v>186.40000000000006</v>
      </c>
      <c r="O41" s="13">
        <f>N41*VLOOKUP('Données projet'!$B$9,Paramètres!$A$1:$I$89,3,0)*VLOOKUP('Données projet'!$B$9,Paramètres!$A$1:$I$89,5,0)</f>
        <v>162.83904000000007</v>
      </c>
      <c r="P41" s="13">
        <f t="shared" si="33"/>
        <v>41.482211836000111</v>
      </c>
      <c r="Q41" s="20">
        <f t="shared" si="53"/>
        <v>355.85951361436696</v>
      </c>
      <c r="R41" s="59">
        <f t="shared" si="0"/>
        <v>649.19284694770022</v>
      </c>
      <c r="S41" s="59">
        <f ca="1">AVERAGE(OFFSET($R$3,0,0,'Données projet'!$E$9+1,1))-AVERAGE(OFFSET($H$3,0,0,'Données projet'!$E$9+1,1))</f>
        <v>252.49539407921907</v>
      </c>
      <c r="T41" s="59">
        <f t="shared" si="34"/>
        <v>263.36387286233929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12.522054758096276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12.522054758096276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12.86166666666667</v>
      </c>
      <c r="AI41" s="13">
        <f>IF('Données projet'!$A$62&gt;35,AI40+AH41-AQ40,IF(A41&lt;'Données projet'!$A$62,$AF$205^A41,IF(A41='Données projet'!$A$62,'Données projet'!$B$62,AI40+AH41-AQ40)))</f>
        <v>170.29500000000002</v>
      </c>
      <c r="AJ41" s="13">
        <f>AI41*VLOOKUP('Données projet'!$B$10,Paramètres!$A$1:$I$89,3,0)*VLOOKUP('Données projet'!$B$10,Paramètres!$A$1:$I$89,5,0)</f>
        <v>154.08291600000001</v>
      </c>
      <c r="AK41" s="13">
        <f t="shared" si="35"/>
        <v>39.504987725811617</v>
      </c>
      <c r="AL41" s="20">
        <f t="shared" si="4"/>
        <v>337.16559898912192</v>
      </c>
      <c r="AM41" s="59">
        <f t="shared" si="5"/>
        <v>630.49893232245518</v>
      </c>
      <c r="AN41" s="59">
        <f ca="1">AVERAGE(OFFSET($AM$3,0,0,'Données projet'!$E$10+1,1))-AVERAGE(OFFSET($H$3,0,0,'Données projet'!$E$10+1,1))</f>
        <v>370.05613271587413</v>
      </c>
      <c r="AO41" s="59">
        <f t="shared" si="36"/>
        <v>183.24480056442525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28.200058629444008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28.200058629444008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12.86166666666667</v>
      </c>
      <c r="BD41" s="12">
        <f>IF('Données projet'!$A$88&gt;35,BD40+BC41-BL40,IF(A41&lt;'Données projet'!$A$88,$BA$205^A41,IF(A41='Données projet'!$A$88,'Données projet'!$B$88,BD40+BC41-BL40)))</f>
        <v>170.29500000000002</v>
      </c>
      <c r="BE41" s="13">
        <f>BD41*VLOOKUP('Données projet'!$B$11,Paramètres!$A$1:$I$89,3,0)*VLOOKUP('Données projet'!$B$11,Paramètres!$A$1:$I$89,5,0)</f>
        <v>172.67913000000001</v>
      </c>
      <c r="BF41" s="13">
        <f t="shared" si="37"/>
        <v>43.689512425494954</v>
      </c>
      <c r="BG41" s="20">
        <f t="shared" si="7"/>
        <v>376.84205222440369</v>
      </c>
      <c r="BH41" s="59">
        <f t="shared" si="8"/>
        <v>670.17538555773694</v>
      </c>
      <c r="BI41" s="59">
        <f ca="1">AVERAGE(OFFSET($BH$3,0,0,'Données projet'!$E$11+1,1))-AVERAGE(OFFSET($H$3,0,0,'Données projet'!$E$11+1,1))</f>
        <v>428.72181435671394</v>
      </c>
      <c r="BJ41" s="59">
        <f t="shared" si="38"/>
        <v>211.84936043087572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31.603513981273455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31.603513981273455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13.2</v>
      </c>
      <c r="BY41" s="12">
        <f>IF('Données projet'!$A$114&gt;35,BY40+BX41-CG40,IF(A41&lt;'Données projet'!$A$114,$BV$205^A41,IF(A41='Données projet'!$A$114,'Données projet'!$B$114,BY40+BX41-CG40)))</f>
        <v>236.59999999999997</v>
      </c>
      <c r="BZ41" s="13">
        <f>BY41*VLOOKUP('Données projet'!$B$12,Paramètres!$A$1:$I$89,3,0)*VLOOKUP('Données projet'!$B$12,Paramètres!$A$1:$I$89,5,0)</f>
        <v>188.23895999999999</v>
      </c>
      <c r="CA41" s="13">
        <f t="shared" si="39"/>
        <v>47.150401158990007</v>
      </c>
      <c r="CB41" s="20">
        <f t="shared" si="10"/>
        <v>409.96980401857422</v>
      </c>
      <c r="CC41" s="59">
        <f t="shared" si="11"/>
        <v>703.30313735190748</v>
      </c>
      <c r="CD41" s="59">
        <f ca="1">AVERAGE(OFFSET($CC$3,0,0,'Données projet'!$E$12+1,1))-AVERAGE(OFFSET($H$3,0,0,'Données projet'!$E$12+1,1))</f>
        <v>296.737543892524</v>
      </c>
      <c r="CE41" s="59">
        <f t="shared" si="40"/>
        <v>296.38358650317099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18.448644991533925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18.448644991533925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13.4</v>
      </c>
      <c r="CT41" s="12">
        <f>IF('Données projet'!$A$140&gt;35,CT40+CS41-DB40,IF(A41&lt;'Données projet'!$A$140,$CQ$205^A41,IF(A41='Données projet'!$A$140,'Données projet'!$B$140,CT40+CS41-DB40)))</f>
        <v>180.20000000000007</v>
      </c>
      <c r="CU41" s="17">
        <f>CT41*VLOOKUP('Données projet'!$B$13,Paramètres!$A$1:$I$89,3,0)*VLOOKUP('Données projet'!$B$13,Paramètres!$A$1:$I$89,5,0)</f>
        <v>154.61160000000007</v>
      </c>
      <c r="CV41" s="13">
        <f t="shared" si="41"/>
        <v>39.624734188365885</v>
      </c>
      <c r="CW41" s="20">
        <f t="shared" si="13"/>
        <v>338.294948711404</v>
      </c>
      <c r="CX41" s="59">
        <f t="shared" si="14"/>
        <v>631.62828204473726</v>
      </c>
      <c r="CY41" s="59">
        <f ca="1">AVERAGE(OFFSET($CX$3,0,0,'Données projet'!$E$13+1,1))-AVERAGE(OFFSET($H$3,0,0,'Données projet'!$E$13+1,1))</f>
        <v>391.93999504334352</v>
      </c>
      <c r="CZ41" s="59">
        <f t="shared" si="42"/>
        <v>215.4484906985528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16.579664616574608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16.579664616574608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13.2</v>
      </c>
      <c r="DO41" s="12">
        <f>IF('Données projet'!$A$166&gt;35,DO40+DN41-DW40,IF(A41&lt;'Données projet'!$A$166,$DL$205^A41,IF(A41='Données projet'!$A$166,'Données projet'!$B$166,DO40+DN41-DW40)))</f>
        <v>236.59999999999997</v>
      </c>
      <c r="DP41" s="17">
        <f>DO41*VLOOKUP('Données projet'!$B$14,Paramètres!$A$1:$I$89,3,0)*VLOOKUP('Données projet'!$B$14,Paramètres!$A$1:$I$89,5,0)</f>
        <v>173.47511999999998</v>
      </c>
      <c r="DQ41" s="13">
        <f t="shared" si="43"/>
        <v>43.867415861334891</v>
      </c>
      <c r="DR41" s="20">
        <f t="shared" si="16"/>
        <v>378.53824995849158</v>
      </c>
      <c r="DS41" s="59">
        <f t="shared" si="17"/>
        <v>671.87158329182489</v>
      </c>
      <c r="DT41" s="59">
        <f ca="1">AVERAGE(OFFSET($DS$3,0,0,'Données projet'!$E$14+1,1))-AVERAGE(OFFSET($H$3,0,0,'Données projet'!$E$14+1,1))</f>
        <v>267.92147257573157</v>
      </c>
      <c r="DU41" s="59">
        <f t="shared" si="44"/>
        <v>269.06662611892438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13.793825944465429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13.793825944465429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28.093333333333334</v>
      </c>
      <c r="EJ41" s="12">
        <f>IF('Données projet'!$A$192&gt;35,EJ40+EI41-ER40,IF(A41&lt;'Données projet'!$A$192,$EG$205^A41,IF(A41='Données projet'!$A$192,'Données projet'!$B$192,EJ40+EI41-ER40)))</f>
        <v>471.99666666666656</v>
      </c>
      <c r="EK41" s="17">
        <f>EJ41*VLOOKUP('Données projet'!$B$15,Paramètres!$A$1:$I$89,3,0)*VLOOKUP('Données projet'!$B$15,Paramètres!$A$1:$I$89,5,0)</f>
        <v>263.84613666666661</v>
      </c>
      <c r="EL41" s="13">
        <f t="shared" si="45"/>
        <v>63.541516886809745</v>
      </c>
      <c r="EM41" s="20">
        <f t="shared" si="19"/>
        <v>570.20016327230462</v>
      </c>
      <c r="EN41" s="59">
        <f t="shared" si="20"/>
        <v>863.53349660563799</v>
      </c>
      <c r="EO41" s="59">
        <f ca="1">AVERAGE(OFFSET($EN$3,0,0,'Données projet'!$E$15+1,1))-AVERAGE(OFFSET($H$3,0,0,'Données projet'!$E$15+1,1))</f>
        <v>326.29985515186428</v>
      </c>
      <c r="EP41" s="59">
        <f t="shared" si="46"/>
        <v>437.68177084535927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33.666128406914005</v>
      </c>
      <c r="EW41" s="21">
        <f>EXP(-LN(2)/25)*EW40+(1-EXP(-LN(2)/25))/(LN(2)/25)*Calculateur!ER41*Calculateur!ET41*VLOOKUP('Données projet'!$B$15,Paramètres!$A$1:$I$89,3,0)*0.475*44/12</f>
        <v>40.511122302221168</v>
      </c>
      <c r="EX41" s="21">
        <f>EXP(-LN(2)/2)*EX40+(1-EXP(-LN(2)/2))/(LN(2)/2)*ER41*EU41*VLOOKUP('Données projet'!$B$15,Paramètres!$A$1:$I$89,3,0)*0.475*44/12</f>
        <v>4.6245033066425759E-2</v>
      </c>
      <c r="EY41" s="22">
        <f t="shared" si="21"/>
        <v>74.223495742201592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1.7053025658242404E-13</v>
      </c>
      <c r="FF41" s="17">
        <f>FE41*VLOOKUP('Données projet'!$B$16,Paramètres!$A$1:$I$89,3,0)*VLOOKUP('Données projet'!$B$16,Paramètres!$A$1:$I$89,5,0)</f>
        <v>9.7631982498569413E-14</v>
      </c>
      <c r="FG41" s="13">
        <f t="shared" si="47"/>
        <v>1.4708068762530911E-12</v>
      </c>
      <c r="FH41" s="20">
        <f t="shared" si="22"/>
        <v>2.7316976789924749E-12</v>
      </c>
      <c r="FI41" s="59">
        <f t="shared" si="23"/>
        <v>293.33333333333604</v>
      </c>
      <c r="FJ41" s="59">
        <f ca="1">AVERAGE(OFFSET($FI$3,0,0,'Données projet'!$E$16+1,1))-AVERAGE(OFFSET($H$3,0,0,'Données projet'!$E$16+1,1))</f>
        <v>211.14768428403215</v>
      </c>
      <c r="FK41" s="59">
        <f t="shared" si="48"/>
        <v>350.7800157534798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70.883262378014422</v>
      </c>
      <c r="FR41" s="21">
        <f>EXP(-LN(2)/25)*FR40+(1-EXP(-LN(2)/25))/(LN(2)/25)*Calculateur!FM41*Calculateur!FO41*VLOOKUP('Données projet'!$B$16,Paramètres!$A$1:$I$89,3,0)*0.475*44/12</f>
        <v>17.23431830210054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88.117580680114969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34.070399999999999</v>
      </c>
      <c r="D42" s="11">
        <f t="shared" si="32"/>
        <v>10.412633617059315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343.37780335975611</v>
      </c>
      <c r="H42" s="66">
        <f t="shared" si="1"/>
        <v>370.80795021637829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9.8000000000000007</v>
      </c>
      <c r="N42" s="13">
        <f>IF('Données projet'!$A$36&gt;35,N41+M42-V41,IF(A42&lt;'Données projet'!$A$36,$K$205^A42,IF(A42='Données projet'!$A$36,'Données projet'!$B$36,N41+M42-V41)))</f>
        <v>196.20000000000007</v>
      </c>
      <c r="O42" s="13">
        <f>N42*VLOOKUP('Données projet'!$B$9,Paramètres!$A$1:$I$89,3,0)*VLOOKUP('Données projet'!$B$9,Paramètres!$A$1:$I$89,5,0)</f>
        <v>171.40032000000011</v>
      </c>
      <c r="P42" s="13">
        <f t="shared" si="33"/>
        <v>43.40349878862115</v>
      </c>
      <c r="Q42" s="20">
        <f t="shared" si="53"/>
        <v>374.11665105684864</v>
      </c>
      <c r="R42" s="59">
        <f t="shared" si="0"/>
        <v>667.44998439018195</v>
      </c>
      <c r="S42" s="59">
        <f ca="1">AVERAGE(OFFSET($R$3,0,0,'Données projet'!$E$9+1,1))-AVERAGE(OFFSET($H$3,0,0,'Données projet'!$E$9+1,1))</f>
        <v>252.49539407921907</v>
      </c>
      <c r="T42" s="59">
        <f t="shared" si="34"/>
        <v>263.36387286233929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12.27650490198925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12.27650490198925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12.86166666666667</v>
      </c>
      <c r="AI42" s="13">
        <f>IF('Données projet'!$A$62&gt;35,AI41+AH42-AQ41,IF(A42&lt;'Données projet'!$A$62,$AF$205^A42,IF(A42='Données projet'!$A$62,'Données projet'!$B$62,AI41+AH42-AQ41)))</f>
        <v>183.15666666666669</v>
      </c>
      <c r="AJ42" s="13">
        <f>AI42*VLOOKUP('Données projet'!$B$10,Paramètres!$A$1:$I$89,3,0)*VLOOKUP('Données projet'!$B$10,Paramètres!$A$1:$I$89,5,0)</f>
        <v>165.72015200000001</v>
      </c>
      <c r="AK42" s="13">
        <f t="shared" si="35"/>
        <v>42.130062193248868</v>
      </c>
      <c r="AL42" s="20">
        <f t="shared" si="4"/>
        <v>362.00578971990848</v>
      </c>
      <c r="AM42" s="59">
        <f t="shared" si="5"/>
        <v>655.33912305324179</v>
      </c>
      <c r="AN42" s="59">
        <f ca="1">AVERAGE(OFFSET($AM$3,0,0,'Données projet'!$E$10+1,1))-AVERAGE(OFFSET($H$3,0,0,'Données projet'!$E$10+1,1))</f>
        <v>370.05613271587413</v>
      </c>
      <c r="AO42" s="59">
        <f t="shared" si="36"/>
        <v>183.24480056442525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27.647072680057985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27.647072680057985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12.86166666666667</v>
      </c>
      <c r="BD42" s="12">
        <f>IF('Données projet'!$A$88&gt;35,BD41+BC42-BL41,IF(A42&lt;'Données projet'!$A$88,$BA$205^A42,IF(A42='Données projet'!$A$88,'Données projet'!$B$88,BD41+BC42-BL41)))</f>
        <v>183.15666666666669</v>
      </c>
      <c r="BE42" s="13">
        <f>BD42*VLOOKUP('Données projet'!$B$11,Paramètres!$A$1:$I$89,3,0)*VLOOKUP('Données projet'!$B$11,Paramètres!$A$1:$I$89,5,0)</f>
        <v>185.72086000000004</v>
      </c>
      <c r="BF42" s="13">
        <f t="shared" si="37"/>
        <v>46.59264517316101</v>
      </c>
      <c r="BG42" s="20">
        <f t="shared" si="7"/>
        <v>404.61268817658879</v>
      </c>
      <c r="BH42" s="59">
        <f t="shared" si="8"/>
        <v>697.94602150992205</v>
      </c>
      <c r="BI42" s="59">
        <f ca="1">AVERAGE(OFFSET($BH$3,0,0,'Données projet'!$E$11+1,1))-AVERAGE(OFFSET($H$3,0,0,'Données projet'!$E$11+1,1))</f>
        <v>428.72181435671394</v>
      </c>
      <c r="BJ42" s="59">
        <f t="shared" si="38"/>
        <v>211.84936043087572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30.983788348340841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30.983788348340841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13.2</v>
      </c>
      <c r="BY42" s="12">
        <f>IF('Données projet'!$A$114&gt;35,BY41+BX42-CG41,IF(A42&lt;'Données projet'!$A$114,$BV$205^A42,IF(A42='Données projet'!$A$114,'Données projet'!$B$114,BY41+BX42-CG41)))</f>
        <v>249.79999999999995</v>
      </c>
      <c r="BZ42" s="13">
        <f>BY42*VLOOKUP('Données projet'!$B$12,Paramètres!$A$1:$I$89,3,0)*VLOOKUP('Données projet'!$B$12,Paramètres!$A$1:$I$89,5,0)</f>
        <v>198.74087999999998</v>
      </c>
      <c r="CA42" s="13">
        <f t="shared" si="39"/>
        <v>49.467349630825638</v>
      </c>
      <c r="CB42" s="20">
        <f t="shared" si="10"/>
        <v>432.29599994035453</v>
      </c>
      <c r="CC42" s="59">
        <f t="shared" si="11"/>
        <v>725.62933327368785</v>
      </c>
      <c r="CD42" s="59">
        <f ca="1">AVERAGE(OFFSET($CC$3,0,0,'Données projet'!$E$12+1,1))-AVERAGE(OFFSET($H$3,0,0,'Données projet'!$E$12+1,1))</f>
        <v>296.737543892524</v>
      </c>
      <c r="CE42" s="59">
        <f t="shared" si="40"/>
        <v>296.38358650317099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18.086878315812292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18.086878315812292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13.4</v>
      </c>
      <c r="CT42" s="12">
        <f>IF('Données projet'!$A$140&gt;35,CT41+CS42-DB41,IF(A42&lt;'Données projet'!$A$140,$CQ$205^A42,IF(A42='Données projet'!$A$140,'Données projet'!$B$140,CT41+CS42-DB41)))</f>
        <v>193.60000000000008</v>
      </c>
      <c r="CU42" s="17">
        <f>CT42*VLOOKUP('Données projet'!$B$13,Paramètres!$A$1:$I$89,3,0)*VLOOKUP('Données projet'!$B$13,Paramètres!$A$1:$I$89,5,0)</f>
        <v>166.10880000000009</v>
      </c>
      <c r="CV42" s="13">
        <f t="shared" si="41"/>
        <v>42.217353238107833</v>
      </c>
      <c r="CW42" s="20">
        <f t="shared" si="13"/>
        <v>362.83471688970462</v>
      </c>
      <c r="CX42" s="59">
        <f t="shared" si="14"/>
        <v>656.16805022303788</v>
      </c>
      <c r="CY42" s="59">
        <f ca="1">AVERAGE(OFFSET($CX$3,0,0,'Données projet'!$E$13+1,1))-AVERAGE(OFFSET($H$3,0,0,'Données projet'!$E$13+1,1))</f>
        <v>391.93999504334352</v>
      </c>
      <c r="CZ42" s="59">
        <f t="shared" si="42"/>
        <v>215.4484906985528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16.25454750604046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16.25454750604046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13.2</v>
      </c>
      <c r="DO42" s="12">
        <f>IF('Données projet'!$A$166&gt;35,DO41+DN42-DW41,IF(A42&lt;'Données projet'!$A$166,$DL$205^A42,IF(A42='Données projet'!$A$166,'Données projet'!$B$166,DO41+DN42-DW41)))</f>
        <v>249.79999999999995</v>
      </c>
      <c r="DP42" s="17">
        <f>DO42*VLOOKUP('Données projet'!$B$14,Paramètres!$A$1:$I$89,3,0)*VLOOKUP('Données projet'!$B$14,Paramètres!$A$1:$I$89,5,0)</f>
        <v>183.15335999999996</v>
      </c>
      <c r="DQ42" s="13">
        <f t="shared" si="43"/>
        <v>46.023039984246878</v>
      </c>
      <c r="DR42" s="20">
        <f t="shared" si="16"/>
        <v>399.14889663922986</v>
      </c>
      <c r="DS42" s="59">
        <f t="shared" si="17"/>
        <v>692.48222997256312</v>
      </c>
      <c r="DT42" s="59">
        <f ca="1">AVERAGE(OFFSET($DS$3,0,0,'Données projet'!$E$14+1,1))-AVERAGE(OFFSET($H$3,0,0,'Données projet'!$E$14+1,1))</f>
        <v>267.92147257573157</v>
      </c>
      <c r="DU42" s="59">
        <f t="shared" si="44"/>
        <v>269.06662611892438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13.523337431097533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13.523337431097533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28.093333333333334</v>
      </c>
      <c r="EJ42" s="12">
        <f>IF('Données projet'!$A$192&gt;35,EJ41+EI42-ER41,IF(A42&lt;'Données projet'!$A$192,$EG$205^A42,IF(A42='Données projet'!$A$192,'Données projet'!$B$192,EJ41+EI42-ER41)))</f>
        <v>500.08999999999992</v>
      </c>
      <c r="EK42" s="17">
        <f>EJ42*VLOOKUP('Données projet'!$B$15,Paramètres!$A$1:$I$89,3,0)*VLOOKUP('Données projet'!$B$15,Paramètres!$A$1:$I$89,5,0)</f>
        <v>279.55030999999997</v>
      </c>
      <c r="EL42" s="13">
        <f t="shared" si="45"/>
        <v>66.871967568934934</v>
      </c>
      <c r="EM42" s="20">
        <f t="shared" si="19"/>
        <v>603.35213343256157</v>
      </c>
      <c r="EN42" s="59">
        <f t="shared" si="20"/>
        <v>896.68546676589494</v>
      </c>
      <c r="EO42" s="59">
        <f ca="1">AVERAGE(OFFSET($EN$3,0,0,'Données projet'!$E$15+1,1))-AVERAGE(OFFSET($H$3,0,0,'Données projet'!$E$15+1,1))</f>
        <v>326.29985515186428</v>
      </c>
      <c r="EP42" s="59">
        <f t="shared" si="46"/>
        <v>437.68177084535927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33.005956163165152</v>
      </c>
      <c r="EW42" s="21">
        <f>EXP(-LN(2)/25)*EW41+(1-EXP(-LN(2)/25))/(LN(2)/25)*Calculateur!ER42*Calculateur!ET42*VLOOKUP('Données projet'!$B$15,Paramètres!$A$1:$I$89,3,0)*0.475*44/12</f>
        <v>39.403343532479596</v>
      </c>
      <c r="EX42" s="21">
        <f>EXP(-LN(2)/2)*EX41+(1-EXP(-LN(2)/2))/(LN(2)/2)*ER42*EU42*VLOOKUP('Données projet'!$B$15,Paramètres!$A$1:$I$89,3,0)*0.475*44/12</f>
        <v>3.2700176477465773E-2</v>
      </c>
      <c r="EY42" s="22">
        <f t="shared" si="21"/>
        <v>72.44199987212221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1.7053025658242404E-13</v>
      </c>
      <c r="FF42" s="17">
        <f>FE42*VLOOKUP('Données projet'!$B$16,Paramètres!$A$1:$I$89,3,0)*VLOOKUP('Données projet'!$B$16,Paramètres!$A$1:$I$89,5,0)</f>
        <v>9.7631982498569413E-14</v>
      </c>
      <c r="FG42" s="13">
        <f t="shared" si="47"/>
        <v>1.4708068762530911E-12</v>
      </c>
      <c r="FH42" s="20">
        <f t="shared" si="22"/>
        <v>2.7316976789924749E-12</v>
      </c>
      <c r="FI42" s="59">
        <f t="shared" si="23"/>
        <v>293.33333333333604</v>
      </c>
      <c r="FJ42" s="59">
        <f ca="1">AVERAGE(OFFSET($FI$3,0,0,'Données projet'!$E$16+1,1))-AVERAGE(OFFSET($H$3,0,0,'Données projet'!$E$16+1,1))</f>
        <v>211.14768428403215</v>
      </c>
      <c r="FK42" s="59">
        <f t="shared" si="48"/>
        <v>350.7800157534798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69.493284837302554</v>
      </c>
      <c r="FR42" s="21">
        <f>EXP(-LN(2)/25)*FR41+(1-EXP(-LN(2)/25))/(LN(2)/25)*Calculateur!FM42*Calculateur!FO42*VLOOKUP('Données projet'!$B$16,Paramètres!$A$1:$I$89,3,0)*0.475*44/12</f>
        <v>16.763044961816192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86.256329799118745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34.944000000000003</v>
      </c>
      <c r="D43" s="11">
        <f t="shared" si="32"/>
        <v>10.648197775908045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351.93977230525508</v>
      </c>
      <c r="H43" s="66">
        <f t="shared" si="1"/>
        <v>372.73974445970651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206</v>
      </c>
      <c r="L43" s="12">
        <f>VLOOKUP(A43,'Données projet'!$A$35:$I$55,9,0)</f>
        <v>9.8000000000000007</v>
      </c>
      <c r="M43" s="12">
        <f t="array" ref="M43">INDEX(L:L,MIN(IF(ISNUMBER(L43:L239),ROW(L43:L239),"")))</f>
        <v>9.8000000000000007</v>
      </c>
      <c r="N43" s="13">
        <f>IF('Données projet'!$A$36&gt;35,N42+M43-V42,IF(A43&lt;'Données projet'!$A$36,$K$205^A43,IF(A43='Données projet'!$A$36,'Données projet'!$B$36,N42+M43-V42)))</f>
        <v>206.00000000000009</v>
      </c>
      <c r="O43" s="13">
        <f>N43*VLOOKUP('Données projet'!$B$9,Paramètres!$A$1:$I$89,3,0)*VLOOKUP('Données projet'!$B$9,Paramètres!$A$1:$I$89,5,0)</f>
        <v>179.96160000000009</v>
      </c>
      <c r="P43" s="13">
        <f t="shared" si="33"/>
        <v>45.313642767960104</v>
      </c>
      <c r="Q43" s="20">
        <f t="shared" si="53"/>
        <v>392.35438115419737</v>
      </c>
      <c r="R43" s="59">
        <f t="shared" si="0"/>
        <v>685.68771448753068</v>
      </c>
      <c r="S43" s="59">
        <f ca="1">AVERAGE(OFFSET($R$3,0,0,'Données projet'!$E$9+1,1))-AVERAGE(OFFSET($H$3,0,0,'Données projet'!$E$9+1,1))</f>
        <v>252.49539407921907</v>
      </c>
      <c r="T43" s="59">
        <f t="shared" si="34"/>
        <v>263.36387286233929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31</v>
      </c>
      <c r="W43" s="16">
        <f>IF(ISNA(VLOOKUP(A43,'Données projet'!$A$35:$I$55,5,0)),0%,VLOOKUP(A43,'Données projet'!$A$35:$I$55,5,0)*VLOOKUP('Données projet'!$B$9,Paramètres!$A$1:$I$89,7,0))</f>
        <v>0.43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24.909069979844464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24.909069979844464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12.86166666666667</v>
      </c>
      <c r="AI43" s="13">
        <f>IF('Données projet'!$A$62&gt;35,AI42+AH43-AQ42,IF(A43&lt;'Données projet'!$A$62,$AF$205^A43,IF(A43='Données projet'!$A$62,'Données projet'!$B$62,AI42+AH43-AQ42)))</f>
        <v>196.01833333333337</v>
      </c>
      <c r="AJ43" s="13">
        <f>AI43*VLOOKUP('Données projet'!$B$10,Paramètres!$A$1:$I$89,3,0)*VLOOKUP('Données projet'!$B$10,Paramètres!$A$1:$I$89,5,0)</f>
        <v>177.35738800000004</v>
      </c>
      <c r="AK43" s="13">
        <f t="shared" si="35"/>
        <v>44.733748562033469</v>
      </c>
      <c r="AL43" s="20">
        <f t="shared" si="4"/>
        <v>386.80872951220834</v>
      </c>
      <c r="AM43" s="59">
        <f t="shared" si="5"/>
        <v>680.14206284554166</v>
      </c>
      <c r="AN43" s="59">
        <f ca="1">AVERAGE(OFFSET($AM$3,0,0,'Données projet'!$E$10+1,1))-AVERAGE(OFFSET($H$3,0,0,'Données projet'!$E$10+1,1))</f>
        <v>370.05613271587413</v>
      </c>
      <c r="AO43" s="59">
        <f t="shared" si="36"/>
        <v>183.24480056442525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27.104930447851295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27.104930447851295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12.86166666666667</v>
      </c>
      <c r="BD43" s="12">
        <f>IF('Données projet'!$A$88&gt;35,BD42+BC43-BL42,IF(A43&lt;'Données projet'!$A$88,$BA$205^A43,IF(A43='Données projet'!$A$88,'Données projet'!$B$88,BD42+BC43-BL42)))</f>
        <v>196.01833333333337</v>
      </c>
      <c r="BE43" s="13">
        <f>BD43*VLOOKUP('Données projet'!$B$11,Paramètres!$A$1:$I$89,3,0)*VLOOKUP('Données projet'!$B$11,Paramètres!$A$1:$I$89,5,0)</f>
        <v>198.76259000000005</v>
      </c>
      <c r="BF43" s="13">
        <f t="shared" si="37"/>
        <v>49.47212431008991</v>
      </c>
      <c r="BG43" s="20">
        <f t="shared" si="7"/>
        <v>432.34212742340668</v>
      </c>
      <c r="BH43" s="59">
        <f t="shared" si="8"/>
        <v>725.67546075673999</v>
      </c>
      <c r="BI43" s="59">
        <f ca="1">AVERAGE(OFFSET($BH$3,0,0,'Données projet'!$E$11+1,1))-AVERAGE(OFFSET($H$3,0,0,'Données projet'!$E$11+1,1))</f>
        <v>428.72181435671394</v>
      </c>
      <c r="BJ43" s="59">
        <f t="shared" si="38"/>
        <v>211.84936043087572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30.376215157074721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30.376215157074721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263</v>
      </c>
      <c r="BW43" s="12">
        <f>VLOOKUP(A43,'Données projet'!$A$113:$I$133,9,0)</f>
        <v>13.2</v>
      </c>
      <c r="BX43" s="12">
        <f t="array" ref="BX43">INDEX(BW:BW,MIN(IF(ISNUMBER(BW43:BW239),ROW(BW43:BW239),"")))</f>
        <v>13.2</v>
      </c>
      <c r="BY43" s="12">
        <f>IF('Données projet'!$A$114&gt;35,BY42+BX43-CG42,IF(A43&lt;'Données projet'!$A$114,$BV$205^A43,IF(A43='Données projet'!$A$114,'Données projet'!$B$114,BY42+BX43-CG42)))</f>
        <v>262.99999999999994</v>
      </c>
      <c r="BZ43" s="13">
        <f>BY43*VLOOKUP('Données projet'!$B$12,Paramètres!$A$1:$I$89,3,0)*VLOOKUP('Données projet'!$B$12,Paramètres!$A$1:$I$89,5,0)</f>
        <v>209.24279999999996</v>
      </c>
      <c r="CA43" s="13">
        <f t="shared" si="39"/>
        <v>51.770083677016814</v>
      </c>
      <c r="CB43" s="20">
        <f t="shared" si="10"/>
        <v>454.59743907080411</v>
      </c>
      <c r="CC43" s="59">
        <f t="shared" si="11"/>
        <v>747.93077240413743</v>
      </c>
      <c r="CD43" s="59">
        <f ca="1">AVERAGE(OFFSET($CC$3,0,0,'Données projet'!$E$12+1,1))-AVERAGE(OFFSET($H$3,0,0,'Données projet'!$E$12+1,1))</f>
        <v>296.737543892524</v>
      </c>
      <c r="CE43" s="59">
        <f t="shared" si="40"/>
        <v>296.38358650317099</v>
      </c>
      <c r="CF43" s="15">
        <f>IF(ISNA(VLOOKUP(A43,'Données projet'!$A$113:$I$133,3,0)),0,VLOOKUP(A43,'Données projet'!$A$113:$I$133,3,0))</f>
        <v>7</v>
      </c>
      <c r="CG43" s="15">
        <f>IF(ISNA(VLOOKUP(A43,'Données projet'!$A$113:$I$133,4,0)),0,VLOOKUP(A43,'Données projet'!$A$113:$I$133,4,0))</f>
        <v>40</v>
      </c>
      <c r="CH43" s="16">
        <f>IF(ISNA(VLOOKUP(A43,'Données projet'!$A$113:$I$133,5,0)),0%,VLOOKUP(A43,'Données projet'!$A$113:$I$133,5,0)*VLOOKUP('Données projet'!$B$12,Paramètres!$A$1:$I$89,7,0))</f>
        <v>0.53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36.377865023821677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36.377865023821677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207</v>
      </c>
      <c r="CR43" s="12">
        <f>VLOOKUP(A43,'Données projet'!$A$139:$I$159,9,0)</f>
        <v>13.4</v>
      </c>
      <c r="CS43" s="12">
        <f t="array" ref="CS43">INDEX(CR:CR,MIN(IF(ISNUMBER(CR43:CR239),ROW(CR43:CR239),"")))</f>
        <v>13.4</v>
      </c>
      <c r="CT43" s="12">
        <f>IF('Données projet'!$A$140&gt;35,CT42+CS43-DB42,IF(A43&lt;'Données projet'!$A$140,$CQ$205^A43,IF(A43='Données projet'!$A$140,'Données projet'!$B$140,CT42+CS43-DB42)))</f>
        <v>207.00000000000009</v>
      </c>
      <c r="CU43" s="17">
        <f>CT43*VLOOKUP('Données projet'!$B$13,Paramètres!$A$1:$I$89,3,0)*VLOOKUP('Données projet'!$B$13,Paramètres!$A$1:$I$89,5,0)</f>
        <v>177.60600000000008</v>
      </c>
      <c r="CV43" s="13">
        <f t="shared" si="41"/>
        <v>44.789150937858665</v>
      </c>
      <c r="CW43" s="20">
        <f t="shared" si="13"/>
        <v>387.33822121677059</v>
      </c>
      <c r="CX43" s="59">
        <f t="shared" si="14"/>
        <v>680.67155455010391</v>
      </c>
      <c r="CY43" s="59">
        <f ca="1">AVERAGE(OFFSET($CX$3,0,0,'Données projet'!$E$13+1,1))-AVERAGE(OFFSET($H$3,0,0,'Données projet'!$E$13+1,1))</f>
        <v>391.93999504334352</v>
      </c>
      <c r="CZ43" s="59">
        <f t="shared" si="42"/>
        <v>215.4484906985528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35</v>
      </c>
      <c r="DC43" s="16">
        <f>IF(ISNA(VLOOKUP(A43,'Données projet'!$A$139:$I$159,5,0)),0%,VLOOKUP(A43,'Données projet'!$A$139:$I$159,5,0)*VLOOKUP('Données projet'!$B$13,Paramètres!$A$1:$I$89,7,0))</f>
        <v>0.53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33.530361757350519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33.530361757350519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263</v>
      </c>
      <c r="DM43" s="12">
        <f>VLOOKUP(A43,'Données projet'!$A$165:$I$185,9,0)</f>
        <v>13.2</v>
      </c>
      <c r="DN43" s="12">
        <f t="array" ref="DN43">INDEX(DM:DM,MIN(IF(ISNUMBER(DM43:DM239),ROW(DM43:DM239),"")))</f>
        <v>13.2</v>
      </c>
      <c r="DO43" s="12">
        <f>IF('Données projet'!$A$166&gt;35,DO42+DN43-DW42,IF(A43&lt;'Données projet'!$A$166,$DL$205^A43,IF(A43='Données projet'!$A$166,'Données projet'!$B$166,DO42+DN43-DW42)))</f>
        <v>262.99999999999994</v>
      </c>
      <c r="DP43" s="17">
        <f>DO43*VLOOKUP('Données projet'!$B$14,Paramètres!$A$1:$I$89,3,0)*VLOOKUP('Données projet'!$B$14,Paramètres!$A$1:$I$89,5,0)</f>
        <v>192.83159999999995</v>
      </c>
      <c r="DQ43" s="13">
        <f t="shared" si="43"/>
        <v>48.165439402688818</v>
      </c>
      <c r="DR43" s="20">
        <f t="shared" si="16"/>
        <v>419.73651029301618</v>
      </c>
      <c r="DS43" s="59">
        <f t="shared" si="17"/>
        <v>713.06984362634944</v>
      </c>
      <c r="DT43" s="59">
        <f ca="1">AVERAGE(OFFSET($DS$3,0,0,'Données projet'!$E$14+1,1))-AVERAGE(OFFSET($H$3,0,0,'Données projet'!$E$14+1,1))</f>
        <v>267.92147257573157</v>
      </c>
      <c r="DU43" s="59">
        <f t="shared" si="44"/>
        <v>269.06662611892438</v>
      </c>
      <c r="DV43" s="15">
        <f>IF(ISNA(VLOOKUP(A43,'Données projet'!$A$165:$I$185,3,0)),0,VLOOKUP(A43,'Données projet'!$A$165:$I$185,3,0))</f>
        <v>7</v>
      </c>
      <c r="DW43" s="15">
        <f>IF(ISNA(VLOOKUP(A43,'Données projet'!$A$165:$I$185,4,0)),0,VLOOKUP(A43,'Données projet'!$A$165:$I$185,4,0))</f>
        <v>40</v>
      </c>
      <c r="DX43" s="16">
        <f>IF(ISNA(VLOOKUP(A43,'Données projet'!$A$165:$I$185,5,0)),0%,VLOOKUP(A43,'Données projet'!$A$165:$I$185,5,0)*VLOOKUP('Données projet'!$B$14,Paramètres!$A$1:$I$89,7,0))</f>
        <v>0.43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27.199284207600293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27.199284207600293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28.093333333333334</v>
      </c>
      <c r="EJ43" s="12">
        <f>IF('Données projet'!$A$192&gt;35,EJ42+EI43-ER42,IF(A43&lt;'Données projet'!$A$192,$EG$205^A43,IF(A43='Données projet'!$A$192,'Données projet'!$B$192,EJ42+EI43-ER42)))</f>
        <v>528.18333333333328</v>
      </c>
      <c r="EK43" s="17">
        <f>EJ43*VLOOKUP('Données projet'!$B$15,Paramètres!$A$1:$I$89,3,0)*VLOOKUP('Données projet'!$B$15,Paramètres!$A$1:$I$89,5,0)</f>
        <v>295.25448333333333</v>
      </c>
      <c r="EL43" s="13">
        <f t="shared" si="45"/>
        <v>70.180699585942122</v>
      </c>
      <c r="EM43" s="20">
        <f t="shared" si="19"/>
        <v>636.46627691773801</v>
      </c>
      <c r="EN43" s="59">
        <f t="shared" si="20"/>
        <v>929.79961025107127</v>
      </c>
      <c r="EO43" s="59">
        <f ca="1">AVERAGE(OFFSET($EN$3,0,0,'Données projet'!$E$15+1,1))-AVERAGE(OFFSET($H$3,0,0,'Données projet'!$E$15+1,1))</f>
        <v>326.29985515186428</v>
      </c>
      <c r="EP43" s="59">
        <f t="shared" si="46"/>
        <v>437.68177084535927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32.358729494450905</v>
      </c>
      <c r="EW43" s="21">
        <f>EXP(-LN(2)/25)*EW42+(1-EXP(-LN(2)/25))/(LN(2)/25)*Calculateur!ER43*Calculateur!ET43*VLOOKUP('Données projet'!$B$15,Paramètres!$A$1:$I$89,3,0)*0.475*44/12</f>
        <v>38.325857031452159</v>
      </c>
      <c r="EX43" s="21">
        <f>EXP(-LN(2)/2)*EX42+(1-EXP(-LN(2)/2))/(LN(2)/2)*ER43*EU43*VLOOKUP('Données projet'!$B$15,Paramètres!$A$1:$I$89,3,0)*0.475*44/12</f>
        <v>2.3122516533212879E-2</v>
      </c>
      <c r="EY43" s="22">
        <f t="shared" si="21"/>
        <v>70.707709042436264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1.7053025658242404E-13</v>
      </c>
      <c r="FF43" s="17">
        <f>FE43*VLOOKUP('Données projet'!$B$16,Paramètres!$A$1:$I$89,3,0)*VLOOKUP('Données projet'!$B$16,Paramètres!$A$1:$I$89,5,0)</f>
        <v>9.7631982498569413E-14</v>
      </c>
      <c r="FG43" s="13">
        <f t="shared" si="47"/>
        <v>1.4708068762530911E-12</v>
      </c>
      <c r="FH43" s="20">
        <f t="shared" si="22"/>
        <v>2.7316976789924749E-12</v>
      </c>
      <c r="FI43" s="59">
        <f t="shared" si="23"/>
        <v>293.33333333333604</v>
      </c>
      <c r="FJ43" s="59">
        <f ca="1">AVERAGE(OFFSET($FI$3,0,0,'Données projet'!$E$16+1,1))-AVERAGE(OFFSET($H$3,0,0,'Données projet'!$E$16+1,1))</f>
        <v>211.14768428403215</v>
      </c>
      <c r="FK43" s="59">
        <f t="shared" si="48"/>
        <v>350.7800157534798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68.130563908361466</v>
      </c>
      <c r="FR43" s="21">
        <f>EXP(-LN(2)/25)*FR42+(1-EXP(-LN(2)/25))/(LN(2)/25)*Calculateur!FM43*Calculateur!FO43*VLOOKUP('Données projet'!$B$16,Paramètres!$A$1:$I$89,3,0)*0.475*44/12</f>
        <v>16.304658615805106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84.435222524166576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35.817600000000006</v>
      </c>
      <c r="D44" s="11">
        <f t="shared" si="32"/>
        <v>10.883077364116859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360.49645684581441</v>
      </c>
      <c r="H44" s="66">
        <f t="shared" si="1"/>
        <v>374.67034640917018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8.8000000000000007</v>
      </c>
      <c r="N44" s="13">
        <f>IF('Données projet'!$A$36&gt;35,N43+M44-V43,IF(A44&lt;'Données projet'!$A$36,$K$205^A44,IF(A44='Données projet'!$A$36,'Données projet'!$B$36,N43+M44-V43)))</f>
        <v>183.8000000000001</v>
      </c>
      <c r="O44" s="13">
        <f>N44*VLOOKUP('Données projet'!$B$9,Paramètres!$A$1:$I$89,3,0)*VLOOKUP('Données projet'!$B$9,Paramètres!$A$1:$I$89,5,0)</f>
        <v>160.56768000000011</v>
      </c>
      <c r="P44" s="13">
        <f t="shared" si="33"/>
        <v>40.970530810309917</v>
      </c>
      <c r="Q44" s="20">
        <f t="shared" si="53"/>
        <v>351.01238382795663</v>
      </c>
      <c r="R44" s="59">
        <f t="shared" si="0"/>
        <v>644.34571716128994</v>
      </c>
      <c r="S44" s="59">
        <f ca="1">AVERAGE(OFFSET($R$3,0,0,'Données projet'!$E$9+1,1))-AVERAGE(OFFSET($H$3,0,0,'Données projet'!$E$9+1,1))</f>
        <v>252.49539407921907</v>
      </c>
      <c r="T44" s="59">
        <f t="shared" si="34"/>
        <v>263.36387286233929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24.420618310572216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24.420618310572216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208.88</v>
      </c>
      <c r="AG44" s="12">
        <f>VLOOKUP(A44,'Données projet'!$A$61:$I$81,9,0)</f>
        <v>12.86166666666667</v>
      </c>
      <c r="AH44" s="12">
        <f t="array" ref="AH44">INDEX(AG:AG,MIN(IF(ISNUMBER(AG44:AG240),ROW(AG44:AG240),"")))</f>
        <v>12.86166666666667</v>
      </c>
      <c r="AI44" s="13">
        <f>IF('Données projet'!$A$62&gt;35,AI43+AH44-AQ43,IF(A44&lt;'Données projet'!$A$62,$AF$205^A44,IF(A44='Données projet'!$A$62,'Données projet'!$B$62,AI43+AH44-AQ43)))</f>
        <v>208.88000000000005</v>
      </c>
      <c r="AJ44" s="13">
        <f>AI44*VLOOKUP('Données projet'!$B$10,Paramètres!$A$1:$I$89,3,0)*VLOOKUP('Données projet'!$B$10,Paramètres!$A$1:$I$89,5,0)</f>
        <v>188.99462400000004</v>
      </c>
      <c r="AK44" s="13">
        <f t="shared" si="35"/>
        <v>47.317609904825126</v>
      </c>
      <c r="AL44" s="20">
        <f t="shared" si="4"/>
        <v>411.5771407175705</v>
      </c>
      <c r="AM44" s="59">
        <f t="shared" si="5"/>
        <v>704.91047405090376</v>
      </c>
      <c r="AN44" s="59">
        <f ca="1">AVERAGE(OFFSET($AM$3,0,0,'Données projet'!$E$10+1,1))-AVERAGE(OFFSET($H$3,0,0,'Données projet'!$E$10+1,1))</f>
        <v>370.05613271587413</v>
      </c>
      <c r="AO44" s="59">
        <f t="shared" si="36"/>
        <v>183.24480056442525</v>
      </c>
      <c r="AP44" s="15">
        <f>IF(ISNA(VLOOKUP(A44,'Données projet'!$A$61:$I$81,3,0)),0,VLOOKUP(A44,'Données projet'!$A$61:$I$81,3,0))</f>
        <v>2</v>
      </c>
      <c r="AQ44" s="15">
        <f>IF(ISNA(VLOOKUP(A44,'Données projet'!$A$61:$I$81,4,0)),0,VLOOKUP(A44,'Données projet'!$A$61:$I$81,4,0))</f>
        <v>47.41</v>
      </c>
      <c r="AR44" s="16">
        <f>IF(ISNA(VLOOKUP(A44,'Données projet'!$A$61:$I$81,5,0)),0%,VLOOKUP(A44,'Données projet'!$A$61:$I$81,5,0)*VLOOKUP('Données projet'!$B$10,Paramètres!$A$1:$I$89,7,0))</f>
        <v>0.43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46.964399976421092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46.964399976421092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>
        <f>VLOOKUP(A44,'Données projet'!$A$87:$I$107,2,0)</f>
        <v>208.88</v>
      </c>
      <c r="BB44" s="12">
        <f>VLOOKUP(A44,'Données projet'!$A$87:$I$107,9,0)</f>
        <v>12.86166666666667</v>
      </c>
      <c r="BC44" s="12">
        <f t="array" ref="BC44">INDEX(BB:BB,MIN(IF(ISNUMBER(BB44:BB240),ROW(BB44:BB240),"")))</f>
        <v>12.86166666666667</v>
      </c>
      <c r="BD44" s="12">
        <f>IF('Données projet'!$A$88&gt;35,BD43+BC44-BL43,IF(A44&lt;'Données projet'!$A$88,$BA$205^A44,IF(A44='Données projet'!$A$88,'Données projet'!$B$88,BD43+BC44-BL43)))</f>
        <v>208.88000000000005</v>
      </c>
      <c r="BE44" s="13">
        <f>BD44*VLOOKUP('Données projet'!$B$11,Paramètres!$A$1:$I$89,3,0)*VLOOKUP('Données projet'!$B$11,Paramètres!$A$1:$I$89,5,0)</f>
        <v>211.80432000000008</v>
      </c>
      <c r="BF44" s="13">
        <f t="shared" si="37"/>
        <v>52.329678475785691</v>
      </c>
      <c r="BG44" s="20">
        <f t="shared" si="7"/>
        <v>460.03338067866019</v>
      </c>
      <c r="BH44" s="59">
        <f t="shared" si="8"/>
        <v>753.36671401199351</v>
      </c>
      <c r="BI44" s="59">
        <f ca="1">AVERAGE(OFFSET($BH$3,0,0,'Données projet'!$E$11+1,1))-AVERAGE(OFFSET($H$3,0,0,'Données projet'!$E$11+1,1))</f>
        <v>428.72181435671394</v>
      </c>
      <c r="BJ44" s="59">
        <f t="shared" si="38"/>
        <v>211.84936043087572</v>
      </c>
      <c r="BK44" s="15">
        <f>IF(ISNA(VLOOKUP(A44,'Données projet'!$A$87:$I$107,3,0)),0,VLOOKUP(A44,'Données projet'!$A$87:$I$107,3,0))</f>
        <v>2</v>
      </c>
      <c r="BL44" s="15">
        <f>IF(ISNA(VLOOKUP(A44,'Données projet'!$A$87:$I$107,4,0)),0,VLOOKUP(A44,'Données projet'!$A$87:$I$107,4,0))</f>
        <v>47.41</v>
      </c>
      <c r="BM44" s="16">
        <f>IF(ISNA(VLOOKUP(A44,'Données projet'!$A$87:$I$107,5,0)),0%,VLOOKUP(A44,'Données projet'!$A$87:$I$107,5,0)*VLOOKUP('Données projet'!$B$11,Paramètres!$A$1:$I$89,7,0))</f>
        <v>0.43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52.632517214954675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52.632517214954675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11.4</v>
      </c>
      <c r="BY44" s="12">
        <f>IF('Données projet'!$A$114&gt;35,BY43+BX44-CG43,IF(A44&lt;'Données projet'!$A$114,$BV$205^A44,IF(A44='Données projet'!$A$114,'Données projet'!$B$114,BY43+BX44-CG43)))</f>
        <v>234.39999999999992</v>
      </c>
      <c r="BZ44" s="13">
        <f>BY44*VLOOKUP('Données projet'!$B$12,Paramètres!$A$1:$I$89,3,0)*VLOOKUP('Données projet'!$B$12,Paramètres!$A$1:$I$89,5,0)</f>
        <v>186.48863999999995</v>
      </c>
      <c r="CA44" s="13">
        <f t="shared" si="39"/>
        <v>46.762800221578807</v>
      </c>
      <c r="CB44" s="20">
        <f t="shared" si="10"/>
        <v>406.24625838591629</v>
      </c>
      <c r="CC44" s="59">
        <f t="shared" si="11"/>
        <v>699.57959171924961</v>
      </c>
      <c r="CD44" s="59">
        <f ca="1">AVERAGE(OFFSET($CC$3,0,0,'Données projet'!$E$12+1,1))-AVERAGE(OFFSET($H$3,0,0,'Données projet'!$E$12+1,1))</f>
        <v>296.737543892524</v>
      </c>
      <c r="CE44" s="59">
        <f t="shared" si="40"/>
        <v>296.38358650317099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35.664517279011285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35.664517279011285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13.8</v>
      </c>
      <c r="CT44" s="12">
        <f>IF('Données projet'!$A$140&gt;35,CT43+CS44-DB43,IF(A44&lt;'Données projet'!$A$140,$CQ$205^A44,IF(A44='Données projet'!$A$140,'Données projet'!$B$140,CT43+CS44-DB43)))</f>
        <v>185.8000000000001</v>
      </c>
      <c r="CU44" s="17">
        <f>CT44*VLOOKUP('Données projet'!$B$13,Paramètres!$A$1:$I$89,3,0)*VLOOKUP('Données projet'!$B$13,Paramètres!$A$1:$I$89,5,0)</f>
        <v>159.4164000000001</v>
      </c>
      <c r="CV44" s="13">
        <f t="shared" si="41"/>
        <v>40.710854816108295</v>
      </c>
      <c r="CW44" s="20">
        <f t="shared" si="13"/>
        <v>348.55496880472214</v>
      </c>
      <c r="CX44" s="59">
        <f t="shared" si="14"/>
        <v>641.88830213805545</v>
      </c>
      <c r="CY44" s="59">
        <f ca="1">AVERAGE(OFFSET($CX$3,0,0,'Données projet'!$E$13+1,1))-AVERAGE(OFFSET($H$3,0,0,'Données projet'!$E$13+1,1))</f>
        <v>391.93999504334352</v>
      </c>
      <c r="CZ44" s="59">
        <f t="shared" si="42"/>
        <v>215.4484906985528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32.872851814790131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32.872851814790131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11.4</v>
      </c>
      <c r="DO44" s="12">
        <f>IF('Données projet'!$A$166&gt;35,DO43+DN44-DW43,IF(A44&lt;'Données projet'!$A$166,$DL$205^A44,IF(A44='Données projet'!$A$166,'Données projet'!$B$166,DO43+DN44-DW43)))</f>
        <v>234.39999999999992</v>
      </c>
      <c r="DP44" s="17">
        <f>DO44*VLOOKUP('Données projet'!$B$14,Paramètres!$A$1:$I$89,3,0)*VLOOKUP('Données projet'!$B$14,Paramètres!$A$1:$I$89,5,0)</f>
        <v>171.86207999999993</v>
      </c>
      <c r="DQ44" s="13">
        <f t="shared" si="43"/>
        <v>43.506802778694762</v>
      </c>
      <c r="DR44" s="20">
        <f t="shared" si="16"/>
        <v>375.10080417289322</v>
      </c>
      <c r="DS44" s="59">
        <f t="shared" si="17"/>
        <v>668.43413750622653</v>
      </c>
      <c r="DT44" s="59">
        <f ca="1">AVERAGE(OFFSET($DS$3,0,0,'Données projet'!$E$14+1,1))-AVERAGE(OFFSET($H$3,0,0,'Données projet'!$E$14+1,1))</f>
        <v>267.92147257573157</v>
      </c>
      <c r="DU44" s="59">
        <f t="shared" si="44"/>
        <v>269.06662611892438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26.665922834214498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26.665922834214498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28.093333333333334</v>
      </c>
      <c r="EJ44" s="12">
        <f>IF('Données projet'!$A$192&gt;35,EJ43+EI44-ER43,IF(A44&lt;'Données projet'!$A$192,$EG$205^A44,IF(A44='Données projet'!$A$192,'Données projet'!$B$192,EJ43+EI44-ER43)))</f>
        <v>556.27666666666664</v>
      </c>
      <c r="EK44" s="17">
        <f>EJ44*VLOOKUP('Données projet'!$B$15,Paramètres!$A$1:$I$89,3,0)*VLOOKUP('Données projet'!$B$15,Paramètres!$A$1:$I$89,5,0)</f>
        <v>310.95865666666663</v>
      </c>
      <c r="EL44" s="13">
        <f t="shared" si="45"/>
        <v>73.468999847738303</v>
      </c>
      <c r="EM44" s="20">
        <f t="shared" si="19"/>
        <v>669.54483509592194</v>
      </c>
      <c r="EN44" s="59">
        <f t="shared" si="20"/>
        <v>962.87816842925531</v>
      </c>
      <c r="EO44" s="59">
        <f ca="1">AVERAGE(OFFSET($EN$3,0,0,'Données projet'!$E$15+1,1))-AVERAGE(OFFSET($H$3,0,0,'Données projet'!$E$15+1,1))</f>
        <v>326.29985515186428</v>
      </c>
      <c r="EP44" s="59">
        <f t="shared" si="46"/>
        <v>437.68177084535927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31.724194545940861</v>
      </c>
      <c r="EW44" s="21">
        <f>EXP(-LN(2)/25)*EW43+(1-EXP(-LN(2)/25))/(LN(2)/25)*Calculateur!ER44*Calculateur!ET44*VLOOKUP('Données projet'!$B$15,Paramètres!$A$1:$I$89,3,0)*0.475*44/12</f>
        <v>37.277834455457871</v>
      </c>
      <c r="EX44" s="21">
        <f>EXP(-LN(2)/2)*EX43+(1-EXP(-LN(2)/2))/(LN(2)/2)*ER44*EU44*VLOOKUP('Données projet'!$B$15,Paramètres!$A$1:$I$89,3,0)*0.475*44/12</f>
        <v>1.6350088238732886E-2</v>
      </c>
      <c r="EY44" s="22">
        <f t="shared" si="21"/>
        <v>69.018379089637477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1.7053025658242404E-13</v>
      </c>
      <c r="FF44" s="17">
        <f>FE44*VLOOKUP('Données projet'!$B$16,Paramètres!$A$1:$I$89,3,0)*VLOOKUP('Données projet'!$B$16,Paramètres!$A$1:$I$89,5,0)</f>
        <v>9.7631982498569413E-14</v>
      </c>
      <c r="FG44" s="13">
        <f t="shared" si="47"/>
        <v>1.4708068762530911E-12</v>
      </c>
      <c r="FH44" s="20">
        <f t="shared" si="22"/>
        <v>2.7316976789924749E-12</v>
      </c>
      <c r="FI44" s="59">
        <f t="shared" si="23"/>
        <v>293.33333333333604</v>
      </c>
      <c r="FJ44" s="59">
        <f ca="1">AVERAGE(OFFSET($FI$3,0,0,'Données projet'!$E$16+1,1))-AVERAGE(OFFSET($H$3,0,0,'Données projet'!$E$16+1,1))</f>
        <v>211.14768428403215</v>
      </c>
      <c r="FK44" s="59">
        <f t="shared" si="48"/>
        <v>350.7800157534798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66.794565105659217</v>
      </c>
      <c r="FR44" s="21">
        <f>EXP(-LN(2)/25)*FR43+(1-EXP(-LN(2)/25))/(LN(2)/25)*Calculateur!FM44*Calculateur!FO44*VLOOKUP('Données projet'!$B$16,Paramètres!$A$1:$I$89,3,0)*0.475*44/12</f>
        <v>15.858806868531184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82.653371974190406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36.691200000000009</v>
      </c>
      <c r="D45" s="11">
        <f t="shared" si="32"/>
        <v>11.117290999341371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369.04800069667027</v>
      </c>
      <c r="H45" s="66">
        <f t="shared" si="1"/>
        <v>376.59978849051953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8.8000000000000007</v>
      </c>
      <c r="N45" s="13">
        <f>IF('Données projet'!$A$36&gt;35,N44+M45-V44,IF(A45&lt;'Données projet'!$A$36,$K$205^A45,IF(A45='Données projet'!$A$36,'Données projet'!$B$36,N44+M45-V44)))</f>
        <v>192.60000000000011</v>
      </c>
      <c r="O45" s="13">
        <f>N45*VLOOKUP('Données projet'!$B$9,Paramètres!$A$1:$I$89,3,0)*VLOOKUP('Données projet'!$B$9,Paramètres!$A$1:$I$89,5,0)</f>
        <v>168.25536000000011</v>
      </c>
      <c r="P45" s="13">
        <f t="shared" si="33"/>
        <v>42.699047982710923</v>
      </c>
      <c r="Q45" s="20">
        <f t="shared" si="53"/>
        <v>367.41226056988836</v>
      </c>
      <c r="R45" s="59">
        <f t="shared" si="0"/>
        <v>660.74559390322167</v>
      </c>
      <c r="S45" s="59">
        <f ca="1">AVERAGE(OFFSET($R$3,0,0,'Données projet'!$E$9+1,1))-AVERAGE(OFFSET($H$3,0,0,'Données projet'!$E$9+1,1))</f>
        <v>252.49539407921907</v>
      </c>
      <c r="T45" s="59">
        <f t="shared" si="34"/>
        <v>263.36387286233929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23.941744880608294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23.941744880608294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13.059999999999999</v>
      </c>
      <c r="AI45" s="13">
        <f>IF('Données projet'!$A$62&gt;35,AI44+AH45-AQ44,IF(A45&lt;'Données projet'!$A$62,$AF$205^A45,IF(A45='Données projet'!$A$62,'Données projet'!$B$62,AI44+AH45-AQ44)))</f>
        <v>174.53000000000006</v>
      </c>
      <c r="AJ45" s="13">
        <f>AI45*VLOOKUP('Données projet'!$B$10,Paramètres!$A$1:$I$89,3,0)*VLOOKUP('Données projet'!$B$10,Paramètres!$A$1:$I$89,5,0)</f>
        <v>157.91474400000004</v>
      </c>
      <c r="AK45" s="13">
        <f t="shared" si="35"/>
        <v>40.371821598059007</v>
      </c>
      <c r="AL45" s="20">
        <f t="shared" si="4"/>
        <v>345.34910174995275</v>
      </c>
      <c r="AM45" s="59">
        <f t="shared" si="5"/>
        <v>638.68243508328601</v>
      </c>
      <c r="AN45" s="59">
        <f ca="1">AVERAGE(OFFSET($AM$3,0,0,'Données projet'!$E$10+1,1))-AVERAGE(OFFSET($H$3,0,0,'Données projet'!$E$10+1,1))</f>
        <v>370.05613271587413</v>
      </c>
      <c r="AO45" s="59">
        <f t="shared" si="36"/>
        <v>183.24480056442525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46.043456738338953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46.043456738338953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13.059999999999999</v>
      </c>
      <c r="BD45" s="12">
        <f>IF('Données projet'!$A$88&gt;35,BD44+BC45-BL44,IF(A45&lt;'Données projet'!$A$88,$BA$205^A45,IF(A45='Données projet'!$A$88,'Données projet'!$B$88,BD44+BC45-BL44)))</f>
        <v>174.53000000000006</v>
      </c>
      <c r="BE45" s="13">
        <f>BD45*VLOOKUP('Données projet'!$B$11,Paramètres!$A$1:$I$89,3,0)*VLOOKUP('Données projet'!$B$11,Paramètres!$A$1:$I$89,5,0)</f>
        <v>176.97342000000009</v>
      </c>
      <c r="BF45" s="13">
        <f t="shared" si="37"/>
        <v>44.648164773275532</v>
      </c>
      <c r="BG45" s="20">
        <f t="shared" si="7"/>
        <v>385.99092681345502</v>
      </c>
      <c r="BH45" s="59">
        <f t="shared" si="8"/>
        <v>679.32426014678833</v>
      </c>
      <c r="BI45" s="59">
        <f ca="1">AVERAGE(OFFSET($BH$3,0,0,'Données projet'!$E$11+1,1))-AVERAGE(OFFSET($H$3,0,0,'Données projet'!$E$11+1,1))</f>
        <v>428.72181435671394</v>
      </c>
      <c r="BJ45" s="59">
        <f t="shared" si="38"/>
        <v>211.84936043087572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51.600425655035039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51.600425655035039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11.4</v>
      </c>
      <c r="BY45" s="12">
        <f>IF('Données projet'!$A$114&gt;35,BY44+BX45-CG44,IF(A45&lt;'Données projet'!$A$114,$BV$205^A45,IF(A45='Données projet'!$A$114,'Données projet'!$B$114,BY44+BX45-CG44)))</f>
        <v>245.79999999999993</v>
      </c>
      <c r="BZ45" s="13">
        <f>BY45*VLOOKUP('Données projet'!$B$12,Paramètres!$A$1:$I$89,3,0)*VLOOKUP('Données projet'!$B$12,Paramètres!$A$1:$I$89,5,0)</f>
        <v>195.55847999999995</v>
      </c>
      <c r="CA45" s="13">
        <f t="shared" si="39"/>
        <v>48.766783903364477</v>
      </c>
      <c r="CB45" s="20">
        <f t="shared" si="10"/>
        <v>425.53316796502639</v>
      </c>
      <c r="CC45" s="59">
        <f t="shared" si="11"/>
        <v>718.86650129835971</v>
      </c>
      <c r="CD45" s="59">
        <f ca="1">AVERAGE(OFFSET($CC$3,0,0,'Données projet'!$E$12+1,1))-AVERAGE(OFFSET($H$3,0,0,'Données projet'!$E$12+1,1))</f>
        <v>296.737543892524</v>
      </c>
      <c r="CE45" s="59">
        <f t="shared" si="40"/>
        <v>296.38358650317099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34.965157848377466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34.965157848377466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13.8</v>
      </c>
      <c r="CT45" s="12">
        <f>IF('Données projet'!$A$140&gt;35,CT44+CS45-DB44,IF(A45&lt;'Données projet'!$A$140,$CQ$205^A45,IF(A45='Données projet'!$A$140,'Données projet'!$B$140,CT44+CS45-DB44)))</f>
        <v>199.60000000000011</v>
      </c>
      <c r="CU45" s="17">
        <f>CT45*VLOOKUP('Données projet'!$B$13,Paramètres!$A$1:$I$89,3,0)*VLOOKUP('Données projet'!$B$13,Paramètres!$A$1:$I$89,5,0)</f>
        <v>171.25680000000011</v>
      </c>
      <c r="CV45" s="13">
        <f t="shared" si="41"/>
        <v>43.371384196183378</v>
      </c>
      <c r="CW45" s="20">
        <f t="shared" si="13"/>
        <v>373.81075414168623</v>
      </c>
      <c r="CX45" s="59">
        <f t="shared" si="14"/>
        <v>667.14408747501955</v>
      </c>
      <c r="CY45" s="59">
        <f ca="1">AVERAGE(OFFSET($CX$3,0,0,'Données projet'!$E$13+1,1))-AVERAGE(OFFSET($H$3,0,0,'Données projet'!$E$13+1,1))</f>
        <v>391.93999504334352</v>
      </c>
      <c r="CZ45" s="59">
        <f t="shared" si="42"/>
        <v>215.4484906985528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32.228235241161883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32.228235241161883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11.4</v>
      </c>
      <c r="DO45" s="12">
        <f>IF('Données projet'!$A$166&gt;35,DO44+DN45-DW44,IF(A45&lt;'Données projet'!$A$166,$DL$205^A45,IF(A45='Données projet'!$A$166,'Données projet'!$B$166,DO44+DN45-DW44)))</f>
        <v>245.79999999999993</v>
      </c>
      <c r="DP45" s="17">
        <f>DO45*VLOOKUP('Données projet'!$B$14,Paramètres!$A$1:$I$89,3,0)*VLOOKUP('Données projet'!$B$14,Paramètres!$A$1:$I$89,5,0)</f>
        <v>180.22055999999992</v>
      </c>
      <c r="DQ45" s="13">
        <f t="shared" si="43"/>
        <v>45.371253205145926</v>
      </c>
      <c r="DR45" s="20">
        <f t="shared" si="16"/>
        <v>392.90574133229569</v>
      </c>
      <c r="DS45" s="59">
        <f t="shared" si="17"/>
        <v>686.239074665629</v>
      </c>
      <c r="DT45" s="59">
        <f ca="1">AVERAGE(OFFSET($DS$3,0,0,'Données projet'!$E$14+1,1))-AVERAGE(OFFSET($H$3,0,0,'Données projet'!$E$14+1,1))</f>
        <v>267.92147257573157</v>
      </c>
      <c r="DU45" s="59">
        <f t="shared" si="44"/>
        <v>269.06662611892438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26.143020352042484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26.143020352042484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>
        <f>VLOOKUP(A45,'Données projet'!$A$191:$I$211,2,0)</f>
        <v>584.37</v>
      </c>
      <c r="EH45" s="12">
        <f>VLOOKUP(A45,'Données projet'!$A$191:$I$211,9,0)</f>
        <v>28.093333333333334</v>
      </c>
      <c r="EI45" s="12">
        <f t="array" ref="EI45">INDEX(EH:EH,MIN(IF(ISNUMBER(EH45:EH241),ROW(EH45:EH241),"")))</f>
        <v>28.093333333333334</v>
      </c>
      <c r="EJ45" s="12">
        <f>IF('Données projet'!$A$192&gt;35,EJ44+EI45-ER44,IF(A45&lt;'Données projet'!$A$192,$EG$205^A45,IF(A45='Données projet'!$A$192,'Données projet'!$B$192,EJ44+EI45-ER44)))</f>
        <v>584.37</v>
      </c>
      <c r="EK45" s="17">
        <f>EJ45*VLOOKUP('Données projet'!$B$15,Paramètres!$A$1:$I$89,3,0)*VLOOKUP('Données projet'!$B$15,Paramètres!$A$1:$I$89,5,0)</f>
        <v>326.66282999999999</v>
      </c>
      <c r="EL45" s="13">
        <f t="shared" si="45"/>
        <v>76.738017937615012</v>
      </c>
      <c r="EM45" s="20">
        <f t="shared" si="19"/>
        <v>702.58981015801282</v>
      </c>
      <c r="EN45" s="59">
        <f t="shared" si="20"/>
        <v>995.92314349134608</v>
      </c>
      <c r="EO45" s="59">
        <f ca="1">AVERAGE(OFFSET($EN$3,0,0,'Données projet'!$E$15+1,1))-AVERAGE(OFFSET($H$3,0,0,'Données projet'!$E$15+1,1))</f>
        <v>326.29985515186428</v>
      </c>
      <c r="EP45" s="59">
        <f t="shared" si="46"/>
        <v>437.68177084535927</v>
      </c>
      <c r="EQ45" s="15">
        <f>IF(ISNA(VLOOKUP(A45,'Données projet'!$A$191:$I$211,3,0)),0,VLOOKUP(A45,'Données projet'!$A$191:$I$211,3,0))</f>
        <v>5</v>
      </c>
      <c r="ER45" s="15">
        <f>IF(ISNA(VLOOKUP(A45,'Données projet'!$A$191:$I$211,4,0)),0,VLOOKUP(A45,'Données projet'!$A$191:$I$211,4,0))</f>
        <v>91.25</v>
      </c>
      <c r="ES45" s="16">
        <f>IF(ISNA(VLOOKUP(A45,'Données projet'!$A$191:$I$211,5,0)),0%,VLOOKUP(A45,'Données projet'!$A$191:$I$211,5,0)*VLOOKUP('Données projet'!$B$15,Paramètres!$A$1:$I$89,7,0))</f>
        <v>0.55000000000000004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68.31861950726389</v>
      </c>
      <c r="EW45" s="21">
        <f>EXP(-LN(2)/25)*EW44+(1-EXP(-LN(2)/25))/(LN(2)/25)*Calculateur!ER45*Calculateur!ET45*VLOOKUP('Données projet'!$B$15,Paramètres!$A$1:$I$89,3,0)*0.475*44/12</f>
        <v>36.258470111917262</v>
      </c>
      <c r="EX45" s="21">
        <f>EXP(-LN(2)/2)*EX44+(1-EXP(-LN(2)/2))/(LN(2)/2)*ER45*EU45*VLOOKUP('Données projet'!$B$15,Paramètres!$A$1:$I$89,3,0)*0.475*44/12</f>
        <v>1.156125826660644E-2</v>
      </c>
      <c r="EY45" s="22">
        <f t="shared" si="21"/>
        <v>104.58865087744776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1.7053025658242404E-13</v>
      </c>
      <c r="FF45" s="17">
        <f>FE45*VLOOKUP('Données projet'!$B$16,Paramètres!$A$1:$I$89,3,0)*VLOOKUP('Données projet'!$B$16,Paramètres!$A$1:$I$89,5,0)</f>
        <v>9.7631982498569413E-14</v>
      </c>
      <c r="FG45" s="13">
        <f t="shared" si="47"/>
        <v>1.4708068762530911E-12</v>
      </c>
      <c r="FH45" s="20">
        <f t="shared" si="22"/>
        <v>2.7316976789924749E-12</v>
      </c>
      <c r="FI45" s="59">
        <f t="shared" si="23"/>
        <v>293.33333333333604</v>
      </c>
      <c r="FJ45" s="59">
        <f ca="1">AVERAGE(OFFSET($FI$3,0,0,'Données projet'!$E$16+1,1))-AVERAGE(OFFSET($H$3,0,0,'Données projet'!$E$16+1,1))</f>
        <v>211.14768428403215</v>
      </c>
      <c r="FK45" s="59">
        <f t="shared" si="48"/>
        <v>350.7800157534798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65.484764424599149</v>
      </c>
      <c r="FR45" s="21">
        <f>EXP(-LN(2)/25)*FR44+(1-EXP(-LN(2)/25))/(LN(2)/25)*Calculateur!FM45*Calculateur!FO45*VLOOKUP('Données projet'!$B$16,Paramètres!$A$1:$I$89,3,0)*0.475*44/12</f>
        <v>15.425146960732791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80.909911385331938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37.564800000000012</v>
      </c>
      <c r="D46" s="11">
        <f t="shared" si="32"/>
        <v>11.350856362116874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377.5945403391479</v>
      </c>
      <c r="H46" s="66">
        <f t="shared" si="1"/>
        <v>378.52810149735353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8.8000000000000007</v>
      </c>
      <c r="N46" s="13">
        <f>IF('Données projet'!$A$36&gt;35,N45+M46-V45,IF(A46&lt;'Données projet'!$A$36,$K$205^A46,IF(A46='Données projet'!$A$36,'Données projet'!$B$36,N45+M46-V45)))</f>
        <v>201.40000000000012</v>
      </c>
      <c r="O46" s="13">
        <f>N46*VLOOKUP('Données projet'!$B$9,Paramètres!$A$1:$I$89,3,0)*VLOOKUP('Données projet'!$B$9,Paramètres!$A$1:$I$89,5,0)</f>
        <v>175.94304000000014</v>
      </c>
      <c r="P46" s="13">
        <f t="shared" si="33"/>
        <v>44.418393276556458</v>
      </c>
      <c r="Q46" s="20">
        <f t="shared" si="53"/>
        <v>383.79616295666938</v>
      </c>
      <c r="R46" s="59">
        <f t="shared" si="0"/>
        <v>677.12949629000263</v>
      </c>
      <c r="S46" s="59">
        <f ca="1">AVERAGE(OFFSET($R$3,0,0,'Données projet'!$E$9+1,1))-AVERAGE(OFFSET($H$3,0,0,'Données projet'!$E$9+1,1))</f>
        <v>252.49539407921907</v>
      </c>
      <c r="T46" s="59">
        <f t="shared" si="34"/>
        <v>263.36387286233929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23.472261866522015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23.472261866522015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13.059999999999999</v>
      </c>
      <c r="AI46" s="13">
        <f>IF('Données projet'!$A$62&gt;35,AI45+AH46-AQ45,IF(A46&lt;'Données projet'!$A$62,$AF$205^A46,IF(A46='Données projet'!$A$62,'Données projet'!$B$62,AI45+AH46-AQ45)))</f>
        <v>187.59000000000006</v>
      </c>
      <c r="AJ46" s="13">
        <f>AI46*VLOOKUP('Données projet'!$B$10,Paramètres!$A$1:$I$89,3,0)*VLOOKUP('Données projet'!$B$10,Paramètres!$A$1:$I$89,5,0)</f>
        <v>169.73143200000004</v>
      </c>
      <c r="AK46" s="13">
        <f t="shared" si="35"/>
        <v>43.029867753624529</v>
      </c>
      <c r="AL46" s="20">
        <f t="shared" si="4"/>
        <v>370.55926373756279</v>
      </c>
      <c r="AM46" s="59">
        <f t="shared" si="5"/>
        <v>663.89259707089604</v>
      </c>
      <c r="AN46" s="59">
        <f ca="1">AVERAGE(OFFSET($AM$3,0,0,'Données projet'!$E$10+1,1))-AVERAGE(OFFSET($H$3,0,0,'Données projet'!$E$10+1,1))</f>
        <v>370.05613271587413</v>
      </c>
      <c r="AO46" s="59">
        <f t="shared" si="36"/>
        <v>183.24480056442525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45.140572635435696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45.140572635435696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13.059999999999999</v>
      </c>
      <c r="BD46" s="12">
        <f>IF('Données projet'!$A$88&gt;35,BD45+BC46-BL45,IF(A46&lt;'Données projet'!$A$88,$BA$205^A46,IF(A46='Données projet'!$A$88,'Données projet'!$B$88,BD45+BC46-BL45)))</f>
        <v>187.59000000000006</v>
      </c>
      <c r="BE46" s="13">
        <f>BD46*VLOOKUP('Données projet'!$B$11,Paramètres!$A$1:$I$89,3,0)*VLOOKUP('Données projet'!$B$11,Paramètres!$A$1:$I$89,5,0)</f>
        <v>190.21626000000006</v>
      </c>
      <c r="BF46" s="13">
        <f t="shared" si="37"/>
        <v>47.587761700810915</v>
      </c>
      <c r="BG46" s="20">
        <f t="shared" si="7"/>
        <v>414.17533779557908</v>
      </c>
      <c r="BH46" s="59">
        <f t="shared" si="8"/>
        <v>707.5086711289124</v>
      </c>
      <c r="BI46" s="59">
        <f ca="1">AVERAGE(OFFSET($BH$3,0,0,'Données projet'!$E$11+1,1))-AVERAGE(OFFSET($H$3,0,0,'Données projet'!$E$11+1,1))</f>
        <v>428.72181435671394</v>
      </c>
      <c r="BJ46" s="59">
        <f t="shared" si="38"/>
        <v>211.84936043087572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50.588572781091734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50.588572781091734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11.4</v>
      </c>
      <c r="BY46" s="12">
        <f>IF('Données projet'!$A$114&gt;35,BY45+BX46-CG45,IF(A46&lt;'Données projet'!$A$114,$BV$205^A46,IF(A46='Données projet'!$A$114,'Données projet'!$B$114,BY45+BX46-CG45)))</f>
        <v>257.19999999999993</v>
      </c>
      <c r="BZ46" s="13">
        <f>BY46*VLOOKUP('Données projet'!$B$12,Paramètres!$A$1:$I$89,3,0)*VLOOKUP('Données projet'!$B$12,Paramètres!$A$1:$I$89,5,0)</f>
        <v>204.62831999999995</v>
      </c>
      <c r="CA46" s="13">
        <f t="shared" si="39"/>
        <v>50.759974072251445</v>
      </c>
      <c r="CB46" s="20">
        <f t="shared" si="10"/>
        <v>444.80127884250447</v>
      </c>
      <c r="CC46" s="59">
        <f t="shared" si="11"/>
        <v>738.13461217583779</v>
      </c>
      <c r="CD46" s="59">
        <f ca="1">AVERAGE(OFFSET($CC$3,0,0,'Données projet'!$E$12+1,1))-AVERAGE(OFFSET($H$3,0,0,'Données projet'!$E$12+1,1))</f>
        <v>296.737543892524</v>
      </c>
      <c r="CE46" s="59">
        <f t="shared" si="40"/>
        <v>296.38358650317099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34.279512429611238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34.279512429611238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13.8</v>
      </c>
      <c r="CT46" s="12">
        <f>IF('Données projet'!$A$140&gt;35,CT45+CS46-DB45,IF(A46&lt;'Données projet'!$A$140,$CQ$205^A46,IF(A46='Données projet'!$A$140,'Données projet'!$B$140,CT45+CS46-DB45)))</f>
        <v>213.40000000000012</v>
      </c>
      <c r="CU46" s="17">
        <f>CT46*VLOOKUP('Données projet'!$B$13,Paramètres!$A$1:$I$89,3,0)*VLOOKUP('Données projet'!$B$13,Paramètres!$A$1:$I$89,5,0)</f>
        <v>183.09720000000013</v>
      </c>
      <c r="CV46" s="13">
        <f t="shared" si="41"/>
        <v>46.010570428845895</v>
      </c>
      <c r="CW46" s="20">
        <f t="shared" si="13"/>
        <v>399.02936683024018</v>
      </c>
      <c r="CX46" s="59">
        <f t="shared" si="14"/>
        <v>692.36270016357344</v>
      </c>
      <c r="CY46" s="59">
        <f ca="1">AVERAGE(OFFSET($CX$3,0,0,'Données projet'!$E$13+1,1))-AVERAGE(OFFSET($H$3,0,0,'Données projet'!$E$13+1,1))</f>
        <v>391.93999504334352</v>
      </c>
      <c r="CZ46" s="59">
        <f t="shared" si="42"/>
        <v>215.4484906985528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31.5962592053652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31.5962592053652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11.4</v>
      </c>
      <c r="DO46" s="12">
        <f>IF('Données projet'!$A$166&gt;35,DO45+DN46-DW45,IF(A46&lt;'Données projet'!$A$166,$DL$205^A46,IF(A46='Données projet'!$A$166,'Données projet'!$B$166,DO45+DN46-DW45)))</f>
        <v>257.19999999999993</v>
      </c>
      <c r="DP46" s="17">
        <f>DO46*VLOOKUP('Données projet'!$B$14,Paramètres!$A$1:$I$89,3,0)*VLOOKUP('Données projet'!$B$14,Paramètres!$A$1:$I$89,5,0)</f>
        <v>188.57903999999994</v>
      </c>
      <c r="DQ46" s="13">
        <f t="shared" si="43"/>
        <v>47.22566164876563</v>
      </c>
      <c r="DR46" s="20">
        <f t="shared" si="16"/>
        <v>410.69318870493333</v>
      </c>
      <c r="DS46" s="59">
        <f t="shared" si="17"/>
        <v>704.02652203826665</v>
      </c>
      <c r="DT46" s="59">
        <f ca="1">AVERAGE(OFFSET($DS$3,0,0,'Données projet'!$E$14+1,1))-AVERAGE(OFFSET($H$3,0,0,'Données projet'!$E$14+1,1))</f>
        <v>267.92147257573157</v>
      </c>
      <c r="DU46" s="59">
        <f t="shared" si="44"/>
        <v>269.06662611892438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25.630371668606841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25.630371668606841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27.100000000000005</v>
      </c>
      <c r="EJ46" s="12">
        <f>IF('Données projet'!$A$192&gt;35,EJ45+EI46-ER45,IF(A46&lt;'Données projet'!$A$192,$EG$205^A46,IF(A46='Données projet'!$A$192,'Données projet'!$B$192,EJ45+EI46-ER45)))</f>
        <v>520.22</v>
      </c>
      <c r="EK46" s="17">
        <f>EJ46*VLOOKUP('Données projet'!$B$15,Paramètres!$A$1:$I$89,3,0)*VLOOKUP('Données projet'!$B$15,Paramètres!$A$1:$I$89,5,0)</f>
        <v>290.80298000000005</v>
      </c>
      <c r="EL46" s="13">
        <f t="shared" si="45"/>
        <v>69.24493486102223</v>
      </c>
      <c r="EM46" s="20">
        <f t="shared" si="19"/>
        <v>627.08345171628036</v>
      </c>
      <c r="EN46" s="59">
        <f t="shared" si="20"/>
        <v>920.41678504961374</v>
      </c>
      <c r="EO46" s="59">
        <f ca="1">AVERAGE(OFFSET($EN$3,0,0,'Données projet'!$E$15+1,1))-AVERAGE(OFFSET($H$3,0,0,'Données projet'!$E$15+1,1))</f>
        <v>326.29985515186428</v>
      </c>
      <c r="EP46" s="59">
        <f t="shared" si="46"/>
        <v>437.68177084535927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66.978933048969751</v>
      </c>
      <c r="EW46" s="21">
        <f>EXP(-LN(2)/25)*EW45+(1-EXP(-LN(2)/25))/(LN(2)/25)*Calculateur!ER46*Calculateur!ET46*VLOOKUP('Données projet'!$B$15,Paramètres!$A$1:$I$89,3,0)*0.475*44/12</f>
        <v>35.26698033995681</v>
      </c>
      <c r="EX46" s="21">
        <f>EXP(-LN(2)/2)*EX45+(1-EXP(-LN(2)/2))/(LN(2)/2)*ER46*EU46*VLOOKUP('Données projet'!$B$15,Paramètres!$A$1:$I$89,3,0)*0.475*44/12</f>
        <v>8.1750441193664432E-3</v>
      </c>
      <c r="EY46" s="22">
        <f t="shared" si="21"/>
        <v>102.25408843304594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1.7053025658242404E-13</v>
      </c>
      <c r="FF46" s="17">
        <f>FE46*VLOOKUP('Données projet'!$B$16,Paramètres!$A$1:$I$89,3,0)*VLOOKUP('Données projet'!$B$16,Paramètres!$A$1:$I$89,5,0)</f>
        <v>9.7631982498569413E-14</v>
      </c>
      <c r="FG46" s="13">
        <f t="shared" si="47"/>
        <v>1.4708068762530911E-12</v>
      </c>
      <c r="FH46" s="20">
        <f t="shared" si="22"/>
        <v>2.7316976789924749E-12</v>
      </c>
      <c r="FI46" s="59">
        <f t="shared" si="23"/>
        <v>293.33333333333604</v>
      </c>
      <c r="FJ46" s="59">
        <f ca="1">AVERAGE(OFFSET($FI$3,0,0,'Données projet'!$E$16+1,1))-AVERAGE(OFFSET($H$3,0,0,'Données projet'!$E$16+1,1))</f>
        <v>211.14768428403215</v>
      </c>
      <c r="FK46" s="59">
        <f t="shared" si="48"/>
        <v>350.7800157534798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64.200648135995138</v>
      </c>
      <c r="FR46" s="21">
        <f>EXP(-LN(2)/25)*FR45+(1-EXP(-LN(2)/25))/(LN(2)/25)*Calculateur!FM46*Calculateur!FO46*VLOOKUP('Données projet'!$B$16,Paramètres!$A$1:$I$89,3,0)*0.475*44/12</f>
        <v>15.003345505918329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79.20399364191347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38.438400000000016</v>
      </c>
      <c r="D47" s="11">
        <f t="shared" si="32"/>
        <v>11.583790263708345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386.13620554441542</v>
      </c>
      <c r="H47" s="66">
        <f t="shared" si="1"/>
        <v>380.45531470929205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8.8000000000000007</v>
      </c>
      <c r="N47" s="13">
        <f>IF('Données projet'!$A$36&gt;35,N46+M47-V46,IF(A47&lt;'Données projet'!$A$36,$K$205^A47,IF(A47='Données projet'!$A$36,'Données projet'!$B$36,N46+M47-V46)))</f>
        <v>210.20000000000013</v>
      </c>
      <c r="O47" s="13">
        <f>N47*VLOOKUP('Données projet'!$B$9,Paramètres!$A$1:$I$89,3,0)*VLOOKUP('Données projet'!$B$9,Paramètres!$A$1:$I$89,5,0)</f>
        <v>183.63072000000014</v>
      </c>
      <c r="P47" s="13">
        <f t="shared" si="33"/>
        <v>46.129013251634483</v>
      </c>
      <c r="Q47" s="20">
        <f t="shared" si="53"/>
        <v>400.16486874659699</v>
      </c>
      <c r="R47" s="59">
        <f t="shared" si="0"/>
        <v>693.49820207993025</v>
      </c>
      <c r="S47" s="59">
        <f ca="1">AVERAGE(OFFSET($R$3,0,0,'Données projet'!$E$9+1,1))-AVERAGE(OFFSET($H$3,0,0,'Données projet'!$E$9+1,1))</f>
        <v>252.49539407921907</v>
      </c>
      <c r="T47" s="59">
        <f t="shared" si="34"/>
        <v>263.36387286233929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23.011985127985604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23.011985127985604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13.059999999999999</v>
      </c>
      <c r="AI47" s="13">
        <f>IF('Données projet'!$A$62&gt;35,AI46+AH47-AQ46,IF(A47&lt;'Données projet'!$A$62,$AF$205^A47,IF(A47='Données projet'!$A$62,'Données projet'!$B$62,AI46+AH47-AQ46)))</f>
        <v>200.65000000000006</v>
      </c>
      <c r="AJ47" s="13">
        <f>AI47*VLOOKUP('Données projet'!$B$10,Paramètres!$A$1:$I$89,3,0)*VLOOKUP('Données projet'!$B$10,Paramètres!$A$1:$I$89,5,0)</f>
        <v>181.54812000000004</v>
      </c>
      <c r="AK47" s="13">
        <f t="shared" si="35"/>
        <v>45.666442486896024</v>
      </c>
      <c r="AL47" s="20">
        <f t="shared" si="4"/>
        <v>395.73202966467733</v>
      </c>
      <c r="AM47" s="59">
        <f t="shared" si="5"/>
        <v>689.06536299801064</v>
      </c>
      <c r="AN47" s="59">
        <f ca="1">AVERAGE(OFFSET($AM$3,0,0,'Données projet'!$E$10+1,1))-AVERAGE(OFFSET($H$3,0,0,'Données projet'!$E$10+1,1))</f>
        <v>370.05613271587413</v>
      </c>
      <c r="AO47" s="59">
        <f t="shared" si="36"/>
        <v>183.24480056442525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44.255393539085446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44.255393539085446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13.059999999999999</v>
      </c>
      <c r="BD47" s="12">
        <f>IF('Données projet'!$A$88&gt;35,BD46+BC47-BL46,IF(A47&lt;'Données projet'!$A$88,$BA$205^A47,IF(A47='Données projet'!$A$88,'Données projet'!$B$88,BD46+BC47-BL46)))</f>
        <v>200.65000000000006</v>
      </c>
      <c r="BE47" s="13">
        <f>BD47*VLOOKUP('Données projet'!$B$11,Paramètres!$A$1:$I$89,3,0)*VLOOKUP('Données projet'!$B$11,Paramètres!$A$1:$I$89,5,0)</f>
        <v>203.45910000000006</v>
      </c>
      <c r="BF47" s="13">
        <f t="shared" si="37"/>
        <v>50.503612867997838</v>
      </c>
      <c r="BG47" s="20">
        <f t="shared" si="7"/>
        <v>442.31839157842973</v>
      </c>
      <c r="BH47" s="59">
        <f t="shared" si="8"/>
        <v>735.65172491176304</v>
      </c>
      <c r="BI47" s="59">
        <f ca="1">AVERAGE(OFFSET($BH$3,0,0,'Données projet'!$E$11+1,1))-AVERAGE(OFFSET($H$3,0,0,'Données projet'!$E$11+1,1))</f>
        <v>428.72181435671394</v>
      </c>
      <c r="BJ47" s="59">
        <f t="shared" si="38"/>
        <v>211.84936043087572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49.596561724837144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49.596561724837144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11.4</v>
      </c>
      <c r="BY47" s="12">
        <f>IF('Données projet'!$A$114&gt;35,BY46+BX47-CG46,IF(A47&lt;'Données projet'!$A$114,$BV$205^A47,IF(A47='Données projet'!$A$114,'Données projet'!$B$114,BY46+BX47-CG46)))</f>
        <v>268.59999999999991</v>
      </c>
      <c r="BZ47" s="13">
        <f>BY47*VLOOKUP('Données projet'!$B$12,Paramètres!$A$1:$I$89,3,0)*VLOOKUP('Données projet'!$B$12,Paramètres!$A$1:$I$89,5,0)</f>
        <v>213.69815999999994</v>
      </c>
      <c r="CA47" s="13">
        <f t="shared" si="39"/>
        <v>52.742903801874164</v>
      </c>
      <c r="CB47" s="20">
        <f t="shared" si="10"/>
        <v>464.05151945493071</v>
      </c>
      <c r="CC47" s="59">
        <f t="shared" si="11"/>
        <v>757.38485278826397</v>
      </c>
      <c r="CD47" s="59">
        <f ca="1">AVERAGE(OFFSET($CC$3,0,0,'Données projet'!$E$12+1,1))-AVERAGE(OFFSET($H$3,0,0,'Données projet'!$E$12+1,1))</f>
        <v>296.737543892524</v>
      </c>
      <c r="CE47" s="59">
        <f t="shared" si="40"/>
        <v>296.38358650317099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33.607312099304608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33.607312099304608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13.8</v>
      </c>
      <c r="CT47" s="12">
        <f>IF('Données projet'!$A$140&gt;35,CT46+CS47-DB46,IF(A47&lt;'Données projet'!$A$140,$CQ$205^A47,IF(A47='Données projet'!$A$140,'Données projet'!$B$140,CT46+CS47-DB46)))</f>
        <v>227.20000000000013</v>
      </c>
      <c r="CU47" s="17">
        <f>CT47*VLOOKUP('Données projet'!$B$13,Paramètres!$A$1:$I$89,3,0)*VLOOKUP('Données projet'!$B$13,Paramètres!$A$1:$I$89,5,0)</f>
        <v>194.93760000000012</v>
      </c>
      <c r="CV47" s="13">
        <f t="shared" si="41"/>
        <v>48.629950800142524</v>
      </c>
      <c r="CW47" s="20">
        <f t="shared" si="13"/>
        <v>424.21348431024836</v>
      </c>
      <c r="CX47" s="59">
        <f t="shared" si="14"/>
        <v>717.54681764358168</v>
      </c>
      <c r="CY47" s="59">
        <f ca="1">AVERAGE(OFFSET($CX$3,0,0,'Données projet'!$E$13+1,1))-AVERAGE(OFFSET($H$3,0,0,'Données projet'!$E$13+1,1))</f>
        <v>391.93999504334352</v>
      </c>
      <c r="CZ47" s="59">
        <f t="shared" si="42"/>
        <v>215.4484906985528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30.976675834163171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30.976675834163171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11.4</v>
      </c>
      <c r="DO47" s="12">
        <f>IF('Données projet'!$A$166&gt;35,DO46+DN47-DW46,IF(A47&lt;'Données projet'!$A$166,$DL$205^A47,IF(A47='Données projet'!$A$166,'Données projet'!$B$166,DO46+DN47-DW46)))</f>
        <v>268.59999999999991</v>
      </c>
      <c r="DP47" s="17">
        <f>DO47*VLOOKUP('Données projet'!$B$14,Paramètres!$A$1:$I$89,3,0)*VLOOKUP('Données projet'!$B$14,Paramètres!$A$1:$I$89,5,0)</f>
        <v>196.93751999999992</v>
      </c>
      <c r="DQ47" s="13">
        <f t="shared" si="43"/>
        <v>49.070524066369494</v>
      </c>
      <c r="DR47" s="20">
        <f t="shared" si="16"/>
        <v>428.46401008226007</v>
      </c>
      <c r="DS47" s="59">
        <f t="shared" si="17"/>
        <v>721.79734341559333</v>
      </c>
      <c r="DT47" s="59">
        <f ca="1">AVERAGE(OFFSET($DS$3,0,0,'Données projet'!$E$14+1,1))-AVERAGE(OFFSET($H$3,0,0,'Données projet'!$E$14+1,1))</f>
        <v>267.92147257573157</v>
      </c>
      <c r="DU47" s="59">
        <f t="shared" si="44"/>
        <v>269.06662611892438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25.12777571316855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25.12777571316855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27.100000000000005</v>
      </c>
      <c r="EJ47" s="12">
        <f>IF('Données projet'!$A$192&gt;35,EJ46+EI47-ER46,IF(A47&lt;'Données projet'!$A$192,$EG$205^A47,IF(A47='Données projet'!$A$192,'Données projet'!$B$192,EJ46+EI47-ER46)))</f>
        <v>547.32000000000005</v>
      </c>
      <c r="EK47" s="17">
        <f>EJ47*VLOOKUP('Données projet'!$B$15,Paramètres!$A$1:$I$89,3,0)*VLOOKUP('Données projet'!$B$15,Paramètres!$A$1:$I$89,5,0)</f>
        <v>305.95188000000007</v>
      </c>
      <c r="EL47" s="13">
        <f t="shared" si="45"/>
        <v>72.422775940029837</v>
      </c>
      <c r="EM47" s="20">
        <f t="shared" si="19"/>
        <v>659.00252576221885</v>
      </c>
      <c r="EN47" s="59">
        <f t="shared" si="20"/>
        <v>952.33585909555222</v>
      </c>
      <c r="EO47" s="59">
        <f ca="1">AVERAGE(OFFSET($EN$3,0,0,'Données projet'!$E$15+1,1))-AVERAGE(OFFSET($H$3,0,0,'Données projet'!$E$15+1,1))</f>
        <v>326.29985515186428</v>
      </c>
      <c r="EP47" s="59">
        <f t="shared" si="46"/>
        <v>437.68177084535927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65.665517024994699</v>
      </c>
      <c r="EW47" s="21">
        <f>EXP(-LN(2)/25)*EW46+(1-EXP(-LN(2)/25))/(LN(2)/25)*Calculateur!ER47*Calculateur!ET47*VLOOKUP('Données projet'!$B$15,Paramètres!$A$1:$I$89,3,0)*0.475*44/12</f>
        <v>34.302602907950799</v>
      </c>
      <c r="EX47" s="21">
        <f>EXP(-LN(2)/2)*EX46+(1-EXP(-LN(2)/2))/(LN(2)/2)*ER47*EU47*VLOOKUP('Données projet'!$B$15,Paramètres!$A$1:$I$89,3,0)*0.475*44/12</f>
        <v>5.7806291333032198E-3</v>
      </c>
      <c r="EY47" s="22">
        <f t="shared" si="21"/>
        <v>99.973900562078796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1.7053025658242404E-13</v>
      </c>
      <c r="FF47" s="17">
        <f>FE47*VLOOKUP('Données projet'!$B$16,Paramètres!$A$1:$I$89,3,0)*VLOOKUP('Données projet'!$B$16,Paramètres!$A$1:$I$89,5,0)</f>
        <v>9.7631982498569413E-14</v>
      </c>
      <c r="FG47" s="13">
        <f t="shared" si="47"/>
        <v>1.4708068762530911E-12</v>
      </c>
      <c r="FH47" s="20">
        <f t="shared" si="22"/>
        <v>2.7316976789924749E-12</v>
      </c>
      <c r="FI47" s="59">
        <f t="shared" si="23"/>
        <v>293.33333333333604</v>
      </c>
      <c r="FJ47" s="59">
        <f ca="1">AVERAGE(OFFSET($FI$3,0,0,'Données projet'!$E$16+1,1))-AVERAGE(OFFSET($H$3,0,0,'Données projet'!$E$16+1,1))</f>
        <v>211.14768428403215</v>
      </c>
      <c r="FK47" s="59">
        <f t="shared" si="48"/>
        <v>350.7800157534798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62.941712584577054</v>
      </c>
      <c r="FR47" s="21">
        <f>EXP(-LN(2)/25)*FR46+(1-EXP(-LN(2)/25))/(LN(2)/25)*Calculateur!FM47*Calculateur!FO47*VLOOKUP('Données projet'!$B$16,Paramètres!$A$1:$I$89,3,0)*0.475*44/12</f>
        <v>14.593078234067344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77.534790818644396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39.312000000000019</v>
      </c>
      <c r="D48" s="11">
        <f t="shared" si="32"/>
        <v>11.816108707618405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394.67311984828257</v>
      </c>
      <c r="H48" s="66">
        <f t="shared" si="1"/>
        <v>382.38145599910206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219</v>
      </c>
      <c r="L48" s="12">
        <f>VLOOKUP(A48,'Données projet'!$A$35:$I$55,9,0)</f>
        <v>8.8000000000000007</v>
      </c>
      <c r="M48" s="12">
        <f t="array" ref="M48">INDEX(L:L,MIN(IF(ISNUMBER(L48:L244),ROW(L48:L244),"")))</f>
        <v>8.8000000000000007</v>
      </c>
      <c r="N48" s="13">
        <f>IF('Données projet'!$A$36&gt;35,N47+M48-V47,IF(A48&lt;'Données projet'!$A$36,$K$205^A48,IF(A48='Données projet'!$A$36,'Données projet'!$B$36,N47+M48-V47)))</f>
        <v>219.00000000000014</v>
      </c>
      <c r="O48" s="13">
        <f>N48*VLOOKUP('Données projet'!$B$9,Paramètres!$A$1:$I$89,3,0)*VLOOKUP('Données projet'!$B$9,Paramètres!$A$1:$I$89,5,0)</f>
        <v>191.31840000000014</v>
      </c>
      <c r="P48" s="13">
        <f t="shared" si="33"/>
        <v>47.831314962098396</v>
      </c>
      <c r="Q48" s="20">
        <f t="shared" si="53"/>
        <v>416.51908689232158</v>
      </c>
      <c r="R48" s="59">
        <f t="shared" si="0"/>
        <v>709.8524202256549</v>
      </c>
      <c r="S48" s="59">
        <f ca="1">AVERAGE(OFFSET($R$3,0,0,'Données projet'!$E$9+1,1))-AVERAGE(OFFSET($H$3,0,0,'Données projet'!$E$9+1,1))</f>
        <v>252.49539407921907</v>
      </c>
      <c r="T48" s="59">
        <f t="shared" si="34"/>
        <v>263.36387286233929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30</v>
      </c>
      <c r="W48" s="16">
        <f>IF(ISNA(VLOOKUP(A48,'Données projet'!$A$35:$I$55,5,0)),0%,VLOOKUP(A48,'Données projet'!$A$35:$I$55,5,0)*VLOOKUP('Données projet'!$B$9,Paramètres!$A$1:$I$89,7,0))</f>
        <v>0.43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35.018766249474616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35.018766249474616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13.059999999999999</v>
      </c>
      <c r="AI48" s="13">
        <f>IF('Données projet'!$A$62&gt;35,AI47+AH48-AQ47,IF(A48&lt;'Données projet'!$A$62,$AF$205^A48,IF(A48='Données projet'!$A$62,'Données projet'!$B$62,AI47+AH48-AQ47)))</f>
        <v>213.71000000000006</v>
      </c>
      <c r="AJ48" s="13">
        <f>AI48*VLOOKUP('Données projet'!$B$10,Paramètres!$A$1:$I$89,3,0)*VLOOKUP('Données projet'!$B$10,Paramètres!$A$1:$I$89,5,0)</f>
        <v>193.36480800000007</v>
      </c>
      <c r="AK48" s="13">
        <f t="shared" si="35"/>
        <v>48.283102387258864</v>
      </c>
      <c r="AL48" s="20">
        <f t="shared" si="4"/>
        <v>420.87011059114269</v>
      </c>
      <c r="AM48" s="59">
        <f t="shared" si="5"/>
        <v>714.20344392447601</v>
      </c>
      <c r="AN48" s="59">
        <f ca="1">AVERAGE(OFFSET($AM$3,0,0,'Données projet'!$E$10+1,1))-AVERAGE(OFFSET($H$3,0,0,'Données projet'!$E$10+1,1))</f>
        <v>370.05613271587413</v>
      </c>
      <c r="AO48" s="59">
        <f t="shared" si="36"/>
        <v>183.24480056442525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43.387572264908691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43.387572264908691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13.059999999999999</v>
      </c>
      <c r="BD48" s="12">
        <f>IF('Données projet'!$A$88&gt;35,BD47+BC48-BL47,IF(A48&lt;'Données projet'!$A$88,$BA$205^A48,IF(A48='Données projet'!$A$88,'Données projet'!$B$88,BD47+BC48-BL47)))</f>
        <v>213.71000000000006</v>
      </c>
      <c r="BE48" s="13">
        <f>BD48*VLOOKUP('Données projet'!$B$11,Paramètres!$A$1:$I$89,3,0)*VLOOKUP('Données projet'!$B$11,Paramètres!$A$1:$I$89,5,0)</f>
        <v>216.70194000000009</v>
      </c>
      <c r="BF48" s="13">
        <f t="shared" si="37"/>
        <v>53.397439744331798</v>
      </c>
      <c r="BG48" s="20">
        <f t="shared" si="7"/>
        <v>470.42308638804462</v>
      </c>
      <c r="BH48" s="59">
        <f t="shared" si="8"/>
        <v>763.75641972137794</v>
      </c>
      <c r="BI48" s="59">
        <f ca="1">AVERAGE(OFFSET($BH$3,0,0,'Données projet'!$E$11+1,1))-AVERAGE(OFFSET($H$3,0,0,'Données projet'!$E$11+1,1))</f>
        <v>428.72181435671394</v>
      </c>
      <c r="BJ48" s="59">
        <f t="shared" si="38"/>
        <v>211.84936043087572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48.624003400328711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48.624003400328711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280</v>
      </c>
      <c r="BW48" s="12">
        <f>VLOOKUP(A48,'Données projet'!$A$113:$I$133,9,0)</f>
        <v>11.4</v>
      </c>
      <c r="BX48" s="12">
        <f t="array" ref="BX48">INDEX(BW:BW,MIN(IF(ISNUMBER(BW48:BW244),ROW(BW48:BW244),"")))</f>
        <v>11.4</v>
      </c>
      <c r="BY48" s="12">
        <f>IF('Données projet'!$A$114&gt;35,BY47+BX48-CG47,IF(A48&lt;'Données projet'!$A$114,$BV$205^A48,IF(A48='Données projet'!$A$114,'Données projet'!$B$114,BY47+BX48-CG47)))</f>
        <v>279.99999999999989</v>
      </c>
      <c r="BZ48" s="13">
        <f>BY48*VLOOKUP('Données projet'!$B$12,Paramètres!$A$1:$I$89,3,0)*VLOOKUP('Données projet'!$B$12,Paramètres!$A$1:$I$89,5,0)</f>
        <v>222.76799999999994</v>
      </c>
      <c r="CA48" s="13">
        <f t="shared" si="39"/>
        <v>54.716058356609508</v>
      </c>
      <c r="CB48" s="20">
        <f t="shared" si="10"/>
        <v>483.28473497109485</v>
      </c>
      <c r="CC48" s="59">
        <f t="shared" si="11"/>
        <v>776.61806830442811</v>
      </c>
      <c r="CD48" s="59">
        <f ca="1">AVERAGE(OFFSET($CC$3,0,0,'Données projet'!$E$12+1,1))-AVERAGE(OFFSET($H$3,0,0,'Données projet'!$E$12+1,1))</f>
        <v>296.737543892524</v>
      </c>
      <c r="CE48" s="59">
        <f t="shared" si="40"/>
        <v>296.38358650317099</v>
      </c>
      <c r="CF48" s="15">
        <f>IF(ISNA(VLOOKUP(A48,'Données projet'!$A$113:$I$133,3,0)),0,VLOOKUP(A48,'Données projet'!$A$113:$I$133,3,0))</f>
        <v>8</v>
      </c>
      <c r="CG48" s="15">
        <f>IF(ISNA(VLOOKUP(A48,'Données projet'!$A$113:$I$133,4,0)),0,VLOOKUP(A48,'Données projet'!$A$113:$I$133,4,0))</f>
        <v>26</v>
      </c>
      <c r="CH48" s="16">
        <f>IF(ISNA(VLOOKUP(A48,'Données projet'!$A$113:$I$133,5,0)),0%,VLOOKUP(A48,'Données projet'!$A$113:$I$133,5,0)*VLOOKUP('Données projet'!$B$12,Paramètres!$A$1:$I$89,7,0))</f>
        <v>0.53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45.067971791392978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45.067971791392978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241</v>
      </c>
      <c r="CR48" s="12">
        <f>VLOOKUP(A48,'Données projet'!$A$139:$I$159,9,0)</f>
        <v>13.8</v>
      </c>
      <c r="CS48" s="12">
        <f t="array" ref="CS48">INDEX(CR:CR,MIN(IF(ISNUMBER(CR48:CR244),ROW(CR48:CR244),"")))</f>
        <v>13.8</v>
      </c>
      <c r="CT48" s="12">
        <f>IF('Données projet'!$A$140&gt;35,CT47+CS48-DB47,IF(A48&lt;'Données projet'!$A$140,$CQ$205^A48,IF(A48='Données projet'!$A$140,'Données projet'!$B$140,CT47+CS48-DB47)))</f>
        <v>241.00000000000014</v>
      </c>
      <c r="CU48" s="17">
        <f>CT48*VLOOKUP('Données projet'!$B$13,Paramètres!$A$1:$I$89,3,0)*VLOOKUP('Données projet'!$B$13,Paramètres!$A$1:$I$89,5,0)</f>
        <v>206.77800000000016</v>
      </c>
      <c r="CV48" s="13">
        <f t="shared" si="41"/>
        <v>51.230865296361145</v>
      </c>
      <c r="CW48" s="20">
        <f t="shared" si="13"/>
        <v>449.36544039116256</v>
      </c>
      <c r="CX48" s="59">
        <f t="shared" si="14"/>
        <v>742.69877372449582</v>
      </c>
      <c r="CY48" s="59">
        <f ca="1">AVERAGE(OFFSET($CX$3,0,0,'Données projet'!$E$13+1,1))-AVERAGE(OFFSET($H$3,0,0,'Données projet'!$E$13+1,1))</f>
        <v>391.93999504334352</v>
      </c>
      <c r="CZ48" s="59">
        <f t="shared" si="42"/>
        <v>215.4484906985528</v>
      </c>
      <c r="DA48" s="15">
        <f>IF(ISNA(VLOOKUP(A48,'Données projet'!$A$139:$I$159,3,0)),0,VLOOKUP(A48,'Données projet'!$A$139:$I$159,3,0))</f>
        <v>5</v>
      </c>
      <c r="DB48" s="15">
        <f>IF(ISNA(VLOOKUP(A48,'Données projet'!$A$139:$I$159,4,0)),0,VLOOKUP(A48,'Données projet'!$A$139:$I$159,4,0))</f>
        <v>35</v>
      </c>
      <c r="DC48" s="16">
        <f>IF(ISNA(VLOOKUP(A48,'Données projet'!$A$139:$I$159,5,0)),0%,VLOOKUP(A48,'Données projet'!$A$139:$I$159,5,0)*VLOOKUP('Données projet'!$B$13,Paramètres!$A$1:$I$89,7,0))</f>
        <v>0.53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47.96379812857036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47.96379812857036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280</v>
      </c>
      <c r="DM48" s="12">
        <f>VLOOKUP(A48,'Données projet'!$A$165:$I$185,9,0)</f>
        <v>11.4</v>
      </c>
      <c r="DN48" s="12">
        <f t="array" ref="DN48">INDEX(DM:DM,MIN(IF(ISNUMBER(DM48:DM244),ROW(DM48:DM244),"")))</f>
        <v>11.4</v>
      </c>
      <c r="DO48" s="12">
        <f>IF('Données projet'!$A$166&gt;35,DO47+DN48-DW47,IF(A48&lt;'Données projet'!$A$166,$DL$205^A48,IF(A48='Données projet'!$A$166,'Données projet'!$B$166,DO47+DN48-DW47)))</f>
        <v>279.99999999999989</v>
      </c>
      <c r="DP48" s="17">
        <f>DO48*VLOOKUP('Données projet'!$B$14,Paramètres!$A$1:$I$89,3,0)*VLOOKUP('Données projet'!$B$14,Paramètres!$A$1:$I$89,5,0)</f>
        <v>205.29599999999991</v>
      </c>
      <c r="DQ48" s="13">
        <f t="shared" si="43"/>
        <v>50.906291934375353</v>
      </c>
      <c r="DR48" s="20">
        <f t="shared" si="16"/>
        <v>446.21899178570357</v>
      </c>
      <c r="DS48" s="59">
        <f t="shared" si="17"/>
        <v>739.55232511903682</v>
      </c>
      <c r="DT48" s="59">
        <f ca="1">AVERAGE(OFFSET($DS$3,0,0,'Données projet'!$E$14+1,1))-AVERAGE(OFFSET($H$3,0,0,'Données projet'!$E$14+1,1))</f>
        <v>267.92147257573157</v>
      </c>
      <c r="DU48" s="59">
        <f t="shared" si="44"/>
        <v>269.06662611892438</v>
      </c>
      <c r="DV48" s="15">
        <f>IF(ISNA(VLOOKUP(A48,'Données projet'!$A$165:$I$185,3,0)),0,VLOOKUP(A48,'Données projet'!$A$165:$I$185,3,0))</f>
        <v>8</v>
      </c>
      <c r="DW48" s="15">
        <f>IF(ISNA(VLOOKUP(A48,'Données projet'!$A$165:$I$185,4,0)),0,VLOOKUP(A48,'Données projet'!$A$165:$I$185,4,0))</f>
        <v>26</v>
      </c>
      <c r="DX48" s="16">
        <f>IF(ISNA(VLOOKUP(A48,'Données projet'!$A$165:$I$185,5,0)),0%,VLOOKUP(A48,'Données projet'!$A$165:$I$185,5,0)*VLOOKUP('Données projet'!$B$14,Paramètres!$A$1:$I$89,7,0))</f>
        <v>0.43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33.69677062168153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33.69677062168153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27.100000000000005</v>
      </c>
      <c r="EJ48" s="12">
        <f>IF('Données projet'!$A$192&gt;35,EJ47+EI48-ER47,IF(A48&lt;'Données projet'!$A$192,$EG$205^A48,IF(A48='Données projet'!$A$192,'Données projet'!$B$192,EJ47+EI48-ER47)))</f>
        <v>574.42000000000007</v>
      </c>
      <c r="EK48" s="17">
        <f>EJ48*VLOOKUP('Données projet'!$B$15,Paramètres!$A$1:$I$89,3,0)*VLOOKUP('Données projet'!$B$15,Paramètres!$A$1:$I$89,5,0)</f>
        <v>321.10078000000004</v>
      </c>
      <c r="EL48" s="13">
        <f t="shared" si="45"/>
        <v>75.582346553628341</v>
      </c>
      <c r="EM48" s="20">
        <f t="shared" si="19"/>
        <v>690.88977874756938</v>
      </c>
      <c r="EN48" s="59">
        <f t="shared" si="20"/>
        <v>984.22311208090264</v>
      </c>
      <c r="EO48" s="59">
        <f ca="1">AVERAGE(OFFSET($EN$3,0,0,'Données projet'!$E$15+1,1))-AVERAGE(OFFSET($H$3,0,0,'Données projet'!$E$15+1,1))</f>
        <v>326.29985515186428</v>
      </c>
      <c r="EP48" s="59">
        <f t="shared" si="46"/>
        <v>437.68177084535927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64.377856288145125</v>
      </c>
      <c r="EW48" s="21">
        <f>EXP(-LN(2)/25)*EW47+(1-EXP(-LN(2)/25))/(LN(2)/25)*Calculateur!ER48*Calculateur!ET48*VLOOKUP('Données projet'!$B$15,Paramètres!$A$1:$I$89,3,0)*0.475*44/12</f>
        <v>33.3645964275374</v>
      </c>
      <c r="EX48" s="21">
        <f>EXP(-LN(2)/2)*EX47+(1-EXP(-LN(2)/2))/(LN(2)/2)*ER48*EU48*VLOOKUP('Données projet'!$B$15,Paramètres!$A$1:$I$89,3,0)*0.475*44/12</f>
        <v>4.0875220596832216E-3</v>
      </c>
      <c r="EY48" s="22">
        <f t="shared" si="21"/>
        <v>97.746540237742209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1.7053025658242404E-13</v>
      </c>
      <c r="FF48" s="17">
        <f>FE48*VLOOKUP('Données projet'!$B$16,Paramètres!$A$1:$I$89,3,0)*VLOOKUP('Données projet'!$B$16,Paramètres!$A$1:$I$89,5,0)</f>
        <v>9.7631982498569413E-14</v>
      </c>
      <c r="FG48" s="13">
        <f t="shared" si="47"/>
        <v>1.4708068762530911E-12</v>
      </c>
      <c r="FH48" s="20">
        <f t="shared" si="22"/>
        <v>2.7316976789924749E-12</v>
      </c>
      <c r="FI48" s="59">
        <f t="shared" si="23"/>
        <v>293.33333333333604</v>
      </c>
      <c r="FJ48" s="59">
        <f ca="1">AVERAGE(OFFSET($FI$3,0,0,'Données projet'!$E$16+1,1))-AVERAGE(OFFSET($H$3,0,0,'Données projet'!$E$16+1,1))</f>
        <v>211.14768428403215</v>
      </c>
      <c r="FK48" s="59">
        <f t="shared" si="48"/>
        <v>350.7800157534798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61.707463991447412</v>
      </c>
      <c r="FR48" s="21">
        <f>EXP(-LN(2)/25)*FR47+(1-EXP(-LN(2)/25))/(LN(2)/25)*Calculateur!FM48*Calculateur!FO48*VLOOKUP('Données projet'!$B$16,Paramètres!$A$1:$I$89,3,0)*0.475*44/12</f>
        <v>14.19402974234014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75.901493733787547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40.185600000000022</v>
      </c>
      <c r="D49" s="11">
        <f t="shared" si="32"/>
        <v>12.047826945473741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403.20540098260454</v>
      </c>
      <c r="H49" s="66">
        <f t="shared" si="1"/>
        <v>384.30655193003344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8.1999999999999993</v>
      </c>
      <c r="N49" s="13">
        <f>IF('Données projet'!$A$36&gt;35,N48+M49-V48,IF(A49&lt;'Données projet'!$A$36,$K$205^A49,IF(A49='Données projet'!$A$36,'Données projet'!$B$36,N48+M49-V48)))</f>
        <v>197.20000000000013</v>
      </c>
      <c r="O49" s="13">
        <f>N49*VLOOKUP('Données projet'!$B$9,Paramètres!$A$1:$I$89,3,0)*VLOOKUP('Données projet'!$B$9,Paramètres!$A$1:$I$89,5,0)</f>
        <v>172.27392000000015</v>
      </c>
      <c r="P49" s="13">
        <f t="shared" si="33"/>
        <v>43.59891151369964</v>
      </c>
      <c r="Q49" s="20">
        <f t="shared" si="53"/>
        <v>375.97851488636047</v>
      </c>
      <c r="R49" s="59">
        <f t="shared" si="0"/>
        <v>669.31184821969373</v>
      </c>
      <c r="S49" s="59">
        <f ca="1">AVERAGE(OFFSET($R$3,0,0,'Données projet'!$E$9+1,1))-AVERAGE(OFFSET($H$3,0,0,'Données projet'!$E$9+1,1))</f>
        <v>252.49539407921907</v>
      </c>
      <c r="T49" s="59">
        <f t="shared" si="34"/>
        <v>263.36387286233929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34.332069602660773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34.332069602660773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13.059999999999999</v>
      </c>
      <c r="AI49" s="13">
        <f>IF('Données projet'!$A$62&gt;35,AI48+AH49-AQ48,IF(A49&lt;'Données projet'!$A$62,$AF$205^A49,IF(A49='Données projet'!$A$62,'Données projet'!$B$62,AI48+AH49-AQ48)))</f>
        <v>226.77000000000007</v>
      </c>
      <c r="AJ49" s="13">
        <f>AI49*VLOOKUP('Données projet'!$B$10,Paramètres!$A$1:$I$89,3,0)*VLOOKUP('Données projet'!$B$10,Paramètres!$A$1:$I$89,5,0)</f>
        <v>205.18149600000007</v>
      </c>
      <c r="AK49" s="13">
        <f t="shared" si="35"/>
        <v>50.88120304468918</v>
      </c>
      <c r="AL49" s="20">
        <f t="shared" si="4"/>
        <v>445.97586750283375</v>
      </c>
      <c r="AM49" s="59">
        <f t="shared" si="5"/>
        <v>739.30920083616707</v>
      </c>
      <c r="AN49" s="59">
        <f ca="1">AVERAGE(OFFSET($AM$3,0,0,'Données projet'!$E$10+1,1))-AVERAGE(OFFSET($H$3,0,0,'Données projet'!$E$10+1,1))</f>
        <v>370.05613271587413</v>
      </c>
      <c r="AO49" s="59">
        <f t="shared" si="36"/>
        <v>183.24480056442525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42.536768436599829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42.536768436599829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13.059999999999999</v>
      </c>
      <c r="BD49" s="12">
        <f>IF('Données projet'!$A$88&gt;35,BD48+BC49-BL48,IF(A49&lt;'Données projet'!$A$88,$BA$205^A49,IF(A49='Données projet'!$A$88,'Données projet'!$B$88,BD48+BC49-BL48)))</f>
        <v>226.77000000000007</v>
      </c>
      <c r="BE49" s="13">
        <f>BD49*VLOOKUP('Données projet'!$B$11,Paramètres!$A$1:$I$89,3,0)*VLOOKUP('Données projet'!$B$11,Paramètres!$A$1:$I$89,5,0)</f>
        <v>229.94478000000009</v>
      </c>
      <c r="BF49" s="13">
        <f t="shared" si="37"/>
        <v>56.270741509246001</v>
      </c>
      <c r="BG49" s="20">
        <f t="shared" si="7"/>
        <v>498.49203329527023</v>
      </c>
      <c r="BH49" s="59">
        <f t="shared" si="8"/>
        <v>791.82536662860355</v>
      </c>
      <c r="BI49" s="59">
        <f ca="1">AVERAGE(OFFSET($BH$3,0,0,'Données projet'!$E$11+1,1))-AVERAGE(OFFSET($H$3,0,0,'Données projet'!$E$11+1,1))</f>
        <v>428.72181435671394</v>
      </c>
      <c r="BJ49" s="59">
        <f t="shared" si="38"/>
        <v>211.84936043087572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47.670516351361883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47.670516351361883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9.8000000000000007</v>
      </c>
      <c r="BY49" s="12">
        <f>IF('Données projet'!$A$114&gt;35,BY48+BX49-CG48,IF(A49&lt;'Données projet'!$A$114,$BV$205^A49,IF(A49='Données projet'!$A$114,'Données projet'!$B$114,BY48+BX49-CG48)))</f>
        <v>263.7999999999999</v>
      </c>
      <c r="BZ49" s="13">
        <f>BY49*VLOOKUP('Données projet'!$B$12,Paramètres!$A$1:$I$89,3,0)*VLOOKUP('Données projet'!$B$12,Paramètres!$A$1:$I$89,5,0)</f>
        <v>209.87927999999994</v>
      </c>
      <c r="CA49" s="13">
        <f t="shared" si="39"/>
        <v>51.909204458241767</v>
      </c>
      <c r="CB49" s="20">
        <f t="shared" si="10"/>
        <v>455.94827709810426</v>
      </c>
      <c r="CC49" s="59">
        <f t="shared" si="11"/>
        <v>749.28161043143757</v>
      </c>
      <c r="CD49" s="59">
        <f ca="1">AVERAGE(OFFSET($CC$3,0,0,'Données projet'!$E$12+1,1))-AVERAGE(OFFSET($H$3,0,0,'Données projet'!$E$12+1,1))</f>
        <v>296.737543892524</v>
      </c>
      <c r="CE49" s="59">
        <f t="shared" si="40"/>
        <v>296.38358650317099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44.184216353312266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44.184216353312266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13.6</v>
      </c>
      <c r="CT49" s="12">
        <f>IF('Données projet'!$A$140&gt;35,CT48+CS49-DB48,IF(A49&lt;'Données projet'!$A$140,$CQ$205^A49,IF(A49='Données projet'!$A$140,'Données projet'!$B$140,CT48+CS49-DB48)))</f>
        <v>219.60000000000014</v>
      </c>
      <c r="CU49" s="17">
        <f>CT49*VLOOKUP('Données projet'!$B$13,Paramètres!$A$1:$I$89,3,0)*VLOOKUP('Données projet'!$B$13,Paramètres!$A$1:$I$89,5,0)</f>
        <v>188.41680000000014</v>
      </c>
      <c r="CV49" s="13">
        <f t="shared" si="41"/>
        <v>47.189759534268717</v>
      </c>
      <c r="CW49" s="20">
        <f t="shared" si="13"/>
        <v>410.34809118885158</v>
      </c>
      <c r="CX49" s="59">
        <f t="shared" si="14"/>
        <v>703.6814245221849</v>
      </c>
      <c r="CY49" s="59">
        <f ca="1">AVERAGE(OFFSET($CX$3,0,0,'Données projet'!$E$13+1,1))-AVERAGE(OFFSET($H$3,0,0,'Données projet'!$E$13+1,1))</f>
        <v>391.93999504334352</v>
      </c>
      <c r="CZ49" s="59">
        <f t="shared" si="42"/>
        <v>215.4484906985528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47.02325730229726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47.02325730229726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9.8000000000000007</v>
      </c>
      <c r="DO49" s="12">
        <f>IF('Données projet'!$A$166&gt;35,DO48+DN49-DW48,IF(A49&lt;'Données projet'!$A$166,$DL$205^A49,IF(A49='Données projet'!$A$166,'Données projet'!$B$166,DO48+DN49-DW48)))</f>
        <v>263.7999999999999</v>
      </c>
      <c r="DP49" s="17">
        <f>DO49*VLOOKUP('Données projet'!$B$14,Paramètres!$A$1:$I$89,3,0)*VLOOKUP('Données projet'!$B$14,Paramètres!$A$1:$I$89,5,0)</f>
        <v>193.41815999999992</v>
      </c>
      <c r="DQ49" s="13">
        <f t="shared" si="43"/>
        <v>48.294873490521283</v>
      </c>
      <c r="DR49" s="20">
        <f t="shared" si="16"/>
        <v>420.98353332932442</v>
      </c>
      <c r="DS49" s="59">
        <f t="shared" si="17"/>
        <v>714.31686666265773</v>
      </c>
      <c r="DT49" s="59">
        <f ca="1">AVERAGE(OFFSET($DS$3,0,0,'Données projet'!$E$14+1,1))-AVERAGE(OFFSET($H$3,0,0,'Données projet'!$E$14+1,1))</f>
        <v>267.92147257573157</v>
      </c>
      <c r="DU49" s="59">
        <f t="shared" si="44"/>
        <v>269.06662611892438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33.035997502790991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33.035997502790991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27.100000000000005</v>
      </c>
      <c r="EJ49" s="12">
        <f>IF('Données projet'!$A$192&gt;35,EJ48+EI49-ER48,IF(A49&lt;'Données projet'!$A$192,$EG$205^A49,IF(A49='Données projet'!$A$192,'Données projet'!$B$192,EJ48+EI49-ER48)))</f>
        <v>601.5200000000001</v>
      </c>
      <c r="EK49" s="17">
        <f>EJ49*VLOOKUP('Données projet'!$B$15,Paramètres!$A$1:$I$89,3,0)*VLOOKUP('Données projet'!$B$15,Paramètres!$A$1:$I$89,5,0)</f>
        <v>336.24968000000007</v>
      </c>
      <c r="EL49" s="13">
        <f t="shared" si="45"/>
        <v>78.724607090157278</v>
      </c>
      <c r="EM49" s="20">
        <f t="shared" si="19"/>
        <v>722.74688334869063</v>
      </c>
      <c r="EN49" s="59">
        <f t="shared" si="20"/>
        <v>1016.080216682024</v>
      </c>
      <c r="EO49" s="59">
        <f ca="1">AVERAGE(OFFSET($EN$3,0,0,'Données projet'!$E$15+1,1))-AVERAGE(OFFSET($H$3,0,0,'Données projet'!$E$15+1,1))</f>
        <v>326.29985515186428</v>
      </c>
      <c r="EP49" s="59">
        <f t="shared" si="46"/>
        <v>437.68177084535927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63.115445792949679</v>
      </c>
      <c r="EW49" s="21">
        <f>EXP(-LN(2)/25)*EW48+(1-EXP(-LN(2)/25))/(LN(2)/25)*Calculateur!ER49*Calculateur!ET49*VLOOKUP('Données projet'!$B$15,Paramètres!$A$1:$I$89,3,0)*0.475*44/12</f>
        <v>32.45223978365852</v>
      </c>
      <c r="EX49" s="21">
        <f>EXP(-LN(2)/2)*EX48+(1-EXP(-LN(2)/2))/(LN(2)/2)*ER49*EU49*VLOOKUP('Données projet'!$B$15,Paramètres!$A$1:$I$89,3,0)*0.475*44/12</f>
        <v>2.8903145666516099E-3</v>
      </c>
      <c r="EY49" s="22">
        <f t="shared" si="21"/>
        <v>95.570575891174855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1.7053025658242404E-13</v>
      </c>
      <c r="FF49" s="17">
        <f>FE49*VLOOKUP('Données projet'!$B$16,Paramètres!$A$1:$I$89,3,0)*VLOOKUP('Données projet'!$B$16,Paramètres!$A$1:$I$89,5,0)</f>
        <v>9.7631982498569413E-14</v>
      </c>
      <c r="FG49" s="13">
        <f t="shared" si="47"/>
        <v>1.4708068762530911E-12</v>
      </c>
      <c r="FH49" s="20">
        <f t="shared" si="22"/>
        <v>2.7316976789924749E-12</v>
      </c>
      <c r="FI49" s="59">
        <f t="shared" si="23"/>
        <v>293.33333333333604</v>
      </c>
      <c r="FJ49" s="59">
        <f ca="1">AVERAGE(OFFSET($FI$3,0,0,'Données projet'!$E$16+1,1))-AVERAGE(OFFSET($H$3,0,0,'Données projet'!$E$16+1,1))</f>
        <v>211.14768428403215</v>
      </c>
      <c r="FK49" s="59">
        <f t="shared" si="48"/>
        <v>350.7800157534798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60.497418260411735</v>
      </c>
      <c r="FR49" s="21">
        <f>EXP(-LN(2)/25)*FR48+(1-EXP(-LN(2)/25))/(LN(2)/25)*Calculateur!FM49*Calculateur!FO49*VLOOKUP('Données projet'!$B$16,Paramètres!$A$1:$I$89,3,0)*0.475*44/12</f>
        <v>13.805893252604266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74.303311513015998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41.059200000000025</v>
      </c>
      <c r="D50" s="11">
        <f t="shared" si="32"/>
        <v>12.278959527914754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411.73316126811415</v>
      </c>
      <c r="H50" s="66">
        <f t="shared" si="1"/>
        <v>386.23062784445153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8.1999999999999993</v>
      </c>
      <c r="N50" s="13">
        <f>IF('Données projet'!$A$36&gt;35,N49+M50-V49,IF(A50&lt;'Données projet'!$A$36,$K$205^A50,IF(A50='Données projet'!$A$36,'Données projet'!$B$36,N49+M50-V49)))</f>
        <v>205.40000000000012</v>
      </c>
      <c r="O50" s="13">
        <f>N50*VLOOKUP('Données projet'!$B$9,Paramètres!$A$1:$I$89,3,0)*VLOOKUP('Données projet'!$B$9,Paramètres!$A$1:$I$89,5,0)</f>
        <v>179.43744000000012</v>
      </c>
      <c r="P50" s="13">
        <f t="shared" si="33"/>
        <v>45.197004138831659</v>
      </c>
      <c r="Q50" s="20">
        <f t="shared" si="53"/>
        <v>391.23832354179859</v>
      </c>
      <c r="R50" s="59">
        <f t="shared" si="0"/>
        <v>684.57165687513191</v>
      </c>
      <c r="S50" s="59">
        <f ca="1">AVERAGE(OFFSET($R$3,0,0,'Données projet'!$E$9+1,1))-AVERAGE(OFFSET($H$3,0,0,'Données projet'!$E$9+1,1))</f>
        <v>252.49539407921907</v>
      </c>
      <c r="T50" s="59">
        <f t="shared" si="34"/>
        <v>263.36387286233929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33.658838658247355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33.658838658247355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13.059999999999999</v>
      </c>
      <c r="AI50" s="13">
        <f>IF('Données projet'!$A$62&gt;35,AI49+AH50-AQ49,IF(A50&lt;'Données projet'!$A$62,$AF$205^A50,IF(A50='Données projet'!$A$62,'Données projet'!$B$62,AI49+AH50-AQ49)))</f>
        <v>239.83000000000007</v>
      </c>
      <c r="AJ50" s="13">
        <f>AI50*VLOOKUP('Données projet'!$B$10,Paramètres!$A$1:$I$89,3,0)*VLOOKUP('Données projet'!$B$10,Paramètres!$A$1:$I$89,5,0)</f>
        <v>216.99818400000007</v>
      </c>
      <c r="AK50" s="13">
        <f t="shared" si="35"/>
        <v>53.461935088977889</v>
      </c>
      <c r="AL50" s="20">
        <f t="shared" si="4"/>
        <v>471.05137407996989</v>
      </c>
      <c r="AM50" s="59">
        <f t="shared" si="5"/>
        <v>764.3847074133032</v>
      </c>
      <c r="AN50" s="59">
        <f ca="1">AVERAGE(OFFSET($AM$3,0,0,'Données projet'!$E$10+1,1))-AVERAGE(OFFSET($H$3,0,0,'Données projet'!$E$10+1,1))</f>
        <v>370.05613271587413</v>
      </c>
      <c r="AO50" s="59">
        <f t="shared" si="36"/>
        <v>183.24480056442525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41.702648352425008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41.702648352425008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13.059999999999999</v>
      </c>
      <c r="BD50" s="12">
        <f>IF('Données projet'!$A$88&gt;35,BD49+BC50-BL49,IF(A50&lt;'Données projet'!$A$88,$BA$205^A50,IF(A50='Données projet'!$A$88,'Données projet'!$B$88,BD49+BC50-BL49)))</f>
        <v>239.83000000000007</v>
      </c>
      <c r="BE50" s="13">
        <f>BD50*VLOOKUP('Données projet'!$B$11,Paramètres!$A$1:$I$89,3,0)*VLOOKUP('Données projet'!$B$11,Paramètres!$A$1:$I$89,5,0)</f>
        <v>243.18762000000009</v>
      </c>
      <c r="BF50" s="13">
        <f t="shared" si="37"/>
        <v>59.124834908752511</v>
      </c>
      <c r="BG50" s="20">
        <f t="shared" si="7"/>
        <v>526.52752563274419</v>
      </c>
      <c r="BH50" s="59">
        <f t="shared" si="8"/>
        <v>819.86085896607756</v>
      </c>
      <c r="BI50" s="59">
        <f ca="1">AVERAGE(OFFSET($BH$3,0,0,'Données projet'!$E$11+1,1))-AVERAGE(OFFSET($H$3,0,0,'Données projet'!$E$11+1,1))</f>
        <v>428.72181435671394</v>
      </c>
      <c r="BJ50" s="59">
        <f t="shared" si="38"/>
        <v>211.84936043087572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46.735726601855617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46.735726601855617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9.8000000000000007</v>
      </c>
      <c r="BY50" s="12">
        <f>IF('Données projet'!$A$114&gt;35,BY49+BX50-CG49,IF(A50&lt;'Données projet'!$A$114,$BV$205^A50,IF(A50='Données projet'!$A$114,'Données projet'!$B$114,BY49+BX50-CG49)))</f>
        <v>273.59999999999991</v>
      </c>
      <c r="BZ50" s="13">
        <f>BY50*VLOOKUP('Données projet'!$B$12,Paramètres!$A$1:$I$89,3,0)*VLOOKUP('Données projet'!$B$12,Paramètres!$A$1:$I$89,5,0)</f>
        <v>217.67615999999992</v>
      </c>
      <c r="CA50" s="13">
        <f t="shared" si="39"/>
        <v>53.609498850196708</v>
      </c>
      <c r="CB50" s="20">
        <f t="shared" si="10"/>
        <v>472.48918916409235</v>
      </c>
      <c r="CC50" s="59">
        <f t="shared" si="11"/>
        <v>765.82252249742567</v>
      </c>
      <c r="CD50" s="59">
        <f ca="1">AVERAGE(OFFSET($CC$3,0,0,'Données projet'!$E$12+1,1))-AVERAGE(OFFSET($H$3,0,0,'Données projet'!$E$12+1,1))</f>
        <v>296.737543892524</v>
      </c>
      <c r="CE50" s="59">
        <f t="shared" si="40"/>
        <v>296.38358650317099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43.317790820334722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43.317790820334722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13.6</v>
      </c>
      <c r="CT50" s="12">
        <f>IF('Données projet'!$A$140&gt;35,CT49+CS50-DB49,IF(A50&lt;'Données projet'!$A$140,$CQ$205^A50,IF(A50='Données projet'!$A$140,'Données projet'!$B$140,CT49+CS50-DB49)))</f>
        <v>233.20000000000013</v>
      </c>
      <c r="CU50" s="17">
        <f>CT50*VLOOKUP('Données projet'!$B$13,Paramètres!$A$1:$I$89,3,0)*VLOOKUP('Données projet'!$B$13,Paramètres!$A$1:$I$89,5,0)</f>
        <v>200.08560000000011</v>
      </c>
      <c r="CV50" s="13">
        <f t="shared" si="41"/>
        <v>49.762979545996977</v>
      </c>
      <c r="CW50" s="20">
        <f t="shared" si="13"/>
        <v>435.15294270927825</v>
      </c>
      <c r="CX50" s="59">
        <f t="shared" si="14"/>
        <v>728.48627604261151</v>
      </c>
      <c r="CY50" s="59">
        <f ca="1">AVERAGE(OFFSET($CX$3,0,0,'Données projet'!$E$13+1,1))-AVERAGE(OFFSET($H$3,0,0,'Données projet'!$E$13+1,1))</f>
        <v>391.93999504334352</v>
      </c>
      <c r="CZ50" s="59">
        <f t="shared" si="42"/>
        <v>215.4484906985528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46.10115990795412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46.10115990795412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9.8000000000000007</v>
      </c>
      <c r="DO50" s="12">
        <f>IF('Données projet'!$A$166&gt;35,DO49+DN50-DW49,IF(A50&lt;'Données projet'!$A$166,$DL$205^A50,IF(A50='Données projet'!$A$166,'Données projet'!$B$166,DO49+DN50-DW49)))</f>
        <v>273.59999999999991</v>
      </c>
      <c r="DP50" s="17">
        <f>DO50*VLOOKUP('Données projet'!$B$14,Paramètres!$A$1:$I$89,3,0)*VLOOKUP('Données projet'!$B$14,Paramètres!$A$1:$I$89,5,0)</f>
        <v>200.60351999999995</v>
      </c>
      <c r="DQ50" s="13">
        <f t="shared" si="43"/>
        <v>49.87677988675906</v>
      </c>
      <c r="DR50" s="20">
        <f t="shared" si="16"/>
        <v>436.25318896943855</v>
      </c>
      <c r="DS50" s="59">
        <f t="shared" si="17"/>
        <v>729.58652230277187</v>
      </c>
      <c r="DT50" s="59">
        <f ca="1">AVERAGE(OFFSET($DS$3,0,0,'Données projet'!$E$14+1,1))-AVERAGE(OFFSET($H$3,0,0,'Données projet'!$E$14+1,1))</f>
        <v>267.92147257573157</v>
      </c>
      <c r="DU50" s="59">
        <f t="shared" si="44"/>
        <v>269.06662611892438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32.388181741730094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32.388181741730094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27.100000000000005</v>
      </c>
      <c r="EJ50" s="12">
        <f>IF('Données projet'!$A$192&gt;35,EJ49+EI50-ER49,IF(A50&lt;'Données projet'!$A$192,$EG$205^A50,IF(A50='Données projet'!$A$192,'Données projet'!$B$192,EJ49+EI50-ER49)))</f>
        <v>628.62000000000012</v>
      </c>
      <c r="EK50" s="17">
        <f>EJ50*VLOOKUP('Données projet'!$B$15,Paramètres!$A$1:$I$89,3,0)*VLOOKUP('Données projet'!$B$15,Paramètres!$A$1:$I$89,5,0)</f>
        <v>351.39858000000009</v>
      </c>
      <c r="EL50" s="13">
        <f t="shared" si="45"/>
        <v>81.850426510165747</v>
      </c>
      <c r="EM50" s="20">
        <f t="shared" si="19"/>
        <v>754.57535300520556</v>
      </c>
      <c r="EN50" s="59">
        <f t="shared" si="20"/>
        <v>1047.9086863385389</v>
      </c>
      <c r="EO50" s="59">
        <f ca="1">AVERAGE(OFFSET($EN$3,0,0,'Données projet'!$E$15+1,1))-AVERAGE(OFFSET($H$3,0,0,'Données projet'!$E$15+1,1))</f>
        <v>326.29985515186428</v>
      </c>
      <c r="EP50" s="59">
        <f t="shared" si="46"/>
        <v>437.68177084535927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61.877790397570642</v>
      </c>
      <c r="EW50" s="21">
        <f>EXP(-LN(2)/25)*EW49+(1-EXP(-LN(2)/25))/(LN(2)/25)*Calculateur!ER50*Calculateur!ET50*VLOOKUP('Données projet'!$B$15,Paramètres!$A$1:$I$89,3,0)*0.475*44/12</f>
        <v>31.56483158018526</v>
      </c>
      <c r="EX50" s="21">
        <f>EXP(-LN(2)/2)*EX49+(1-EXP(-LN(2)/2))/(LN(2)/2)*ER50*EU50*VLOOKUP('Données projet'!$B$15,Paramètres!$A$1:$I$89,3,0)*0.475*44/12</f>
        <v>2.0437610298416108E-3</v>
      </c>
      <c r="EY50" s="22">
        <f t="shared" si="21"/>
        <v>93.444665738785744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1.7053025658242404E-13</v>
      </c>
      <c r="FF50" s="17">
        <f>FE50*VLOOKUP('Données projet'!$B$16,Paramètres!$A$1:$I$89,3,0)*VLOOKUP('Données projet'!$B$16,Paramètres!$A$1:$I$89,5,0)</f>
        <v>9.7631982498569413E-14</v>
      </c>
      <c r="FG50" s="13">
        <f t="shared" si="47"/>
        <v>1.4708068762530911E-12</v>
      </c>
      <c r="FH50" s="20">
        <f t="shared" si="22"/>
        <v>2.7316976789924749E-12</v>
      </c>
      <c r="FI50" s="59">
        <f t="shared" si="23"/>
        <v>293.33333333333604</v>
      </c>
      <c r="FJ50" s="59">
        <f ca="1">AVERAGE(OFFSET($FI$3,0,0,'Données projet'!$E$16+1,1))-AVERAGE(OFFSET($H$3,0,0,'Données projet'!$E$16+1,1))</f>
        <v>211.14768428403215</v>
      </c>
      <c r="FK50" s="59">
        <f t="shared" si="48"/>
        <v>350.7800157534798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59.31110078810665</v>
      </c>
      <c r="FR50" s="21">
        <f>EXP(-LN(2)/25)*FR49+(1-EXP(-LN(2)/25))/(LN(2)/25)*Calculateur!FM50*Calculateur!FO50*VLOOKUP('Données projet'!$B$16,Paramètres!$A$1:$I$89,3,0)*0.475*44/12</f>
        <v>13.428370375591429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72.739471163698084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41.932800000000029</v>
      </c>
      <c r="D51" s="11">
        <f t="shared" si="32"/>
        <v>12.50952035103195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420.25650797287852</v>
      </c>
      <c r="H51" s="66">
        <f t="shared" si="1"/>
        <v>388.15370794471403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8.1999999999999993</v>
      </c>
      <c r="N51" s="13">
        <f>IF('Données projet'!$A$36&gt;35,N50+M51-V50,IF(A51&lt;'Données projet'!$A$36,$K$205^A51,IF(A51='Données projet'!$A$36,'Données projet'!$B$36,N50+M51-V50)))</f>
        <v>213.60000000000011</v>
      </c>
      <c r="O51" s="13">
        <f>N51*VLOOKUP('Données projet'!$B$9,Paramètres!$A$1:$I$89,3,0)*VLOOKUP('Données projet'!$B$9,Paramètres!$A$1:$I$89,5,0)</f>
        <v>186.60096000000013</v>
      </c>
      <c r="P51" s="13">
        <f t="shared" si="33"/>
        <v>46.787685683664144</v>
      </c>
      <c r="Q51" s="20">
        <f t="shared" si="53"/>
        <v>406.48522456571527</v>
      </c>
      <c r="R51" s="59">
        <f t="shared" si="0"/>
        <v>699.81855789904853</v>
      </c>
      <c r="S51" s="59">
        <f ca="1">AVERAGE(OFFSET($R$3,0,0,'Données projet'!$E$9+1,1))-AVERAGE(OFFSET($H$3,0,0,'Données projet'!$E$9+1,1))</f>
        <v>252.49539407921907</v>
      </c>
      <c r="T51" s="59">
        <f t="shared" si="34"/>
        <v>263.36387286233929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32.99880936202355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32.99880936202355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252.89</v>
      </c>
      <c r="AG51" s="12">
        <f>VLOOKUP(A51,'Données projet'!$A$61:$I$81,9,0)</f>
        <v>13.059999999999999</v>
      </c>
      <c r="AH51" s="12">
        <f t="array" ref="AH51">INDEX(AG:AG,MIN(IF(ISNUMBER(AG51:AG247),ROW(AG51:AG247),"")))</f>
        <v>13.059999999999999</v>
      </c>
      <c r="AI51" s="13">
        <f>IF('Données projet'!$A$62&gt;35,AI50+AH51-AQ50,IF(A51&lt;'Données projet'!$A$62,$AF$205^A51,IF(A51='Données projet'!$A$62,'Données projet'!$B$62,AI50+AH51-AQ50)))</f>
        <v>252.89000000000007</v>
      </c>
      <c r="AJ51" s="13">
        <f>AI51*VLOOKUP('Données projet'!$B$10,Paramètres!$A$1:$I$89,3,0)*VLOOKUP('Données projet'!$B$10,Paramètres!$A$1:$I$89,5,0)</f>
        <v>228.81487200000004</v>
      </c>
      <c r="AK51" s="13">
        <f t="shared" si="35"/>
        <v>56.026352154237983</v>
      </c>
      <c r="AL51" s="20">
        <f t="shared" si="4"/>
        <v>496.09846540196457</v>
      </c>
      <c r="AM51" s="59">
        <f t="shared" si="5"/>
        <v>789.43179873529789</v>
      </c>
      <c r="AN51" s="59">
        <f ca="1">AVERAGE(OFFSET($AM$3,0,0,'Données projet'!$E$10+1,1))-AVERAGE(OFFSET($H$3,0,0,'Données projet'!$E$10+1,1))</f>
        <v>370.05613271587413</v>
      </c>
      <c r="AO51" s="59">
        <f t="shared" si="36"/>
        <v>183.24480056442525</v>
      </c>
      <c r="AP51" s="15">
        <f>IF(ISNA(VLOOKUP(A51,'Données projet'!$A$61:$I$81,3,0)),0,VLOOKUP(A51,'Données projet'!$A$61:$I$81,3,0))</f>
        <v>3</v>
      </c>
      <c r="AQ51" s="15">
        <f>IF(ISNA(VLOOKUP(A51,'Données projet'!$A$61:$I$81,4,0)),0,VLOOKUP(A51,'Données projet'!$A$61:$I$81,4,0))</f>
        <v>61.12</v>
      </c>
      <c r="AR51" s="16">
        <f>IF(ISNA(VLOOKUP(A51,'Données projet'!$A$61:$I$81,5,0)),0%,VLOOKUP(A51,'Données projet'!$A$61:$I$81,5,0)*VLOOKUP('Données projet'!$B$10,Paramètres!$A$1:$I$89,7,0))</f>
        <v>0.43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67.172519093966031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67.172519093966031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252.89</v>
      </c>
      <c r="BB51" s="12">
        <f>VLOOKUP(A51,'Données projet'!$A$87:$I$107,9,0)</f>
        <v>13.059999999999999</v>
      </c>
      <c r="BC51" s="12">
        <f t="array" ref="BC51">INDEX(BB:BB,MIN(IF(ISNUMBER(BB51:BB247),ROW(BB51:BB247),"")))</f>
        <v>13.059999999999999</v>
      </c>
      <c r="BD51" s="12">
        <f>IF('Données projet'!$A$88&gt;35,BD50+BC51-BL50,IF(A51&lt;'Données projet'!$A$88,$BA$205^A51,IF(A51='Données projet'!$A$88,'Données projet'!$B$88,BD50+BC51-BL50)))</f>
        <v>252.89000000000007</v>
      </c>
      <c r="BE51" s="13">
        <f>BD51*VLOOKUP('Données projet'!$B$11,Paramètres!$A$1:$I$89,3,0)*VLOOKUP('Données projet'!$B$11,Paramètres!$A$1:$I$89,5,0)</f>
        <v>256.4304600000001</v>
      </c>
      <c r="BF51" s="13">
        <f t="shared" si="37"/>
        <v>61.960885182060892</v>
      </c>
      <c r="BG51" s="20">
        <f t="shared" si="7"/>
        <v>554.5315928587562</v>
      </c>
      <c r="BH51" s="59">
        <f t="shared" si="8"/>
        <v>847.86492619208957</v>
      </c>
      <c r="BI51" s="59">
        <f ca="1">AVERAGE(OFFSET($BH$3,0,0,'Données projet'!$E$11+1,1))-AVERAGE(OFFSET($H$3,0,0,'Données projet'!$E$11+1,1))</f>
        <v>428.72181435671394</v>
      </c>
      <c r="BJ51" s="59">
        <f t="shared" si="38"/>
        <v>211.84936043087572</v>
      </c>
      <c r="BK51" s="15">
        <f>IF(ISNA(VLOOKUP(A51,'Données projet'!$A$87:$I$107,3,0)),0,VLOOKUP(A51,'Données projet'!$A$87:$I$107,3,0))</f>
        <v>3</v>
      </c>
      <c r="BL51" s="15">
        <f>IF(ISNA(VLOOKUP(A51,'Données projet'!$A$87:$I$107,4,0)),0,VLOOKUP(A51,'Données projet'!$A$87:$I$107,4,0))</f>
        <v>61.12</v>
      </c>
      <c r="BM51" s="16">
        <f>IF(ISNA(VLOOKUP(A51,'Données projet'!$A$87:$I$107,5,0)),0%,VLOOKUP(A51,'Données projet'!$A$87:$I$107,5,0)*VLOOKUP('Données projet'!$B$11,Paramètres!$A$1:$I$89,7,0))</f>
        <v>0.43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75.279547260479177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75.279547260479177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9.8000000000000007</v>
      </c>
      <c r="BY51" s="12">
        <f>IF('Données projet'!$A$114&gt;35,BY50+BX51-CG50,IF(A51&lt;'Données projet'!$A$114,$BV$205^A51,IF(A51='Données projet'!$A$114,'Données projet'!$B$114,BY50+BX51-CG50)))</f>
        <v>283.39999999999992</v>
      </c>
      <c r="BZ51" s="13">
        <f>BY51*VLOOKUP('Données projet'!$B$12,Paramètres!$A$1:$I$89,3,0)*VLOOKUP('Données projet'!$B$12,Paramètres!$A$1:$I$89,5,0)</f>
        <v>225.47303999999994</v>
      </c>
      <c r="CA51" s="13">
        <f t="shared" si="39"/>
        <v>55.302717367103824</v>
      </c>
      <c r="CB51" s="20">
        <f t="shared" si="10"/>
        <v>489.0177774143724</v>
      </c>
      <c r="CC51" s="59">
        <f t="shared" si="11"/>
        <v>782.35111074770566</v>
      </c>
      <c r="CD51" s="59">
        <f ca="1">AVERAGE(OFFSET($CC$3,0,0,'Données projet'!$E$12+1,1))-AVERAGE(OFFSET($H$3,0,0,'Données projet'!$E$12+1,1))</f>
        <v>296.737543892524</v>
      </c>
      <c r="CE51" s="59">
        <f t="shared" si="40"/>
        <v>296.38358650317099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42.468355363591478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42.468355363591478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13.6</v>
      </c>
      <c r="CT51" s="12">
        <f>IF('Données projet'!$A$140&gt;35,CT50+CS51-DB50,IF(A51&lt;'Données projet'!$A$140,$CQ$205^A51,IF(A51='Données projet'!$A$140,'Données projet'!$B$140,CT50+CS51-DB50)))</f>
        <v>246.80000000000013</v>
      </c>
      <c r="CU51" s="17">
        <f>CT51*VLOOKUP('Données projet'!$B$13,Paramètres!$A$1:$I$89,3,0)*VLOOKUP('Données projet'!$B$13,Paramètres!$A$1:$I$89,5,0)</f>
        <v>211.75440000000012</v>
      </c>
      <c r="CV51" s="13">
        <f t="shared" si="41"/>
        <v>52.318780408268793</v>
      </c>
      <c r="CW51" s="20">
        <f t="shared" si="13"/>
        <v>459.92745587773499</v>
      </c>
      <c r="CX51" s="59">
        <f t="shared" si="14"/>
        <v>753.2607892110683</v>
      </c>
      <c r="CY51" s="59">
        <f ca="1">AVERAGE(OFFSET($CX$3,0,0,'Données projet'!$E$13+1,1))-AVERAGE(OFFSET($H$3,0,0,'Données projet'!$E$13+1,1))</f>
        <v>391.93999504334352</v>
      </c>
      <c r="CZ51" s="59">
        <f t="shared" si="42"/>
        <v>215.4484906985528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45.197144281090168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45.197144281090168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9.8000000000000007</v>
      </c>
      <c r="DO51" s="12">
        <f>IF('Données projet'!$A$166&gt;35,DO50+DN51-DW50,IF(A51&lt;'Données projet'!$A$166,$DL$205^A51,IF(A51='Données projet'!$A$166,'Données projet'!$B$166,DO50+DN51-DW50)))</f>
        <v>283.39999999999992</v>
      </c>
      <c r="DP51" s="17">
        <f>DO51*VLOOKUP('Données projet'!$B$14,Paramètres!$A$1:$I$89,3,0)*VLOOKUP('Données projet'!$B$14,Paramètres!$A$1:$I$89,5,0)</f>
        <v>207.78887999999992</v>
      </c>
      <c r="DQ51" s="13">
        <f t="shared" si="43"/>
        <v>51.452103086551489</v>
      </c>
      <c r="DR51" s="20">
        <f t="shared" si="16"/>
        <v>451.51137887574367</v>
      </c>
      <c r="DS51" s="59">
        <f t="shared" si="17"/>
        <v>744.84471220907699</v>
      </c>
      <c r="DT51" s="59">
        <f ca="1">AVERAGE(OFFSET($DS$3,0,0,'Données projet'!$E$14+1,1))-AVERAGE(OFFSET($H$3,0,0,'Données projet'!$E$14+1,1))</f>
        <v>267.92147257573157</v>
      </c>
      <c r="DU51" s="59">
        <f t="shared" si="44"/>
        <v>269.06662611892438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31.753069252614999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31.753069252614999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>
        <f>VLOOKUP(A51,'Données projet'!$A$191:$I$211,2,0)</f>
        <v>655.72</v>
      </c>
      <c r="EH51" s="12">
        <f>VLOOKUP(A51,'Données projet'!$A$191:$I$211,9,0)</f>
        <v>27.100000000000005</v>
      </c>
      <c r="EI51" s="12">
        <f t="array" ref="EI51">INDEX(EH:EH,MIN(IF(ISNUMBER(EH51:EH247),ROW(EH51:EH247),"")))</f>
        <v>27.100000000000005</v>
      </c>
      <c r="EJ51" s="12">
        <f>IF('Données projet'!$A$192&gt;35,EJ50+EI51-ER50,IF(A51&lt;'Données projet'!$A$192,$EG$205^A51,IF(A51='Données projet'!$A$192,'Données projet'!$B$192,EJ50+EI51-ER50)))</f>
        <v>655.72000000000014</v>
      </c>
      <c r="EK51" s="17">
        <f>EJ51*VLOOKUP('Données projet'!$B$15,Paramètres!$A$1:$I$89,3,0)*VLOOKUP('Données projet'!$B$15,Paramètres!$A$1:$I$89,5,0)</f>
        <v>366.54748000000012</v>
      </c>
      <c r="EL51" s="13">
        <f t="shared" si="45"/>
        <v>84.960594614663748</v>
      </c>
      <c r="EM51" s="20">
        <f t="shared" si="19"/>
        <v>786.3765632872063</v>
      </c>
      <c r="EN51" s="59">
        <f t="shared" si="20"/>
        <v>1079.7098966205397</v>
      </c>
      <c r="EO51" s="59">
        <f ca="1">AVERAGE(OFFSET($EN$3,0,0,'Données projet'!$E$15+1,1))-AVERAGE(OFFSET($H$3,0,0,'Données projet'!$E$15+1,1))</f>
        <v>326.29985515186428</v>
      </c>
      <c r="EP51" s="59">
        <f t="shared" si="46"/>
        <v>437.68177084535927</v>
      </c>
      <c r="EQ51" s="15">
        <f>IF(ISNA(VLOOKUP(A51,'Données projet'!$A$191:$I$211,3,0)),0,VLOOKUP(A51,'Données projet'!$A$191:$I$211,3,0))</f>
        <v>6</v>
      </c>
      <c r="ER51" s="15">
        <f>IF(ISNA(VLOOKUP(A51,'Données projet'!$A$191:$I$211,4,0)),0,VLOOKUP(A51,'Données projet'!$A$191:$I$211,4,0))</f>
        <v>101.34</v>
      </c>
      <c r="ES51" s="16">
        <f>IF(ISNA(VLOOKUP(A51,'Données projet'!$A$191:$I$211,5,0)),0%,VLOOKUP(A51,'Données projet'!$A$191:$I$211,5,0)*VLOOKUP('Données projet'!$B$15,Paramètres!$A$1:$I$89,7,0))</f>
        <v>0.55000000000000004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101.99615085613375</v>
      </c>
      <c r="EW51" s="21">
        <f>EXP(-LN(2)/25)*EW50+(1-EXP(-LN(2)/25))/(LN(2)/25)*Calculateur!ER51*Calculateur!ET51*VLOOKUP('Données projet'!$B$15,Paramètres!$A$1:$I$89,3,0)*0.475*44/12</f>
        <v>30.701689600702743</v>
      </c>
      <c r="EX51" s="21">
        <f>EXP(-LN(2)/2)*EX50+(1-EXP(-LN(2)/2))/(LN(2)/2)*ER51*EU51*VLOOKUP('Données projet'!$B$15,Paramètres!$A$1:$I$89,3,0)*0.475*44/12</f>
        <v>1.445157283325805E-3</v>
      </c>
      <c r="EY51" s="22">
        <f t="shared" si="21"/>
        <v>132.69928561411982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1.7053025658242404E-13</v>
      </c>
      <c r="FF51" s="17">
        <f>FE51*VLOOKUP('Données projet'!$B$16,Paramètres!$A$1:$I$89,3,0)*VLOOKUP('Données projet'!$B$16,Paramètres!$A$1:$I$89,5,0)</f>
        <v>9.7631982498569413E-14</v>
      </c>
      <c r="FG51" s="13">
        <f t="shared" si="47"/>
        <v>1.4708068762530911E-12</v>
      </c>
      <c r="FH51" s="20">
        <f t="shared" si="22"/>
        <v>2.7316976789924749E-12</v>
      </c>
      <c r="FI51" s="59">
        <f t="shared" si="23"/>
        <v>293.33333333333604</v>
      </c>
      <c r="FJ51" s="59">
        <f ca="1">AVERAGE(OFFSET($FI$3,0,0,'Données projet'!$E$16+1,1))-AVERAGE(OFFSET($H$3,0,0,'Données projet'!$E$16+1,1))</f>
        <v>211.14768428403215</v>
      </c>
      <c r="FK51" s="59">
        <f t="shared" si="48"/>
        <v>350.7800157534798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58.148046277851257</v>
      </c>
      <c r="FR51" s="21">
        <f>EXP(-LN(2)/25)*FR50+(1-EXP(-LN(2)/25))/(LN(2)/25)*Calculateur!FM51*Calculateur!FO51*VLOOKUP('Données projet'!$B$16,Paramètres!$A$1:$I$89,3,0)*0.475*44/12</f>
        <v>13.061170881503575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71.209217159354836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42.806400000000032</v>
      </c>
      <c r="D52" s="11">
        <f t="shared" si="32"/>
        <v>12.739522698823436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428.77554364004078</v>
      </c>
      <c r="H52" s="66">
        <f t="shared" si="1"/>
        <v>390.07581536711751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8.1999999999999993</v>
      </c>
      <c r="N52" s="13">
        <f>IF('Données projet'!$A$36&gt;35,N51+M52-V51,IF(A52&lt;'Données projet'!$A$36,$K$205^A52,IF(A52='Données projet'!$A$36,'Données projet'!$B$36,N51+M52-V51)))</f>
        <v>221.8000000000001</v>
      </c>
      <c r="O52" s="13">
        <f>N52*VLOOKUP('Données projet'!$B$9,Paramètres!$A$1:$I$89,3,0)*VLOOKUP('Données projet'!$B$9,Paramètres!$A$1:$I$89,5,0)</f>
        <v>193.76448000000011</v>
      </c>
      <c r="P52" s="13">
        <f t="shared" si="33"/>
        <v>48.371273222646494</v>
      </c>
      <c r="Q52" s="20">
        <f t="shared" si="53"/>
        <v>421.71977019610949</v>
      </c>
      <c r="R52" s="59">
        <f t="shared" si="0"/>
        <v>715.05310352944275</v>
      </c>
      <c r="S52" s="59">
        <f ca="1">AVERAGE(OFFSET($R$3,0,0,'Données projet'!$E$9+1,1))-AVERAGE(OFFSET($H$3,0,0,'Données projet'!$E$9+1,1))</f>
        <v>252.49539407921907</v>
      </c>
      <c r="T52" s="59">
        <f t="shared" si="34"/>
        <v>263.36387286233929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32.351722837720573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32.351722837720573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12.271428571428576</v>
      </c>
      <c r="AI52" s="13">
        <f>IF('Données projet'!$A$62&gt;35,AI51+AH52-AQ51,IF(A52&lt;'Données projet'!$A$62,$AF$205^A52,IF(A52='Données projet'!$A$62,'Données projet'!$B$62,AI51+AH52-AQ51)))</f>
        <v>204.04142857142864</v>
      </c>
      <c r="AJ52" s="13">
        <f>AI52*VLOOKUP('Données projet'!$B$10,Paramètres!$A$1:$I$89,3,0)*VLOOKUP('Données projet'!$B$10,Paramètres!$A$1:$I$89,5,0)</f>
        <v>184.61668457142864</v>
      </c>
      <c r="AK52" s="13">
        <f t="shared" si="35"/>
        <v>46.347794643176734</v>
      </c>
      <c r="AL52" s="20">
        <f t="shared" si="4"/>
        <v>402.26313463210437</v>
      </c>
      <c r="AM52" s="59">
        <f t="shared" si="5"/>
        <v>695.59646796543768</v>
      </c>
      <c r="AN52" s="59">
        <f ca="1">AVERAGE(OFFSET($AM$3,0,0,'Données projet'!$E$10+1,1))-AVERAGE(OFFSET($H$3,0,0,'Données projet'!$E$10+1,1))</f>
        <v>370.05613271587413</v>
      </c>
      <c r="AO52" s="59">
        <f t="shared" si="36"/>
        <v>183.24480056442525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65.855306965724438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65.855306965724438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12.271428571428576</v>
      </c>
      <c r="BD52" s="12">
        <f>IF('Données projet'!$A$88&gt;35,BD51+BC52-BL51,IF(A52&lt;'Données projet'!$A$88,$BA$205^A52,IF(A52='Données projet'!$A$88,'Données projet'!$B$88,BD51+BC52-BL51)))</f>
        <v>204.04142857142864</v>
      </c>
      <c r="BE52" s="13">
        <f>BD52*VLOOKUP('Données projet'!$B$11,Paramètres!$A$1:$I$89,3,0)*VLOOKUP('Données projet'!$B$11,Paramètres!$A$1:$I$89,5,0)</f>
        <v>206.89800857142865</v>
      </c>
      <c r="BF52" s="13">
        <f t="shared" si="37"/>
        <v>51.257136542136692</v>
      </c>
      <c r="BG52" s="20">
        <f t="shared" si="7"/>
        <v>449.62021107279298</v>
      </c>
      <c r="BH52" s="59">
        <f t="shared" si="8"/>
        <v>742.9535444061263</v>
      </c>
      <c r="BI52" s="59">
        <f ca="1">AVERAGE(OFFSET($BH$3,0,0,'Données projet'!$E$11+1,1))-AVERAGE(OFFSET($H$3,0,0,'Données projet'!$E$11+1,1))</f>
        <v>428.72181435671394</v>
      </c>
      <c r="BJ52" s="59">
        <f t="shared" si="38"/>
        <v>211.84936043087572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73.803361254691183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73.803361254691183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9.8000000000000007</v>
      </c>
      <c r="BY52" s="12">
        <f>IF('Données projet'!$A$114&gt;35,BY51+BX52-CG51,IF(A52&lt;'Données projet'!$A$114,$BV$205^A52,IF(A52='Données projet'!$A$114,'Données projet'!$B$114,BY51+BX52-CG51)))</f>
        <v>293.19999999999993</v>
      </c>
      <c r="BZ52" s="13">
        <f>BY52*VLOOKUP('Données projet'!$B$12,Paramètres!$A$1:$I$89,3,0)*VLOOKUP('Données projet'!$B$12,Paramètres!$A$1:$I$89,5,0)</f>
        <v>233.26991999999993</v>
      </c>
      <c r="CA52" s="13">
        <f t="shared" si="39"/>
        <v>56.989132736134763</v>
      </c>
      <c r="CB52" s="20">
        <f t="shared" si="10"/>
        <v>505.53451684876785</v>
      </c>
      <c r="CC52" s="59">
        <f t="shared" si="11"/>
        <v>798.86785018210117</v>
      </c>
      <c r="CD52" s="59">
        <f ca="1">AVERAGE(OFFSET($CC$3,0,0,'Données projet'!$E$12+1,1))-AVERAGE(OFFSET($H$3,0,0,'Données projet'!$E$12+1,1))</f>
        <v>296.737543892524</v>
      </c>
      <c r="CE52" s="59">
        <f t="shared" si="40"/>
        <v>296.38358650317099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41.635576818050495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41.635576818050495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13.6</v>
      </c>
      <c r="CT52" s="12">
        <f>IF('Données projet'!$A$140&gt;35,CT51+CS52-DB51,IF(A52&lt;'Données projet'!$A$140,$CQ$205^A52,IF(A52='Données projet'!$A$140,'Données projet'!$B$140,CT51+CS52-DB51)))</f>
        <v>260.40000000000015</v>
      </c>
      <c r="CU52" s="17">
        <f>CT52*VLOOKUP('Données projet'!$B$13,Paramètres!$A$1:$I$89,3,0)*VLOOKUP('Données projet'!$B$13,Paramètres!$A$1:$I$89,5,0)</f>
        <v>223.42320000000015</v>
      </c>
      <c r="CV52" s="13">
        <f t="shared" si="41"/>
        <v>54.858231422257631</v>
      </c>
      <c r="CW52" s="20">
        <f t="shared" si="13"/>
        <v>484.67349306043229</v>
      </c>
      <c r="CX52" s="59">
        <f t="shared" si="14"/>
        <v>778.00682639376555</v>
      </c>
      <c r="CY52" s="59">
        <f ca="1">AVERAGE(OFFSET($CX$3,0,0,'Données projet'!$E$13+1,1))-AVERAGE(OFFSET($H$3,0,0,'Données projet'!$E$13+1,1))</f>
        <v>391.93999504334352</v>
      </c>
      <c r="CZ52" s="59">
        <f t="shared" si="42"/>
        <v>215.4484906985528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44.310855849273935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44.310855849273935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9.8000000000000007</v>
      </c>
      <c r="DO52" s="12">
        <f>IF('Données projet'!$A$166&gt;35,DO51+DN52-DW51,IF(A52&lt;'Données projet'!$A$166,$DL$205^A52,IF(A52='Données projet'!$A$166,'Données projet'!$B$166,DO51+DN52-DW51)))</f>
        <v>293.19999999999993</v>
      </c>
      <c r="DP52" s="17">
        <f>DO52*VLOOKUP('Données projet'!$B$14,Paramètres!$A$1:$I$89,3,0)*VLOOKUP('Données projet'!$B$14,Paramètres!$A$1:$I$89,5,0)</f>
        <v>214.97423999999995</v>
      </c>
      <c r="DQ52" s="13">
        <f t="shared" si="43"/>
        <v>53.021096827639134</v>
      </c>
      <c r="DR52" s="20">
        <f t="shared" si="16"/>
        <v>466.75854497480481</v>
      </c>
      <c r="DS52" s="59">
        <f t="shared" si="17"/>
        <v>760.09187830813812</v>
      </c>
      <c r="DT52" s="59">
        <f ca="1">AVERAGE(OFFSET($DS$3,0,0,'Données projet'!$E$14+1,1))-AVERAGE(OFFSET($H$3,0,0,'Données projet'!$E$14+1,1))</f>
        <v>267.92147257573157</v>
      </c>
      <c r="DU52" s="59">
        <f t="shared" si="44"/>
        <v>269.06662611892438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31.130410932031086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31.130410932031086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25.705000000000002</v>
      </c>
      <c r="EJ52" s="12">
        <f>IF('Données projet'!$A$192&gt;35,EJ51+EI52-ER51,IF(A52&lt;'Données projet'!$A$192,$EG$205^A52,IF(A52='Données projet'!$A$192,'Données projet'!$B$192,EJ51+EI52-ER51)))</f>
        <v>580.08500000000015</v>
      </c>
      <c r="EK52" s="17">
        <f>EJ52*VLOOKUP('Données projet'!$B$15,Paramètres!$A$1:$I$89,3,0)*VLOOKUP('Données projet'!$B$15,Paramètres!$A$1:$I$89,5,0)</f>
        <v>324.26751500000012</v>
      </c>
      <c r="EL52" s="13">
        <f t="shared" si="45"/>
        <v>76.240607370612722</v>
      </c>
      <c r="EM52" s="20">
        <f t="shared" si="19"/>
        <v>697.55164646215064</v>
      </c>
      <c r="EN52" s="59">
        <f t="shared" si="20"/>
        <v>990.88497979548401</v>
      </c>
      <c r="EO52" s="59">
        <f ca="1">AVERAGE(OFFSET($EN$3,0,0,'Données projet'!$E$15+1,1))-AVERAGE(OFFSET($H$3,0,0,'Données projet'!$E$15+1,1))</f>
        <v>326.29985515186428</v>
      </c>
      <c r="EP52" s="59">
        <f t="shared" si="46"/>
        <v>437.68177084535927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99.996068549354121</v>
      </c>
      <c r="EW52" s="21">
        <f>EXP(-LN(2)/25)*EW51+(1-EXP(-LN(2)/25))/(LN(2)/25)*Calculateur!ER52*Calculateur!ET52*VLOOKUP('Données projet'!$B$15,Paramètres!$A$1:$I$89,3,0)*0.475*44/12</f>
        <v>29.862150284039839</v>
      </c>
      <c r="EX52" s="21">
        <f>EXP(-LN(2)/2)*EX51+(1-EXP(-LN(2)/2))/(LN(2)/2)*ER52*EU52*VLOOKUP('Données projet'!$B$15,Paramètres!$A$1:$I$89,3,0)*0.475*44/12</f>
        <v>1.0218805149208054E-3</v>
      </c>
      <c r="EY52" s="22">
        <f t="shared" si="21"/>
        <v>129.85924071390886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1.7053025658242404E-13</v>
      </c>
      <c r="FF52" s="17">
        <f>FE52*VLOOKUP('Données projet'!$B$16,Paramètres!$A$1:$I$89,3,0)*VLOOKUP('Données projet'!$B$16,Paramètres!$A$1:$I$89,5,0)</f>
        <v>9.7631982498569413E-14</v>
      </c>
      <c r="FG52" s="13">
        <f t="shared" si="47"/>
        <v>1.4708068762530911E-12</v>
      </c>
      <c r="FH52" s="20">
        <f t="shared" si="22"/>
        <v>2.7316976789924749E-12</v>
      </c>
      <c r="FI52" s="59">
        <f t="shared" si="23"/>
        <v>293.33333333333604</v>
      </c>
      <c r="FJ52" s="59">
        <f ca="1">AVERAGE(OFFSET($FI$3,0,0,'Données projet'!$E$16+1,1))-AVERAGE(OFFSET($H$3,0,0,'Données projet'!$E$16+1,1))</f>
        <v>211.14768428403215</v>
      </c>
      <c r="FK52" s="59">
        <f t="shared" si="48"/>
        <v>350.7800157534798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57.007798557148767</v>
      </c>
      <c r="FR52" s="21">
        <f>EXP(-LN(2)/25)*FR51+(1-EXP(-LN(2)/25))/(LN(2)/25)*Calculateur!FM52*Calculateur!FO52*VLOOKUP('Données projet'!$B$16,Paramètres!$A$1:$I$89,3,0)*0.475*44/12</f>
        <v>12.704012476891734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69.711811034040494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43.680000000000035</v>
      </c>
      <c r="D53" s="11">
        <f t="shared" si="32"/>
        <v>12.96897928208859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437.29036638805263</v>
      </c>
      <c r="H53" s="66">
        <f t="shared" si="1"/>
        <v>391.99697224963768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230</v>
      </c>
      <c r="L53" s="12">
        <f>VLOOKUP(A53,'Données projet'!$A$35:$I$55,9,0)</f>
        <v>8.1999999999999993</v>
      </c>
      <c r="M53" s="12">
        <f t="array" ref="M53">INDEX(L:L,MIN(IF(ISNUMBER(L53:L249),ROW(L53:L249),"")))</f>
        <v>8.1999999999999993</v>
      </c>
      <c r="N53" s="13">
        <f>IF('Données projet'!$A$36&gt;35,N52+M53-V52,IF(A53&lt;'Données projet'!$A$36,$K$205^A53,IF(A53='Données projet'!$A$36,'Données projet'!$B$36,N52+M53-V52)))</f>
        <v>230.00000000000009</v>
      </c>
      <c r="O53" s="13">
        <f>N53*VLOOKUP('Données projet'!$B$9,Paramètres!$A$1:$I$89,3,0)*VLOOKUP('Données projet'!$B$9,Paramètres!$A$1:$I$89,5,0)</f>
        <v>200.92800000000011</v>
      </c>
      <c r="P53" s="13">
        <f t="shared" si="33"/>
        <v>49.948059057189084</v>
      </c>
      <c r="Q53" s="20">
        <f t="shared" si="53"/>
        <v>436.94246952460452</v>
      </c>
      <c r="R53" s="59">
        <f t="shared" si="0"/>
        <v>730.27580285793783</v>
      </c>
      <c r="S53" s="59">
        <f ca="1">AVERAGE(OFFSET($R$3,0,0,'Données projet'!$E$9+1,1))-AVERAGE(OFFSET($H$3,0,0,'Données projet'!$E$9+1,1))</f>
        <v>252.49539407921907</v>
      </c>
      <c r="T53" s="59">
        <f t="shared" si="34"/>
        <v>263.36387286233929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28</v>
      </c>
      <c r="W53" s="16">
        <f>IF(ISNA(VLOOKUP(A53,'Données projet'!$A$35:$I$55,5,0)),0%,VLOOKUP(A53,'Données projet'!$A$35:$I$55,5,0)*VLOOKUP('Données projet'!$B$9,Paramètres!$A$1:$I$89,7,0))</f>
        <v>0.43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43.344821925137595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43.344821925137595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12.271428571428576</v>
      </c>
      <c r="AI53" s="13">
        <f>IF('Données projet'!$A$62&gt;35,AI52+AH53-AQ52,IF(A53&lt;'Données projet'!$A$62,$AF$205^A53,IF(A53='Données projet'!$A$62,'Données projet'!$B$62,AI52+AH53-AQ52)))</f>
        <v>216.31285714285721</v>
      </c>
      <c r="AJ53" s="13">
        <f>AI53*VLOOKUP('Données projet'!$B$10,Paramètres!$A$1:$I$89,3,0)*VLOOKUP('Données projet'!$B$10,Paramètres!$A$1:$I$89,5,0)</f>
        <v>195.71987314285718</v>
      </c>
      <c r="AK53" s="13">
        <f t="shared" si="35"/>
        <v>48.802344365335458</v>
      </c>
      <c r="AL53" s="20">
        <f t="shared" si="4"/>
        <v>425.87619549343549</v>
      </c>
      <c r="AM53" s="59">
        <f t="shared" si="5"/>
        <v>719.20952882676875</v>
      </c>
      <c r="AN53" s="59">
        <f ca="1">AVERAGE(OFFSET($AM$3,0,0,'Données projet'!$E$10+1,1))-AVERAGE(OFFSET($H$3,0,0,'Données projet'!$E$10+1,1))</f>
        <v>370.05613271587413</v>
      </c>
      <c r="AO53" s="59">
        <f t="shared" si="36"/>
        <v>183.24480056442525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64.563924563897586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64.563924563897586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12.271428571428576</v>
      </c>
      <c r="BD53" s="12">
        <f>IF('Données projet'!$A$88&gt;35,BD52+BC53-BL52,IF(A53&lt;'Données projet'!$A$88,$BA$205^A53,IF(A53='Données projet'!$A$88,'Données projet'!$B$88,BD52+BC53-BL52)))</f>
        <v>216.31285714285721</v>
      </c>
      <c r="BE53" s="13">
        <f>BD53*VLOOKUP('Données projet'!$B$11,Paramètres!$A$1:$I$89,3,0)*VLOOKUP('Données projet'!$B$11,Paramètres!$A$1:$I$89,5,0)</f>
        <v>219.34123714285724</v>
      </c>
      <c r="BF53" s="13">
        <f t="shared" si="37"/>
        <v>53.971681888398933</v>
      </c>
      <c r="BG53" s="20">
        <f t="shared" si="7"/>
        <v>476.02000064610456</v>
      </c>
      <c r="BH53" s="59">
        <f t="shared" si="8"/>
        <v>769.35333397943782</v>
      </c>
      <c r="BI53" s="59">
        <f ca="1">AVERAGE(OFFSET($BH$3,0,0,'Données projet'!$E$11+1,1))-AVERAGE(OFFSET($H$3,0,0,'Données projet'!$E$11+1,1))</f>
        <v>428.72181435671394</v>
      </c>
      <c r="BJ53" s="59">
        <f t="shared" si="38"/>
        <v>211.84936043087572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72.356122356092129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72.356122356092129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303</v>
      </c>
      <c r="BW53" s="12">
        <f>VLOOKUP(A53,'Données projet'!$A$113:$I$133,9,0)</f>
        <v>9.8000000000000007</v>
      </c>
      <c r="BX53" s="12">
        <f t="array" ref="BX53">INDEX(BW:BW,MIN(IF(ISNUMBER(BW53:BW249),ROW(BW53:BW249),"")))</f>
        <v>9.8000000000000007</v>
      </c>
      <c r="BY53" s="12">
        <f>IF('Données projet'!$A$114&gt;35,BY52+BX53-CG52,IF(A53&lt;'Données projet'!$A$114,$BV$205^A53,IF(A53='Données projet'!$A$114,'Données projet'!$B$114,BY52+BX53-CG52)))</f>
        <v>302.99999999999994</v>
      </c>
      <c r="BZ53" s="13">
        <f>BY53*VLOOKUP('Données projet'!$B$12,Paramètres!$A$1:$I$89,3,0)*VLOOKUP('Données projet'!$B$12,Paramètres!$A$1:$I$89,5,0)</f>
        <v>241.06679999999997</v>
      </c>
      <c r="CA53" s="13">
        <f t="shared" si="39"/>
        <v>58.668998418543559</v>
      </c>
      <c r="CB53" s="20">
        <f t="shared" si="10"/>
        <v>522.03984891229663</v>
      </c>
      <c r="CC53" s="59">
        <f t="shared" si="11"/>
        <v>815.37318224563001</v>
      </c>
      <c r="CD53" s="59">
        <f ca="1">AVERAGE(OFFSET($CC$3,0,0,'Données projet'!$E$12+1,1))-AVERAGE(OFFSET($H$3,0,0,'Données projet'!$E$12+1,1))</f>
        <v>296.737543892524</v>
      </c>
      <c r="CE53" s="59">
        <f t="shared" si="40"/>
        <v>296.38358650317099</v>
      </c>
      <c r="CF53" s="15">
        <f>IF(ISNA(VLOOKUP(A53,'Données projet'!$A$113:$I$133,3,0)),0,VLOOKUP(A53,'Données projet'!$A$113:$I$133,3,0))</f>
        <v>9</v>
      </c>
      <c r="CG53" s="15">
        <f>IF(ISNA(VLOOKUP(A53,'Données projet'!$A$113:$I$133,4,0)),0,VLOOKUP(A53,'Données projet'!$A$113:$I$133,4,0))</f>
        <v>21</v>
      </c>
      <c r="CH53" s="16">
        <f>IF(ISNA(VLOOKUP(A53,'Données projet'!$A$113:$I$133,5,0)),0%,VLOOKUP(A53,'Données projet'!$A$113:$I$133,5,0)*VLOOKUP('Données projet'!$B$12,Paramètres!$A$1:$I$89,7,0))</f>
        <v>0.53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50.608099715777719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50.608099715777719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274</v>
      </c>
      <c r="CR53" s="12">
        <f>VLOOKUP(A53,'Données projet'!$A$139:$I$159,9,0)</f>
        <v>13.6</v>
      </c>
      <c r="CS53" s="12">
        <f t="array" ref="CS53">INDEX(CR:CR,MIN(IF(ISNUMBER(CR53:CR249),ROW(CR53:CR249),"")))</f>
        <v>13.6</v>
      </c>
      <c r="CT53" s="12">
        <f>IF('Données projet'!$A$140&gt;35,CT52+CS53-DB52,IF(A53&lt;'Données projet'!$A$140,$CQ$205^A53,IF(A53='Données projet'!$A$140,'Données projet'!$B$140,CT52+CS53-DB52)))</f>
        <v>274.00000000000017</v>
      </c>
      <c r="CU53" s="17">
        <f>CT53*VLOOKUP('Données projet'!$B$13,Paramètres!$A$1:$I$89,3,0)*VLOOKUP('Données projet'!$B$13,Paramètres!$A$1:$I$89,5,0)</f>
        <v>235.09200000000016</v>
      </c>
      <c r="CV53" s="13">
        <f t="shared" si="41"/>
        <v>57.38228388709345</v>
      </c>
      <c r="CW53" s="20">
        <f t="shared" si="13"/>
        <v>509.39271110335471</v>
      </c>
      <c r="CX53" s="59">
        <f t="shared" si="14"/>
        <v>802.72604443668797</v>
      </c>
      <c r="CY53" s="59">
        <f ca="1">AVERAGE(OFFSET($CX$3,0,0,'Données projet'!$E$13+1,1))-AVERAGE(OFFSET($H$3,0,0,'Données projet'!$E$13+1,1))</f>
        <v>391.93999504334352</v>
      </c>
      <c r="CZ53" s="59">
        <f t="shared" si="42"/>
        <v>215.4484906985528</v>
      </c>
      <c r="DA53" s="15">
        <f>IF(ISNA(VLOOKUP(A53,'Données projet'!$A$139:$I$159,3,0)),0,VLOOKUP(A53,'Données projet'!$A$139:$I$159,3,0))</f>
        <v>6</v>
      </c>
      <c r="DB53" s="15">
        <f>IF(ISNA(VLOOKUP(A53,'Données projet'!$A$139:$I$159,4,0)),0,VLOOKUP(A53,'Données projet'!$A$139:$I$159,4,0))</f>
        <v>35</v>
      </c>
      <c r="DC53" s="16">
        <f>IF(ISNA(VLOOKUP(A53,'Données projet'!$A$139:$I$159,5,0)),0%,VLOOKUP(A53,'Données projet'!$A$139:$I$159,5,0)*VLOOKUP('Données projet'!$B$13,Paramètres!$A$1:$I$89,7,0))</f>
        <v>0.53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61.036503006631534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61.036503006631534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303</v>
      </c>
      <c r="DM53" s="12">
        <f>VLOOKUP(A53,'Données projet'!$A$165:$I$185,9,0)</f>
        <v>9.8000000000000007</v>
      </c>
      <c r="DN53" s="12">
        <f t="array" ref="DN53">INDEX(DM:DM,MIN(IF(ISNUMBER(DM53:DM249),ROW(DM53:DM249),"")))</f>
        <v>9.8000000000000007</v>
      </c>
      <c r="DO53" s="12">
        <f>IF('Données projet'!$A$166&gt;35,DO52+DN53-DW52,IF(A53&lt;'Données projet'!$A$166,$DL$205^A53,IF(A53='Données projet'!$A$166,'Données projet'!$B$166,DO52+DN53-DW52)))</f>
        <v>302.99999999999994</v>
      </c>
      <c r="DP53" s="17">
        <f>DO53*VLOOKUP('Données projet'!$B$14,Paramètres!$A$1:$I$89,3,0)*VLOOKUP('Données projet'!$B$14,Paramètres!$A$1:$I$89,5,0)</f>
        <v>222.15959999999995</v>
      </c>
      <c r="DQ53" s="13">
        <f t="shared" si="43"/>
        <v>54.583996923291004</v>
      </c>
      <c r="DR53" s="20">
        <f t="shared" si="16"/>
        <v>481.99509797473166</v>
      </c>
      <c r="DS53" s="59">
        <f t="shared" si="17"/>
        <v>775.32843130806498</v>
      </c>
      <c r="DT53" s="59">
        <f ca="1">AVERAGE(OFFSET($DS$3,0,0,'Données projet'!$E$14+1,1))-AVERAGE(OFFSET($H$3,0,0,'Données projet'!$E$14+1,1))</f>
        <v>267.92147257573157</v>
      </c>
      <c r="DU53" s="59">
        <f t="shared" si="44"/>
        <v>269.06662611892438</v>
      </c>
      <c r="DV53" s="15">
        <f>IF(ISNA(VLOOKUP(A53,'Données projet'!$A$165:$I$185,3,0)),0,VLOOKUP(A53,'Données projet'!$A$165:$I$185,3,0))</f>
        <v>9</v>
      </c>
      <c r="DW53" s="15">
        <f>IF(ISNA(VLOOKUP(A53,'Données projet'!$A$165:$I$185,4,0)),0,VLOOKUP(A53,'Données projet'!$A$165:$I$185,4,0))</f>
        <v>21</v>
      </c>
      <c r="DX53" s="16">
        <f>IF(ISNA(VLOOKUP(A53,'Données projet'!$A$165:$I$185,5,0)),0%,VLOOKUP(A53,'Données projet'!$A$165:$I$185,5,0)*VLOOKUP('Données projet'!$B$14,Paramètres!$A$1:$I$89,7,0))</f>
        <v>0.43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37.839056428259987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37.839056428259987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25.705000000000002</v>
      </c>
      <c r="EJ53" s="12">
        <f>IF('Données projet'!$A$192&gt;35,EJ52+EI53-ER52,IF(A53&lt;'Données projet'!$A$192,$EG$205^A53,IF(A53='Données projet'!$A$192,'Données projet'!$B$192,EJ52+EI53-ER52)))</f>
        <v>605.79000000000019</v>
      </c>
      <c r="EK53" s="17">
        <f>EJ53*VLOOKUP('Données projet'!$B$15,Paramètres!$A$1:$I$89,3,0)*VLOOKUP('Données projet'!$B$15,Paramètres!$A$1:$I$89,5,0)</f>
        <v>338.63661000000013</v>
      </c>
      <c r="EL53" s="13">
        <f t="shared" si="45"/>
        <v>79.218195577662726</v>
      </c>
      <c r="EM53" s="20">
        <f t="shared" si="19"/>
        <v>727.76378638109611</v>
      </c>
      <c r="EN53" s="59">
        <f t="shared" si="20"/>
        <v>1021.0971197144295</v>
      </c>
      <c r="EO53" s="59">
        <f ca="1">AVERAGE(OFFSET($EN$3,0,0,'Données projet'!$E$15+1,1))-AVERAGE(OFFSET($H$3,0,0,'Données projet'!$E$15+1,1))</f>
        <v>326.29985515186428</v>
      </c>
      <c r="EP53" s="59">
        <f t="shared" si="46"/>
        <v>437.68177084535927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98.035206636680684</v>
      </c>
      <c r="EW53" s="21">
        <f>EXP(-LN(2)/25)*EW52+(1-EXP(-LN(2)/25))/(LN(2)/25)*Calculateur!ER53*Calculateur!ET53*VLOOKUP('Données projet'!$B$15,Paramètres!$A$1:$I$89,3,0)*0.475*44/12</f>
        <v>29.045568214140538</v>
      </c>
      <c r="EX53" s="21">
        <f>EXP(-LN(2)/2)*EX52+(1-EXP(-LN(2)/2))/(LN(2)/2)*ER53*EU53*VLOOKUP('Données projet'!$B$15,Paramètres!$A$1:$I$89,3,0)*0.475*44/12</f>
        <v>7.2257864166290248E-4</v>
      </c>
      <c r="EY53" s="22">
        <f t="shared" si="21"/>
        <v>127.08149742946289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1.7053025658242404E-13</v>
      </c>
      <c r="FF53" s="17">
        <f>FE53*VLOOKUP('Données projet'!$B$16,Paramètres!$A$1:$I$89,3,0)*VLOOKUP('Données projet'!$B$16,Paramètres!$A$1:$I$89,5,0)</f>
        <v>9.7631982498569413E-14</v>
      </c>
      <c r="FG53" s="13">
        <f t="shared" si="47"/>
        <v>1.4708068762530911E-12</v>
      </c>
      <c r="FH53" s="20">
        <f t="shared" si="22"/>
        <v>2.7316976789924749E-12</v>
      </c>
      <c r="FI53" s="59">
        <f t="shared" si="23"/>
        <v>293.33333333333604</v>
      </c>
      <c r="FJ53" s="59">
        <f ca="1">AVERAGE(OFFSET($FI$3,0,0,'Données projet'!$E$16+1,1))-AVERAGE(OFFSET($H$3,0,0,'Données projet'!$E$16+1,1))</f>
        <v>211.14768428403215</v>
      </c>
      <c r="FK53" s="59">
        <f t="shared" si="48"/>
        <v>350.7800157534798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55.889910398766816</v>
      </c>
      <c r="FR53" s="21">
        <f>EXP(-LN(2)/25)*FR52+(1-EXP(-LN(2)/25))/(LN(2)/25)*Calculateur!FM53*Calculateur!FO53*VLOOKUP('Données projet'!$B$16,Paramètres!$A$1:$I$89,3,0)*0.475*44/12</f>
        <v>12.356620587636149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68.246530986402959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44.553600000000039</v>
      </c>
      <c r="D54" s="11">
        <f t="shared" si="32"/>
        <v>13.19790227412237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445.80107018620811</v>
      </c>
      <c r="H54" s="66">
        <f t="shared" si="1"/>
        <v>393.91719979409652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7.4</v>
      </c>
      <c r="N54" s="13">
        <f>IF('Données projet'!$A$36&gt;35,N53+M54-V53,IF(A54&lt;'Données projet'!$A$36,$K$205^A54,IF(A54='Données projet'!$A$36,'Données projet'!$B$36,N53+M54-V53)))</f>
        <v>209.40000000000009</v>
      </c>
      <c r="O54" s="13">
        <f>N54*VLOOKUP('Données projet'!$B$9,Paramètres!$A$1:$I$89,3,0)*VLOOKUP('Données projet'!$B$9,Paramètres!$A$1:$I$89,5,0)</f>
        <v>182.93184000000011</v>
      </c>
      <c r="P54" s="13">
        <f t="shared" si="33"/>
        <v>45.973851929814685</v>
      </c>
      <c r="Q54" s="20">
        <f t="shared" si="53"/>
        <v>398.67741344442743</v>
      </c>
      <c r="R54" s="59">
        <f t="shared" si="0"/>
        <v>692.01074677776069</v>
      </c>
      <c r="S54" s="59">
        <f ca="1">AVERAGE(OFFSET($R$3,0,0,'Données projet'!$E$9+1,1))-AVERAGE(OFFSET($H$3,0,0,'Données projet'!$E$9+1,1))</f>
        <v>252.49539407921907</v>
      </c>
      <c r="T54" s="59">
        <f t="shared" si="34"/>
        <v>263.36387286233929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42.494856404916511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42.494856404916511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12.271428571428576</v>
      </c>
      <c r="AI54" s="13">
        <f>IF('Données projet'!$A$62&gt;35,AI53+AH54-AQ53,IF(A54&lt;'Données projet'!$A$62,$AF$205^A54,IF(A54='Données projet'!$A$62,'Données projet'!$B$62,AI53+AH54-AQ53)))</f>
        <v>228.58428571428578</v>
      </c>
      <c r="AJ54" s="13">
        <f>AI54*VLOOKUP('Données projet'!$B$10,Paramètres!$A$1:$I$89,3,0)*VLOOKUP('Données projet'!$B$10,Paramètres!$A$1:$I$89,5,0)</f>
        <v>206.82306171428579</v>
      </c>
      <c r="AK54" s="13">
        <f t="shared" si="35"/>
        <v>51.240730027878335</v>
      </c>
      <c r="AL54" s="20">
        <f t="shared" si="4"/>
        <v>449.46110395093586</v>
      </c>
      <c r="AM54" s="59">
        <f t="shared" si="5"/>
        <v>742.79443728426918</v>
      </c>
      <c r="AN54" s="59">
        <f ca="1">AVERAGE(OFFSET($AM$3,0,0,'Données projet'!$E$10+1,1))-AVERAGE(OFFSET($H$3,0,0,'Données projet'!$E$10+1,1))</f>
        <v>370.05613271587413</v>
      </c>
      <c r="AO54" s="59">
        <f t="shared" si="36"/>
        <v>183.24480056442525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63.297865383305073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63.297865383305073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12.271428571428576</v>
      </c>
      <c r="BD54" s="12">
        <f>IF('Données projet'!$A$88&gt;35,BD53+BC54-BL53,IF(A54&lt;'Données projet'!$A$88,$BA$205^A54,IF(A54='Données projet'!$A$88,'Données projet'!$B$88,BD53+BC54-BL53)))</f>
        <v>228.58428571428578</v>
      </c>
      <c r="BE54" s="13">
        <f>BD54*VLOOKUP('Données projet'!$B$11,Paramètres!$A$1:$I$89,3,0)*VLOOKUP('Données projet'!$B$11,Paramètres!$A$1:$I$89,5,0)</f>
        <v>231.78446571428583</v>
      </c>
      <c r="BF54" s="13">
        <f t="shared" si="37"/>
        <v>56.668351013857453</v>
      </c>
      <c r="BG54" s="20">
        <f t="shared" si="7"/>
        <v>502.38865580151611</v>
      </c>
      <c r="BH54" s="59">
        <f t="shared" si="8"/>
        <v>795.72198913484942</v>
      </c>
      <c r="BI54" s="59">
        <f ca="1">AVERAGE(OFFSET($BH$3,0,0,'Données projet'!$E$11+1,1))-AVERAGE(OFFSET($H$3,0,0,'Données projet'!$E$11+1,1))</f>
        <v>428.72181435671394</v>
      </c>
      <c r="BJ54" s="59">
        <f t="shared" si="38"/>
        <v>211.84936043087572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70.937262929566046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70.937262929566046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8.4</v>
      </c>
      <c r="BY54" s="12">
        <f>IF('Données projet'!$A$114&gt;35,BY53+BX54-CG53,IF(A54&lt;'Données projet'!$A$114,$BV$205^A54,IF(A54='Données projet'!$A$114,'Données projet'!$B$114,BY53+BX54-CG53)))</f>
        <v>290.39999999999992</v>
      </c>
      <c r="BZ54" s="13">
        <f>BY54*VLOOKUP('Données projet'!$B$12,Paramètres!$A$1:$I$89,3,0)*VLOOKUP('Données projet'!$B$12,Paramètres!$A$1:$I$89,5,0)</f>
        <v>231.04223999999994</v>
      </c>
      <c r="CA54" s="13">
        <f t="shared" si="39"/>
        <v>56.507978852931409</v>
      </c>
      <c r="CB54" s="20">
        <f t="shared" si="10"/>
        <v>500.81663116885539</v>
      </c>
      <c r="CC54" s="59">
        <f t="shared" si="11"/>
        <v>794.14996450218871</v>
      </c>
      <c r="CD54" s="59">
        <f ca="1">AVERAGE(OFFSET($CC$3,0,0,'Données projet'!$E$12+1,1))-AVERAGE(OFFSET($H$3,0,0,'Données projet'!$E$12+1,1))</f>
        <v>296.737543892524</v>
      </c>
      <c r="CE54" s="59">
        <f t="shared" si="40"/>
        <v>296.38358650317099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49.615705748244196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49.615705748244196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13.4</v>
      </c>
      <c r="CT54" s="12">
        <f>IF('Données projet'!$A$140&gt;35,CT53+CS54-DB53,IF(A54&lt;'Données projet'!$A$140,$CQ$205^A54,IF(A54='Données projet'!$A$140,'Données projet'!$B$140,CT53+CS54-DB53)))</f>
        <v>252.40000000000015</v>
      </c>
      <c r="CU54" s="17">
        <f>CT54*VLOOKUP('Données projet'!$B$13,Paramètres!$A$1:$I$89,3,0)*VLOOKUP('Données projet'!$B$13,Paramètres!$A$1:$I$89,5,0)</f>
        <v>216.55920000000012</v>
      </c>
      <c r="CV54" s="13">
        <f t="shared" si="41"/>
        <v>53.366360125240526</v>
      </c>
      <c r="CW54" s="20">
        <f t="shared" si="13"/>
        <v>470.12035055146072</v>
      </c>
      <c r="CX54" s="59">
        <f t="shared" si="14"/>
        <v>763.45368388479403</v>
      </c>
      <c r="CY54" s="59">
        <f ca="1">AVERAGE(OFFSET($CX$3,0,0,'Données projet'!$E$13+1,1))-AVERAGE(OFFSET($H$3,0,0,'Données projet'!$E$13+1,1))</f>
        <v>391.93999504334352</v>
      </c>
      <c r="CZ54" s="59">
        <f t="shared" si="42"/>
        <v>215.4484906985528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59.839614411262303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59.839614411262303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8.4</v>
      </c>
      <c r="DO54" s="12">
        <f>IF('Données projet'!$A$166&gt;35,DO53+DN54-DW53,IF(A54&lt;'Données projet'!$A$166,$DL$205^A54,IF(A54='Données projet'!$A$166,'Données projet'!$B$166,DO53+DN54-DW53)))</f>
        <v>290.39999999999992</v>
      </c>
      <c r="DP54" s="17">
        <f>DO54*VLOOKUP('Données projet'!$B$14,Paramètres!$A$1:$I$89,3,0)*VLOOKUP('Données projet'!$B$14,Paramètres!$A$1:$I$89,5,0)</f>
        <v>212.92127999999991</v>
      </c>
      <c r="DQ54" s="13">
        <f t="shared" si="43"/>
        <v>52.57344469809297</v>
      </c>
      <c r="DR54" s="20">
        <f t="shared" si="16"/>
        <v>462.4033121825118</v>
      </c>
      <c r="DS54" s="59">
        <f t="shared" si="17"/>
        <v>755.73664551584511</v>
      </c>
      <c r="DT54" s="59">
        <f ca="1">AVERAGE(OFFSET($DS$3,0,0,'Données projet'!$E$14+1,1))-AVERAGE(OFFSET($H$3,0,0,'Données projet'!$E$14+1,1))</f>
        <v>267.92147257573157</v>
      </c>
      <c r="DU54" s="59">
        <f t="shared" si="44"/>
        <v>269.06662611892438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37.097055611247313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37.097055611247313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25.705000000000002</v>
      </c>
      <c r="EJ54" s="12">
        <f>IF('Données projet'!$A$192&gt;35,EJ53+EI54-ER53,IF(A54&lt;'Données projet'!$A$192,$EG$205^A54,IF(A54='Données projet'!$A$192,'Données projet'!$B$192,EJ53+EI54-ER53)))</f>
        <v>631.49500000000023</v>
      </c>
      <c r="EK54" s="17">
        <f>EJ54*VLOOKUP('Données projet'!$B$15,Paramètres!$A$1:$I$89,3,0)*VLOOKUP('Données projet'!$B$15,Paramètres!$A$1:$I$89,5,0)</f>
        <v>353.00570500000015</v>
      </c>
      <c r="EL54" s="13">
        <f t="shared" si="45"/>
        <v>82.181108764690435</v>
      </c>
      <c r="EM54" s="20">
        <f t="shared" si="19"/>
        <v>757.95036730683603</v>
      </c>
      <c r="EN54" s="59">
        <f t="shared" si="20"/>
        <v>1051.2837006401694</v>
      </c>
      <c r="EO54" s="59">
        <f ca="1">AVERAGE(OFFSET($EN$3,0,0,'Données projet'!$E$15+1,1))-AVERAGE(OFFSET($H$3,0,0,'Données projet'!$E$15+1,1))</f>
        <v>326.29985515186428</v>
      </c>
      <c r="EP54" s="59">
        <f t="shared" si="46"/>
        <v>437.68177084535927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96.112796030107106</v>
      </c>
      <c r="EW54" s="21">
        <f>EXP(-LN(2)/25)*EW53+(1-EXP(-LN(2)/25))/(LN(2)/25)*Calculateur!ER54*Calculateur!ET54*VLOOKUP('Données projet'!$B$15,Paramètres!$A$1:$I$89,3,0)*0.475*44/12</f>
        <v>28.251315623884818</v>
      </c>
      <c r="EX54" s="21">
        <f>EXP(-LN(2)/2)*EX53+(1-EXP(-LN(2)/2))/(LN(2)/2)*ER54*EU54*VLOOKUP('Données projet'!$B$15,Paramètres!$A$1:$I$89,3,0)*0.475*44/12</f>
        <v>5.109402574604027E-4</v>
      </c>
      <c r="EY54" s="22">
        <f t="shared" si="21"/>
        <v>124.36462259424938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1.7053025658242404E-13</v>
      </c>
      <c r="FF54" s="17">
        <f>FE54*VLOOKUP('Données projet'!$B$16,Paramètres!$A$1:$I$89,3,0)*VLOOKUP('Données projet'!$B$16,Paramètres!$A$1:$I$89,5,0)</f>
        <v>9.7631982498569413E-14</v>
      </c>
      <c r="FG54" s="13">
        <f t="shared" si="47"/>
        <v>1.4708068762530911E-12</v>
      </c>
      <c r="FH54" s="20">
        <f t="shared" si="22"/>
        <v>2.7316976789924749E-12</v>
      </c>
      <c r="FI54" s="59">
        <f t="shared" si="23"/>
        <v>293.33333333333604</v>
      </c>
      <c r="FJ54" s="59">
        <f ca="1">AVERAGE(OFFSET($FI$3,0,0,'Données projet'!$E$16+1,1))-AVERAGE(OFFSET($H$3,0,0,'Données projet'!$E$16+1,1))</f>
        <v>211.14768428403215</v>
      </c>
      <c r="FK54" s="59">
        <f t="shared" si="48"/>
        <v>350.7800157534798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54.793943345326284</v>
      </c>
      <c r="FR54" s="21">
        <f>EXP(-LN(2)/25)*FR53+(1-EXP(-LN(2)/25))/(LN(2)/25)*Calculateur!FM54*Calculateur!FO54*VLOOKUP('Données projet'!$B$16,Paramètres!$A$1:$I$89,3,0)*0.475*44/12</f>
        <v>12.018728147860804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66.812671493187082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45.427200000000042</v>
      </c>
      <c r="D55" s="11">
        <f t="shared" si="32"/>
        <v>13.42630334353094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454.30774510795845</v>
      </c>
      <c r="H55" s="66">
        <f t="shared" si="1"/>
        <v>395.83651832331645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7.4</v>
      </c>
      <c r="N55" s="13">
        <f>IF('Données projet'!$A$36&gt;35,N54+M55-V54,IF(A55&lt;'Données projet'!$A$36,$K$205^A55,IF(A55='Données projet'!$A$36,'Données projet'!$B$36,N54+M55-V54)))</f>
        <v>216.8000000000001</v>
      </c>
      <c r="O55" s="13">
        <f>N55*VLOOKUP('Données projet'!$B$9,Paramètres!$A$1:$I$89,3,0)*VLOOKUP('Données projet'!$B$9,Paramètres!$A$1:$I$89,5,0)</f>
        <v>189.39648000000011</v>
      </c>
      <c r="P55" s="13">
        <f t="shared" si="33"/>
        <v>47.406498452084548</v>
      </c>
      <c r="Q55" s="20">
        <f t="shared" si="53"/>
        <v>412.43185413738075</v>
      </c>
      <c r="R55" s="59">
        <f t="shared" si="0"/>
        <v>705.76518747071407</v>
      </c>
      <c r="S55" s="59">
        <f ca="1">AVERAGE(OFFSET($R$3,0,0,'Données projet'!$E$9+1,1))-AVERAGE(OFFSET($H$3,0,0,'Données projet'!$E$9+1,1))</f>
        <v>252.49539407921907</v>
      </c>
      <c r="T55" s="59">
        <f t="shared" si="34"/>
        <v>263.36387286233929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41.661558190119187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41.661558190119187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12.271428571428576</v>
      </c>
      <c r="AI55" s="13">
        <f>IF('Données projet'!$A$62&gt;35,AI54+AH55-AQ54,IF(A55&lt;'Données projet'!$A$62,$AF$205^A55,IF(A55='Données projet'!$A$62,'Données projet'!$B$62,AI54+AH55-AQ54)))</f>
        <v>240.85571428571436</v>
      </c>
      <c r="AJ55" s="13">
        <f>AI55*VLOOKUP('Données projet'!$B$10,Paramètres!$A$1:$I$89,3,0)*VLOOKUP('Données projet'!$B$10,Paramètres!$A$1:$I$89,5,0)</f>
        <v>217.92625028571436</v>
      </c>
      <c r="AK55" s="13">
        <f t="shared" si="35"/>
        <v>53.663918329427027</v>
      </c>
      <c r="AL55" s="20">
        <f t="shared" si="4"/>
        <v>473.01954367137131</v>
      </c>
      <c r="AM55" s="59">
        <f t="shared" si="5"/>
        <v>766.35287700470462</v>
      </c>
      <c r="AN55" s="59">
        <f ca="1">AVERAGE(OFFSET($AM$3,0,0,'Données projet'!$E$10+1,1))-AVERAGE(OFFSET($H$3,0,0,'Données projet'!$E$10+1,1))</f>
        <v>370.05613271587413</v>
      </c>
      <c r="AO55" s="59">
        <f t="shared" si="36"/>
        <v>183.24480056442525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62.056632851024133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62.056632851024133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12.271428571428576</v>
      </c>
      <c r="BD55" s="12">
        <f>IF('Données projet'!$A$88&gt;35,BD54+BC55-BL54,IF(A55&lt;'Données projet'!$A$88,$BA$205^A55,IF(A55='Données projet'!$A$88,'Données projet'!$B$88,BD54+BC55-BL54)))</f>
        <v>240.85571428571436</v>
      </c>
      <c r="BE55" s="13">
        <f>BD55*VLOOKUP('Données projet'!$B$11,Paramètres!$A$1:$I$89,3,0)*VLOOKUP('Données projet'!$B$11,Paramètres!$A$1:$I$89,5,0)</f>
        <v>244.22769428571436</v>
      </c>
      <c r="BF55" s="13">
        <f t="shared" si="37"/>
        <v>59.348213013679157</v>
      </c>
      <c r="BG55" s="20">
        <f t="shared" si="7"/>
        <v>528.72803854644371</v>
      </c>
      <c r="BH55" s="59">
        <f t="shared" si="8"/>
        <v>822.06137187977697</v>
      </c>
      <c r="BI55" s="59">
        <f ca="1">AVERAGE(OFFSET($BH$3,0,0,'Données projet'!$E$11+1,1))-AVERAGE(OFFSET($H$3,0,0,'Données projet'!$E$11+1,1))</f>
        <v>428.72181435671394</v>
      </c>
      <c r="BJ55" s="59">
        <f t="shared" si="38"/>
        <v>211.84936043087572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69.546226470975341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69.546226470975341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8.4</v>
      </c>
      <c r="BY55" s="12">
        <f>IF('Données projet'!$A$114&gt;35,BY54+BX55-CG54,IF(A55&lt;'Données projet'!$A$114,$BV$205^A55,IF(A55='Données projet'!$A$114,'Données projet'!$B$114,BY54+BX55-CG54)))</f>
        <v>298.7999999999999</v>
      </c>
      <c r="BZ55" s="13">
        <f>BY55*VLOOKUP('Données projet'!$B$12,Paramètres!$A$1:$I$89,3,0)*VLOOKUP('Données projet'!$B$12,Paramètres!$A$1:$I$89,5,0)</f>
        <v>237.72527999999994</v>
      </c>
      <c r="CA55" s="13">
        <f t="shared" si="39"/>
        <v>57.949842464086196</v>
      </c>
      <c r="CB55" s="20">
        <f t="shared" si="10"/>
        <v>514.96750495828326</v>
      </c>
      <c r="CC55" s="59">
        <f t="shared" si="11"/>
        <v>808.30083829161663</v>
      </c>
      <c r="CD55" s="59">
        <f ca="1">AVERAGE(OFFSET($CC$3,0,0,'Données projet'!$E$12+1,1))-AVERAGE(OFFSET($H$3,0,0,'Données projet'!$E$12+1,1))</f>
        <v>296.737543892524</v>
      </c>
      <c r="CE55" s="59">
        <f t="shared" si="40"/>
        <v>296.38358650317099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48.642772021113451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48.642772021113451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13.4</v>
      </c>
      <c r="CT55" s="12">
        <f>IF('Données projet'!$A$140&gt;35,CT54+CS55-DB54,IF(A55&lt;'Données projet'!$A$140,$CQ$205^A55,IF(A55='Données projet'!$A$140,'Données projet'!$B$140,CT54+CS55-DB54)))</f>
        <v>265.80000000000013</v>
      </c>
      <c r="CU55" s="17">
        <f>CT55*VLOOKUP('Données projet'!$B$13,Paramètres!$A$1:$I$89,3,0)*VLOOKUP('Données projet'!$B$13,Paramètres!$A$1:$I$89,5,0)</f>
        <v>228.05640000000014</v>
      </c>
      <c r="CV55" s="13">
        <f t="shared" si="41"/>
        <v>55.862222430632038</v>
      </c>
      <c r="CW55" s="20">
        <f t="shared" si="13"/>
        <v>494.49160073335105</v>
      </c>
      <c r="CX55" s="59">
        <f t="shared" si="14"/>
        <v>787.82493406668436</v>
      </c>
      <c r="CY55" s="59">
        <f ca="1">AVERAGE(OFFSET($CX$3,0,0,'Données projet'!$E$13+1,1))-AVERAGE(OFFSET($H$3,0,0,'Données projet'!$E$13+1,1))</f>
        <v>391.93999504334352</v>
      </c>
      <c r="CZ55" s="59">
        <f t="shared" si="42"/>
        <v>215.4484906985528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58.666196071218309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58.666196071218309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8.4</v>
      </c>
      <c r="DO55" s="12">
        <f>IF('Données projet'!$A$166&gt;35,DO54+DN55-DW54,IF(A55&lt;'Données projet'!$A$166,$DL$205^A55,IF(A55='Données projet'!$A$166,'Données projet'!$B$166,DO54+DN55-DW54)))</f>
        <v>298.7999999999999</v>
      </c>
      <c r="DP55" s="17">
        <f>DO55*VLOOKUP('Données projet'!$B$14,Paramètres!$A$1:$I$89,3,0)*VLOOKUP('Données projet'!$B$14,Paramètres!$A$1:$I$89,5,0)</f>
        <v>219.08015999999992</v>
      </c>
      <c r="DQ55" s="13">
        <f t="shared" si="43"/>
        <v>53.914914316401685</v>
      </c>
      <c r="DR55" s="20">
        <f t="shared" si="16"/>
        <v>475.46642110106609</v>
      </c>
      <c r="DS55" s="59">
        <f t="shared" si="17"/>
        <v>768.79975443439935</v>
      </c>
      <c r="DT55" s="59">
        <f ca="1">AVERAGE(OFFSET($DS$3,0,0,'Données projet'!$E$14+1,1))-AVERAGE(OFFSET($H$3,0,0,'Données projet'!$E$14+1,1))</f>
        <v>267.92147257573157</v>
      </c>
      <c r="DU55" s="59">
        <f t="shared" si="44"/>
        <v>269.06662611892438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36.369604977680446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36.369604977680446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25.705000000000002</v>
      </c>
      <c r="EJ55" s="12">
        <f>IF('Données projet'!$A$192&gt;35,EJ54+EI55-ER54,IF(A55&lt;'Données projet'!$A$192,$EG$205^A55,IF(A55='Données projet'!$A$192,'Données projet'!$B$192,EJ54+EI55-ER54)))</f>
        <v>657.20000000000027</v>
      </c>
      <c r="EK55" s="17">
        <f>EJ55*VLOOKUP('Données projet'!$B$15,Paramètres!$A$1:$I$89,3,0)*VLOOKUP('Données projet'!$B$15,Paramètres!$A$1:$I$89,5,0)</f>
        <v>367.37480000000016</v>
      </c>
      <c r="EL55" s="13">
        <f t="shared" si="45"/>
        <v>85.13001260681672</v>
      </c>
      <c r="EM55" s="20">
        <f t="shared" si="19"/>
        <v>788.11254862353928</v>
      </c>
      <c r="EN55" s="59">
        <f t="shared" si="20"/>
        <v>1081.4458819568727</v>
      </c>
      <c r="EO55" s="59">
        <f ca="1">AVERAGE(OFFSET($EN$3,0,0,'Données projet'!$E$15+1,1))-AVERAGE(OFFSET($H$3,0,0,'Données projet'!$E$15+1,1))</f>
        <v>326.29985515186428</v>
      </c>
      <c r="EP55" s="59">
        <f t="shared" si="46"/>
        <v>437.68177084535927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94.228082722973738</v>
      </c>
      <c r="EW55" s="21">
        <f>EXP(-LN(2)/25)*EW54+(1-EXP(-LN(2)/25))/(LN(2)/25)*Calculateur!ER55*Calculateur!ET55*VLOOKUP('Données projet'!$B$15,Paramètres!$A$1:$I$89,3,0)*0.475*44/12</f>
        <v>27.478781912477569</v>
      </c>
      <c r="EX55" s="21">
        <f>EXP(-LN(2)/2)*EX54+(1-EXP(-LN(2)/2))/(LN(2)/2)*ER55*EU55*VLOOKUP('Données projet'!$B$15,Paramètres!$A$1:$I$89,3,0)*0.475*44/12</f>
        <v>3.6128932083145124E-4</v>
      </c>
      <c r="EY55" s="22">
        <f t="shared" si="21"/>
        <v>121.70722592477215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1.7053025658242404E-13</v>
      </c>
      <c r="FF55" s="17">
        <f>FE55*VLOOKUP('Données projet'!$B$16,Paramètres!$A$1:$I$89,3,0)*VLOOKUP('Données projet'!$B$16,Paramètres!$A$1:$I$89,5,0)</f>
        <v>9.7631982498569413E-14</v>
      </c>
      <c r="FG55" s="13">
        <f t="shared" si="47"/>
        <v>1.4708068762530911E-12</v>
      </c>
      <c r="FH55" s="20">
        <f t="shared" si="22"/>
        <v>2.7316976789924749E-12</v>
      </c>
      <c r="FI55" s="59">
        <f t="shared" si="23"/>
        <v>293.33333333333604</v>
      </c>
      <c r="FJ55" s="59">
        <f ca="1">AVERAGE(OFFSET($FI$3,0,0,'Données projet'!$E$16+1,1))-AVERAGE(OFFSET($H$3,0,0,'Données projet'!$E$16+1,1))</f>
        <v>211.14768428403215</v>
      </c>
      <c r="FK55" s="59">
        <f t="shared" si="48"/>
        <v>350.7800157534798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53.719467537329827</v>
      </c>
      <c r="FR55" s="21">
        <f>EXP(-LN(2)/25)*FR54+(1-EXP(-LN(2)/25))/(LN(2)/25)*Calculateur!FM55*Calculateur!FO55*VLOOKUP('Données projet'!$B$16,Paramètres!$A$1:$I$89,3,0)*0.475*44/12</f>
        <v>11.690075394620106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65.409542931949929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46.300800000000045</v>
      </c>
      <c r="D56" s="11">
        <f t="shared" si="32"/>
        <v>13.654193684451673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462.81047756418883</v>
      </c>
      <c r="H56" s="66">
        <f t="shared" si="1"/>
        <v>397.75494733375336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7.4</v>
      </c>
      <c r="N56" s="13">
        <f>IF('Données projet'!$A$36&gt;35,N55+M56-V55,IF(A56&lt;'Données projet'!$A$36,$K$205^A56,IF(A56='Données projet'!$A$36,'Données projet'!$B$36,N55+M56-V55)))</f>
        <v>224.2000000000001</v>
      </c>
      <c r="O56" s="13">
        <f>N56*VLOOKUP('Données projet'!$B$9,Paramètres!$A$1:$I$89,3,0)*VLOOKUP('Données projet'!$B$9,Paramètres!$A$1:$I$89,5,0)</f>
        <v>195.86112000000011</v>
      </c>
      <c r="P56" s="13">
        <f t="shared" si="33"/>
        <v>48.833463106716465</v>
      </c>
      <c r="Q56" s="20">
        <f t="shared" si="53"/>
        <v>426.17639891086469</v>
      </c>
      <c r="R56" s="59">
        <f t="shared" si="0"/>
        <v>719.50973224419795</v>
      </c>
      <c r="S56" s="59">
        <f ca="1">AVERAGE(OFFSET($R$3,0,0,'Données projet'!$E$9+1,1))-AVERAGE(OFFSET($H$3,0,0,'Données projet'!$E$9+1,1))</f>
        <v>252.49539407921907</v>
      </c>
      <c r="T56" s="59">
        <f t="shared" si="34"/>
        <v>263.36387286233929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40.844600445052315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40.844600445052315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12.271428571428576</v>
      </c>
      <c r="AI56" s="13">
        <f>IF('Données projet'!$A$62&gt;35,AI55+AH56-AQ55,IF(A56&lt;'Données projet'!$A$62,$AF$205^A56,IF(A56='Données projet'!$A$62,'Données projet'!$B$62,AI55+AH56-AQ55)))</f>
        <v>253.12714285714293</v>
      </c>
      <c r="AJ56" s="13">
        <f>AI56*VLOOKUP('Données projet'!$B$10,Paramètres!$A$1:$I$89,3,0)*VLOOKUP('Données projet'!$B$10,Paramètres!$A$1:$I$89,5,0)</f>
        <v>229.02943885714294</v>
      </c>
      <c r="AK56" s="13">
        <f t="shared" si="35"/>
        <v>56.072771899312158</v>
      </c>
      <c r="AL56" s="20">
        <f t="shared" si="4"/>
        <v>496.55301706749259</v>
      </c>
      <c r="AM56" s="59">
        <f t="shared" si="5"/>
        <v>789.8863504008259</v>
      </c>
      <c r="AN56" s="59">
        <f ca="1">AVERAGE(OFFSET($AM$3,0,0,'Données projet'!$E$10+1,1))-AVERAGE(OFFSET($H$3,0,0,'Données projet'!$E$10+1,1))</f>
        <v>370.05613271587413</v>
      </c>
      <c r="AO56" s="59">
        <f t="shared" si="36"/>
        <v>183.24480056442525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60.839740131624133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60.839740131624133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12.271428571428576</v>
      </c>
      <c r="BD56" s="12">
        <f>IF('Données projet'!$A$88&gt;35,BD55+BC56-BL55,IF(A56&lt;'Données projet'!$A$88,$BA$205^A56,IF(A56='Données projet'!$A$88,'Données projet'!$B$88,BD55+BC56-BL55)))</f>
        <v>253.12714285714293</v>
      </c>
      <c r="BE56" s="13">
        <f>BD56*VLOOKUP('Données projet'!$B$11,Paramètres!$A$1:$I$89,3,0)*VLOOKUP('Données projet'!$B$11,Paramètres!$A$1:$I$89,5,0)</f>
        <v>256.67092285714295</v>
      </c>
      <c r="BF56" s="13">
        <f t="shared" si="37"/>
        <v>62.012221890308474</v>
      </c>
      <c r="BG56" s="20">
        <f t="shared" si="7"/>
        <v>555.03981043514455</v>
      </c>
      <c r="BH56" s="59">
        <f t="shared" si="8"/>
        <v>848.3731437684778</v>
      </c>
      <c r="BI56" s="59">
        <f ca="1">AVERAGE(OFFSET($BH$3,0,0,'Données projet'!$E$11+1,1))-AVERAGE(OFFSET($H$3,0,0,'Données projet'!$E$11+1,1))</f>
        <v>428.72181435671394</v>
      </c>
      <c r="BJ56" s="59">
        <f t="shared" si="38"/>
        <v>211.84936043087572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68.182467388889137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68.182467388889137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8.4</v>
      </c>
      <c r="BY56" s="12">
        <f>IF('Données projet'!$A$114&gt;35,BY55+BX56-CG55,IF(A56&lt;'Données projet'!$A$114,$BV$205^A56,IF(A56='Données projet'!$A$114,'Données projet'!$B$114,BY55+BX56-CG55)))</f>
        <v>307.19999999999987</v>
      </c>
      <c r="BZ56" s="13">
        <f>BY56*VLOOKUP('Données projet'!$B$12,Paramètres!$A$1:$I$89,3,0)*VLOOKUP('Données projet'!$B$12,Paramètres!$A$1:$I$89,5,0)</f>
        <v>244.40831999999992</v>
      </c>
      <c r="CA56" s="13">
        <f t="shared" si="39"/>
        <v>59.38699493610541</v>
      </c>
      <c r="CB56" s="20">
        <f t="shared" si="10"/>
        <v>529.11017351371675</v>
      </c>
      <c r="CC56" s="59">
        <f t="shared" si="11"/>
        <v>822.44350684705</v>
      </c>
      <c r="CD56" s="59">
        <f ca="1">AVERAGE(OFFSET($CC$3,0,0,'Données projet'!$E$12+1,1))-AVERAGE(OFFSET($H$3,0,0,'Données projet'!$E$12+1,1))</f>
        <v>296.737543892524</v>
      </c>
      <c r="CE56" s="59">
        <f t="shared" si="40"/>
        <v>296.38358650317099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47.688916930940763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47.688916930940763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13.4</v>
      </c>
      <c r="CT56" s="12">
        <f>IF('Données projet'!$A$140&gt;35,CT55+CS56-DB55,IF(A56&lt;'Données projet'!$A$140,$CQ$205^A56,IF(A56='Données projet'!$A$140,'Données projet'!$B$140,CT55+CS56-DB55)))</f>
        <v>279.2000000000001</v>
      </c>
      <c r="CU56" s="17">
        <f>CT56*VLOOKUP('Données projet'!$B$13,Paramètres!$A$1:$I$89,3,0)*VLOOKUP('Données projet'!$B$13,Paramètres!$A$1:$I$89,5,0)</f>
        <v>239.5536000000001</v>
      </c>
      <c r="CV56" s="13">
        <f t="shared" si="41"/>
        <v>58.343474943343601</v>
      </c>
      <c r="CW56" s="20">
        <f t="shared" si="13"/>
        <v>518.83740552632355</v>
      </c>
      <c r="CX56" s="59">
        <f t="shared" si="14"/>
        <v>812.17073885965692</v>
      </c>
      <c r="CY56" s="59">
        <f ca="1">AVERAGE(OFFSET($CX$3,0,0,'Données projet'!$E$13+1,1))-AVERAGE(OFFSET($H$3,0,0,'Données projet'!$E$13+1,1))</f>
        <v>391.93999504334352</v>
      </c>
      <c r="CZ56" s="59">
        <f t="shared" si="42"/>
        <v>215.4484906985528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57.515787749108057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57.515787749108057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8.4</v>
      </c>
      <c r="DO56" s="12">
        <f>IF('Données projet'!$A$166&gt;35,DO55+DN56-DW55,IF(A56&lt;'Données projet'!$A$166,$DL$205^A56,IF(A56='Données projet'!$A$166,'Données projet'!$B$166,DO55+DN56-DW55)))</f>
        <v>307.19999999999987</v>
      </c>
      <c r="DP56" s="17">
        <f>DO56*VLOOKUP('Données projet'!$B$14,Paramètres!$A$1:$I$89,3,0)*VLOOKUP('Données projet'!$B$14,Paramètres!$A$1:$I$89,5,0)</f>
        <v>225.2390399999999</v>
      </c>
      <c r="DQ56" s="13">
        <f t="shared" si="43"/>
        <v>55.252000822487368</v>
      </c>
      <c r="DR56" s="20">
        <f t="shared" si="16"/>
        <v>488.5218960991653</v>
      </c>
      <c r="DS56" s="59">
        <f t="shared" si="17"/>
        <v>781.85522943249862</v>
      </c>
      <c r="DT56" s="59">
        <f ca="1">AVERAGE(OFFSET($DS$3,0,0,'Données projet'!$E$14+1,1))-AVERAGE(OFFSET($H$3,0,0,'Données projet'!$E$14+1,1))</f>
        <v>267.92147257573157</v>
      </c>
      <c r="DU56" s="59">
        <f t="shared" si="44"/>
        <v>269.06662611892438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35.656419207336754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35.656419207336754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25.705000000000002</v>
      </c>
      <c r="EJ56" s="12">
        <f>IF('Données projet'!$A$192&gt;35,EJ55+EI56-ER55,IF(A56&lt;'Données projet'!$A$192,$EG$205^A56,IF(A56='Données projet'!$A$192,'Données projet'!$B$192,EJ55+EI56-ER55)))</f>
        <v>682.90500000000031</v>
      </c>
      <c r="EK56" s="17">
        <f>EJ56*VLOOKUP('Données projet'!$B$15,Paramètres!$A$1:$I$89,3,0)*VLOOKUP('Données projet'!$B$15,Paramètres!$A$1:$I$89,5,0)</f>
        <v>381.74389500000018</v>
      </c>
      <c r="EL56" s="13">
        <f t="shared" si="45"/>
        <v>88.065517757867923</v>
      </c>
      <c r="EM56" s="20">
        <f t="shared" si="19"/>
        <v>818.25139388662035</v>
      </c>
      <c r="EN56" s="59">
        <f t="shared" si="20"/>
        <v>1111.5847272199537</v>
      </c>
      <c r="EO56" s="59">
        <f ca="1">AVERAGE(OFFSET($EN$3,0,0,'Données projet'!$E$15+1,1))-AVERAGE(OFFSET($H$3,0,0,'Données projet'!$E$15+1,1))</f>
        <v>326.29985515186428</v>
      </c>
      <c r="EP56" s="59">
        <f t="shared" si="46"/>
        <v>437.68177084535927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92.380327494231651</v>
      </c>
      <c r="EW56" s="21">
        <f>EXP(-LN(2)/25)*EW55+(1-EXP(-LN(2)/25))/(LN(2)/25)*Calculateur!ER56*Calculateur!ET56*VLOOKUP('Données projet'!$B$15,Paramètres!$A$1:$I$89,3,0)*0.475*44/12</f>
        <v>26.727373176034533</v>
      </c>
      <c r="EX56" s="21">
        <f>EXP(-LN(2)/2)*EX55+(1-EXP(-LN(2)/2))/(LN(2)/2)*ER56*EU56*VLOOKUP('Données projet'!$B$15,Paramètres!$A$1:$I$89,3,0)*0.475*44/12</f>
        <v>2.5547012873020135E-4</v>
      </c>
      <c r="EY56" s="22">
        <f t="shared" si="21"/>
        <v>119.10795614039492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1.7053025658242404E-13</v>
      </c>
      <c r="FF56" s="17">
        <f>FE56*VLOOKUP('Données projet'!$B$16,Paramètres!$A$1:$I$89,3,0)*VLOOKUP('Données projet'!$B$16,Paramètres!$A$1:$I$89,5,0)</f>
        <v>9.7631982498569413E-14</v>
      </c>
      <c r="FG56" s="13">
        <f t="shared" si="47"/>
        <v>1.4708068762530911E-12</v>
      </c>
      <c r="FH56" s="20">
        <f t="shared" si="22"/>
        <v>2.7316976789924749E-12</v>
      </c>
      <c r="FI56" s="59">
        <f t="shared" si="23"/>
        <v>293.33333333333604</v>
      </c>
      <c r="FJ56" s="59">
        <f ca="1">AVERAGE(OFFSET($FI$3,0,0,'Données projet'!$E$16+1,1))-AVERAGE(OFFSET($H$3,0,0,'Données projet'!$E$16+1,1))</f>
        <v>211.14768428403215</v>
      </c>
      <c r="FK56" s="59">
        <f t="shared" si="48"/>
        <v>350.7800157534798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52.666061544562652</v>
      </c>
      <c r="FR56" s="21">
        <f>EXP(-LN(2)/25)*FR55+(1-EXP(-LN(2)/25))/(LN(2)/25)*Calculateur!FM56*Calculateur!FO56*VLOOKUP('Données projet'!$B$16,Paramètres!$A$1:$I$89,3,0)*0.475*44/12</f>
        <v>11.370409668199873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64.036471212762521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47.174400000000048</v>
      </c>
      <c r="D57" s="11">
        <f t="shared" si="32"/>
        <v>13.881584044427944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471.30935051839151</v>
      </c>
      <c r="H57" s="66">
        <f t="shared" si="1"/>
        <v>399.67250554404541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7.4</v>
      </c>
      <c r="N57" s="13">
        <f>IF('Données projet'!$A$36&gt;35,N56+M57-V56,IF(A57&lt;'Données projet'!$A$36,$K$205^A57,IF(A57='Données projet'!$A$36,'Données projet'!$B$36,N56+M57-V56)))</f>
        <v>231.60000000000011</v>
      </c>
      <c r="O57" s="13">
        <f>N57*VLOOKUP('Données projet'!$B$9,Paramètres!$A$1:$I$89,3,0)*VLOOKUP('Données projet'!$B$9,Paramètres!$A$1:$I$89,5,0)</f>
        <v>202.32576000000014</v>
      </c>
      <c r="P57" s="13">
        <f t="shared" si="33"/>
        <v>50.254954935552938</v>
      </c>
      <c r="Q57" s="20">
        <f t="shared" si="53"/>
        <v>439.91141184608824</v>
      </c>
      <c r="R57" s="59">
        <f t="shared" si="0"/>
        <v>733.24474517942156</v>
      </c>
      <c r="S57" s="59">
        <f ca="1">AVERAGE(OFFSET($R$3,0,0,'Données projet'!$E$9+1,1))-AVERAGE(OFFSET($H$3,0,0,'Données projet'!$E$9+1,1))</f>
        <v>252.49539407921907</v>
      </c>
      <c r="T57" s="59">
        <f t="shared" si="34"/>
        <v>263.36387286233929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40.043662743071181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40.043662743071181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12.271428571428576</v>
      </c>
      <c r="AI57" s="13">
        <f>IF('Données projet'!$A$62&gt;35,AI56+AH57-AQ56,IF(A57&lt;'Données projet'!$A$62,$AF$205^A57,IF(A57='Données projet'!$A$62,'Données projet'!$B$62,AI56+AH57-AQ56)))</f>
        <v>265.39857142857153</v>
      </c>
      <c r="AJ57" s="13">
        <f>AI57*VLOOKUP('Données projet'!$B$10,Paramètres!$A$1:$I$89,3,0)*VLOOKUP('Données projet'!$B$10,Paramètres!$A$1:$I$89,5,0)</f>
        <v>240.13262742857151</v>
      </c>
      <c r="AK57" s="13">
        <f t="shared" si="35"/>
        <v>58.468065001979483</v>
      </c>
      <c r="AL57" s="20">
        <f t="shared" si="4"/>
        <v>520.06287264987634</v>
      </c>
      <c r="AM57" s="59">
        <f t="shared" si="5"/>
        <v>813.39620598320971</v>
      </c>
      <c r="AN57" s="59">
        <f ca="1">AVERAGE(OFFSET($AM$3,0,0,'Données projet'!$E$10+1,1))-AVERAGE(OFFSET($H$3,0,0,'Données projet'!$E$10+1,1))</f>
        <v>370.05613271587413</v>
      </c>
      <c r="AO57" s="59">
        <f t="shared" si="36"/>
        <v>183.24480056442525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59.646709936220297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59.646709936220297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12.271428571428576</v>
      </c>
      <c r="BD57" s="12">
        <f>IF('Données projet'!$A$88&gt;35,BD56+BC57-BL56,IF(A57&lt;'Données projet'!$A$88,$BA$205^A57,IF(A57='Données projet'!$A$88,'Données projet'!$B$88,BD56+BC57-BL56)))</f>
        <v>265.39857142857153</v>
      </c>
      <c r="BE57" s="13">
        <f>BD57*VLOOKUP('Données projet'!$B$11,Paramètres!$A$1:$I$89,3,0)*VLOOKUP('Données projet'!$B$11,Paramètres!$A$1:$I$89,5,0)</f>
        <v>269.11415142857157</v>
      </c>
      <c r="BF57" s="13">
        <f t="shared" si="37"/>
        <v>64.661233921346607</v>
      </c>
      <c r="BG57" s="20">
        <f t="shared" si="7"/>
        <v>581.32546281777411</v>
      </c>
      <c r="BH57" s="59">
        <f t="shared" si="8"/>
        <v>874.65879615110748</v>
      </c>
      <c r="BI57" s="59">
        <f ca="1">AVERAGE(OFFSET($BH$3,0,0,'Données projet'!$E$11+1,1))-AVERAGE(OFFSET($H$3,0,0,'Données projet'!$E$11+1,1))</f>
        <v>428.72181435671394</v>
      </c>
      <c r="BJ57" s="59">
        <f t="shared" si="38"/>
        <v>211.84936043087572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66.845450790591727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66.845450790591727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8.4</v>
      </c>
      <c r="BY57" s="12">
        <f>IF('Données projet'!$A$114&gt;35,BY56+BX57-CG56,IF(A57&lt;'Données projet'!$A$114,$BV$205^A57,IF(A57='Données projet'!$A$114,'Données projet'!$B$114,BY56+BX57-CG56)))</f>
        <v>315.59999999999985</v>
      </c>
      <c r="BZ57" s="13">
        <f>BY57*VLOOKUP('Données projet'!$B$12,Paramètres!$A$1:$I$89,3,0)*VLOOKUP('Données projet'!$B$12,Paramètres!$A$1:$I$89,5,0)</f>
        <v>251.0913599999999</v>
      </c>
      <c r="CA57" s="13">
        <f t="shared" si="39"/>
        <v>60.81957989149403</v>
      </c>
      <c r="CB57" s="20">
        <f t="shared" si="10"/>
        <v>543.24488697768527</v>
      </c>
      <c r="CC57" s="59">
        <f t="shared" si="11"/>
        <v>836.57822031101864</v>
      </c>
      <c r="CD57" s="59">
        <f ca="1">AVERAGE(OFFSET($CC$3,0,0,'Données projet'!$E$12+1,1))-AVERAGE(OFFSET($H$3,0,0,'Données projet'!$E$12+1,1))</f>
        <v>296.737543892524</v>
      </c>
      <c r="CE57" s="59">
        <f t="shared" si="40"/>
        <v>296.38358650317099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46.753766357292207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46.753766357292207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13.4</v>
      </c>
      <c r="CT57" s="12">
        <f>IF('Données projet'!$A$140&gt;35,CT56+CS57-DB56,IF(A57&lt;'Données projet'!$A$140,$CQ$205^A57,IF(A57='Données projet'!$A$140,'Données projet'!$B$140,CT56+CS57-DB56)))</f>
        <v>292.60000000000008</v>
      </c>
      <c r="CU57" s="17">
        <f>CT57*VLOOKUP('Données projet'!$B$13,Paramètres!$A$1:$I$89,3,0)*VLOOKUP('Données projet'!$B$13,Paramètres!$A$1:$I$89,5,0)</f>
        <v>251.05080000000009</v>
      </c>
      <c r="CV57" s="13">
        <f t="shared" si="41"/>
        <v>60.810898898941176</v>
      </c>
      <c r="CW57" s="20">
        <f t="shared" si="13"/>
        <v>543.15912558232264</v>
      </c>
      <c r="CX57" s="59">
        <f t="shared" si="14"/>
        <v>836.49245891565602</v>
      </c>
      <c r="CY57" s="59">
        <f ca="1">AVERAGE(OFFSET($CX$3,0,0,'Données projet'!$E$13+1,1))-AVERAGE(OFFSET($H$3,0,0,'Données projet'!$E$13+1,1))</f>
        <v>391.93999504334352</v>
      </c>
      <c r="CZ57" s="59">
        <f t="shared" si="42"/>
        <v>215.4484906985528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56.3879382325146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56.3879382325146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8.4</v>
      </c>
      <c r="DO57" s="12">
        <f>IF('Données projet'!$A$166&gt;35,DO56+DN57-DW56,IF(A57&lt;'Données projet'!$A$166,$DL$205^A57,IF(A57='Données projet'!$A$166,'Données projet'!$B$166,DO56+DN57-DW56)))</f>
        <v>315.59999999999985</v>
      </c>
      <c r="DP57" s="17">
        <f>DO57*VLOOKUP('Données projet'!$B$14,Paramètres!$A$1:$I$89,3,0)*VLOOKUP('Données projet'!$B$14,Paramètres!$A$1:$I$89,5,0)</f>
        <v>231.39791999999986</v>
      </c>
      <c r="DQ57" s="13">
        <f t="shared" si="43"/>
        <v>56.584837838715806</v>
      </c>
      <c r="DR57" s="20">
        <f t="shared" si="16"/>
        <v>501.5699699024297</v>
      </c>
      <c r="DS57" s="59">
        <f t="shared" si="17"/>
        <v>794.90330323576302</v>
      </c>
      <c r="DT57" s="59">
        <f ca="1">AVERAGE(OFFSET($DS$3,0,0,'Données projet'!$E$14+1,1))-AVERAGE(OFFSET($H$3,0,0,'Données projet'!$E$14+1,1))</f>
        <v>267.92147257573157</v>
      </c>
      <c r="DU57" s="59">
        <f t="shared" si="44"/>
        <v>269.06662611892438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34.957218574949131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34.957218574949131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>
        <f>VLOOKUP(A57,'Données projet'!$A$191:$I$211,2,0)</f>
        <v>708.61</v>
      </c>
      <c r="EH57" s="12">
        <f>VLOOKUP(A57,'Données projet'!$A$191:$I$211,9,0)</f>
        <v>25.705000000000002</v>
      </c>
      <c r="EI57" s="12">
        <f t="array" ref="EI57">INDEX(EH:EH,MIN(IF(ISNUMBER(EH57:EH253),ROW(EH57:EH253),"")))</f>
        <v>25.705000000000002</v>
      </c>
      <c r="EJ57" s="12">
        <f>IF('Données projet'!$A$192&gt;35,EJ56+EI57-ER56,IF(A57&lt;'Données projet'!$A$192,$EG$205^A57,IF(A57='Données projet'!$A$192,'Données projet'!$B$192,EJ56+EI57-ER56)))</f>
        <v>708.61000000000035</v>
      </c>
      <c r="EK57" s="17">
        <f>EJ57*VLOOKUP('Données projet'!$B$15,Paramètres!$A$1:$I$89,3,0)*VLOOKUP('Données projet'!$B$15,Paramètres!$A$1:$I$89,5,0)</f>
        <v>396.1129900000002</v>
      </c>
      <c r="EL57" s="13">
        <f t="shared" si="45"/>
        <v>90.988186296707582</v>
      </c>
      <c r="EM57" s="20">
        <f t="shared" si="19"/>
        <v>848.36788205009941</v>
      </c>
      <c r="EN57" s="59">
        <f t="shared" si="20"/>
        <v>1141.7012153834328</v>
      </c>
      <c r="EO57" s="59">
        <f ca="1">AVERAGE(OFFSET($EN$3,0,0,'Données projet'!$E$15+1,1))-AVERAGE(OFFSET($H$3,0,0,'Données projet'!$E$15+1,1))</f>
        <v>326.29985515186428</v>
      </c>
      <c r="EP57" s="59">
        <f t="shared" si="46"/>
        <v>437.68177084535927</v>
      </c>
      <c r="EQ57" s="15">
        <f>IF(ISNA(VLOOKUP(A57,'Données projet'!$A$191:$I$211,3,0)),0,VLOOKUP(A57,'Données projet'!$A$191:$I$211,3,0))</f>
        <v>7</v>
      </c>
      <c r="ER57" s="15">
        <f>IF(ISNA(VLOOKUP(A57,'Données projet'!$A$191:$I$211,4,0)),0,VLOOKUP(A57,'Données projet'!$A$191:$I$211,4,0))</f>
        <v>707.75</v>
      </c>
      <c r="ES57" s="16">
        <f>IF(ISNA(VLOOKUP(A57,'Données projet'!$A$191:$I$211,5,0)),0%,VLOOKUP(A57,'Données projet'!$A$191:$I$211,5,0)*VLOOKUP('Données projet'!$B$15,Paramètres!$A$1:$I$89,7,0))</f>
        <v>0.55000000000000004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379.22622977006932</v>
      </c>
      <c r="EW57" s="21">
        <f>EXP(-LN(2)/25)*EW56+(1-EXP(-LN(2)/25))/(LN(2)/25)*Calculateur!ER57*Calculateur!ET57*VLOOKUP('Données projet'!$B$15,Paramètres!$A$1:$I$89,3,0)*0.475*44/12</f>
        <v>25.996511751004398</v>
      </c>
      <c r="EX57" s="21">
        <f>EXP(-LN(2)/2)*EX56+(1-EXP(-LN(2)/2))/(LN(2)/2)*ER57*EU57*VLOOKUP('Données projet'!$B$15,Paramètres!$A$1:$I$89,3,0)*0.475*44/12</f>
        <v>1.8064466041572562E-4</v>
      </c>
      <c r="EY57" s="22">
        <f t="shared" si="21"/>
        <v>405.22292216573413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1.7053025658242404E-13</v>
      </c>
      <c r="FF57" s="17">
        <f>FE57*VLOOKUP('Données projet'!$B$16,Paramètres!$A$1:$I$89,3,0)*VLOOKUP('Données projet'!$B$16,Paramètres!$A$1:$I$89,5,0)</f>
        <v>9.7631982498569413E-14</v>
      </c>
      <c r="FG57" s="13">
        <f t="shared" si="47"/>
        <v>1.4708068762530911E-12</v>
      </c>
      <c r="FH57" s="20">
        <f t="shared" si="22"/>
        <v>2.7316976789924749E-12</v>
      </c>
      <c r="FI57" s="59">
        <f t="shared" si="23"/>
        <v>293.33333333333604</v>
      </c>
      <c r="FJ57" s="59">
        <f ca="1">AVERAGE(OFFSET($FI$3,0,0,'Données projet'!$E$16+1,1))-AVERAGE(OFFSET($H$3,0,0,'Données projet'!$E$16+1,1))</f>
        <v>211.14768428403215</v>
      </c>
      <c r="FK57" s="59">
        <f t="shared" si="48"/>
        <v>350.7800157534798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51.633312200799423</v>
      </c>
      <c r="FR57" s="21">
        <f>EXP(-LN(2)/25)*FR56+(1-EXP(-LN(2)/25))/(LN(2)/25)*Calculateur!FM57*Calculateur!FO57*VLOOKUP('Données projet'!$B$16,Paramètres!$A$1:$I$89,3,0)*0.475*44/12</f>
        <v>11.059485217879089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62.692797418678509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48.048000000000052</v>
      </c>
      <c r="D58" s="11">
        <f t="shared" si="32"/>
        <v>14.108484750160635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479.80444368545096</v>
      </c>
      <c r="H58" s="66">
        <f t="shared" si="1"/>
        <v>401.58921093986316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239</v>
      </c>
      <c r="L58" s="12">
        <f>VLOOKUP(A58,'Données projet'!$A$35:$I$55,9,0)</f>
        <v>7.4</v>
      </c>
      <c r="M58" s="12">
        <f t="array" ref="M58">INDEX(L:L,MIN(IF(ISNUMBER(L58:L254),ROW(L58:L254),"")))</f>
        <v>7.4</v>
      </c>
      <c r="N58" s="13">
        <f>IF('Données projet'!$A$36&gt;35,N57+M58-V57,IF(A58&lt;'Données projet'!$A$36,$K$205^A58,IF(A58='Données projet'!$A$36,'Données projet'!$B$36,N57+M58-V57)))</f>
        <v>239.00000000000011</v>
      </c>
      <c r="O58" s="13">
        <f>N58*VLOOKUP('Données projet'!$B$9,Paramètres!$A$1:$I$89,3,0)*VLOOKUP('Données projet'!$B$9,Paramètres!$A$1:$I$89,5,0)</f>
        <v>208.79040000000015</v>
      </c>
      <c r="P58" s="13">
        <f t="shared" si="33"/>
        <v>51.671168863475195</v>
      </c>
      <c r="Q58" s="20">
        <f t="shared" si="53"/>
        <v>453.63723243721955</v>
      </c>
      <c r="R58" s="59">
        <f t="shared" si="0"/>
        <v>746.97056577055287</v>
      </c>
      <c r="S58" s="59">
        <f ca="1">AVERAGE(OFFSET($R$3,0,0,'Données projet'!$E$9+1,1))-AVERAGE(OFFSET($H$3,0,0,'Données projet'!$E$9+1,1))</f>
        <v>252.49539407921907</v>
      </c>
      <c r="T58" s="59">
        <f t="shared" si="34"/>
        <v>263.36387286233929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26</v>
      </c>
      <c r="W58" s="16">
        <f>IF(ISNA(VLOOKUP(A58,'Données projet'!$A$35:$I$55,5,0)),0%,VLOOKUP(A58,'Données projet'!$A$35:$I$55,5,0)*VLOOKUP('Données projet'!$B$9,Paramètres!$A$1:$I$89,7,0))</f>
        <v>0.43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50.055392106302776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50.055392106302776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277.67</v>
      </c>
      <c r="AG58" s="12">
        <f>VLOOKUP(A58,'Données projet'!$A$61:$I$81,9,0)</f>
        <v>12.271428571428576</v>
      </c>
      <c r="AH58" s="12">
        <f t="array" ref="AH58">INDEX(AG:AG,MIN(IF(ISNUMBER(AG58:AG254),ROW(AG58:AG254),"")))</f>
        <v>12.271428571428576</v>
      </c>
      <c r="AI58" s="13">
        <f>IF('Données projet'!$A$62&gt;35,AI57+AH58-AQ57,IF(A58&lt;'Données projet'!$A$62,$AF$205^A58,IF(A58='Données projet'!$A$62,'Données projet'!$B$62,AI57+AH58-AQ57)))</f>
        <v>277.67000000000013</v>
      </c>
      <c r="AJ58" s="13">
        <f>AI58*VLOOKUP('Données projet'!$B$10,Paramètres!$A$1:$I$89,3,0)*VLOOKUP('Données projet'!$B$10,Paramètres!$A$1:$I$89,5,0)</f>
        <v>251.23581600000009</v>
      </c>
      <c r="AK58" s="13">
        <f t="shared" si="35"/>
        <v>60.850496254681879</v>
      </c>
      <c r="AL58" s="20">
        <f t="shared" si="4"/>
        <v>543.55032717690437</v>
      </c>
      <c r="AM58" s="59">
        <f t="shared" si="5"/>
        <v>836.88366051023763</v>
      </c>
      <c r="AN58" s="59">
        <f ca="1">AVERAGE(OFFSET($AM$3,0,0,'Données projet'!$E$10+1,1))-AVERAGE(OFFSET($H$3,0,0,'Données projet'!$E$10+1,1))</f>
        <v>370.05613271587413</v>
      </c>
      <c r="AO58" s="59">
        <f t="shared" si="36"/>
        <v>183.24480056442525</v>
      </c>
      <c r="AP58" s="15">
        <f>IF(ISNA(VLOOKUP(A58,'Données projet'!$A$61:$I$81,3,0)),0,VLOOKUP(A58,'Données projet'!$A$61:$I$81,3,0))</f>
        <v>4</v>
      </c>
      <c r="AQ58" s="15">
        <f>IF(ISNA(VLOOKUP(A58,'Données projet'!$A$61:$I$81,4,0)),0,VLOOKUP(A58,'Données projet'!$A$61:$I$81,4,0))</f>
        <v>58.24</v>
      </c>
      <c r="AR58" s="16">
        <f>IF(ISNA(VLOOKUP(A58,'Données projet'!$A$61:$I$81,5,0)),0%,VLOOKUP(A58,'Données projet'!$A$61:$I$81,5,0)*VLOOKUP('Données projet'!$B$10,Paramètres!$A$1:$I$89,7,0))</f>
        <v>0.43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83.526024239001245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83.526024239001245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277.67</v>
      </c>
      <c r="BB58" s="12">
        <f>VLOOKUP(A58,'Données projet'!$A$87:$I$107,9,0)</f>
        <v>12.271428571428576</v>
      </c>
      <c r="BC58" s="12">
        <f t="array" ref="BC58">INDEX(BB:BB,MIN(IF(ISNUMBER(BB58:BB254),ROW(BB58:BB254),"")))</f>
        <v>12.271428571428576</v>
      </c>
      <c r="BD58" s="12">
        <f>IF('Données projet'!$A$88&gt;35,BD57+BC58-BL57,IF(A58&lt;'Données projet'!$A$88,$BA$205^A58,IF(A58='Données projet'!$A$88,'Données projet'!$B$88,BD57+BC58-BL57)))</f>
        <v>277.67000000000013</v>
      </c>
      <c r="BE58" s="13">
        <f>BD58*VLOOKUP('Données projet'!$B$11,Paramètres!$A$1:$I$89,3,0)*VLOOKUP('Données projet'!$B$11,Paramètres!$A$1:$I$89,5,0)</f>
        <v>281.55738000000014</v>
      </c>
      <c r="BF58" s="13">
        <f t="shared" si="37"/>
        <v>67.296021724351561</v>
      </c>
      <c r="BG58" s="20">
        <f t="shared" si="7"/>
        <v>607.58634133657904</v>
      </c>
      <c r="BH58" s="59">
        <f t="shared" si="8"/>
        <v>900.91967466991241</v>
      </c>
      <c r="BI58" s="59">
        <f ca="1">AVERAGE(OFFSET($BH$3,0,0,'Données projet'!$E$11+1,1))-AVERAGE(OFFSET($H$3,0,0,'Données projet'!$E$11+1,1))</f>
        <v>428.72181435671394</v>
      </c>
      <c r="BJ58" s="59">
        <f t="shared" si="38"/>
        <v>211.84936043087572</v>
      </c>
      <c r="BK58" s="15">
        <f>IF(ISNA(VLOOKUP(A58,'Données projet'!$A$87:$I$107,3,0)),0,VLOOKUP(A58,'Données projet'!$A$87:$I$107,3,0))</f>
        <v>4</v>
      </c>
      <c r="BL58" s="15">
        <f>IF(ISNA(VLOOKUP(A58,'Données projet'!$A$87:$I$107,4,0)),0,VLOOKUP(A58,'Données projet'!$A$87:$I$107,4,0))</f>
        <v>58.24</v>
      </c>
      <c r="BM58" s="16">
        <f>IF(ISNA(VLOOKUP(A58,'Données projet'!$A$87:$I$107,5,0)),0%,VLOOKUP(A58,'Données projet'!$A$87:$I$107,5,0)*VLOOKUP('Données projet'!$B$11,Paramètres!$A$1:$I$89,7,0))</f>
        <v>0.43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93.606751302328988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93.606751302328988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324</v>
      </c>
      <c r="BW58" s="12">
        <f>VLOOKUP(A58,'Données projet'!$A$113:$I$133,9,0)</f>
        <v>8.4</v>
      </c>
      <c r="BX58" s="12">
        <f t="array" ref="BX58">INDEX(BW:BW,MIN(IF(ISNUMBER(BW58:BW254),ROW(BW58:BW254),"")))</f>
        <v>8.4</v>
      </c>
      <c r="BY58" s="12">
        <f>IF('Données projet'!$A$114&gt;35,BY57+BX58-CG57,IF(A58&lt;'Données projet'!$A$114,$BV$205^A58,IF(A58='Données projet'!$A$114,'Données projet'!$B$114,BY57+BX58-CG57)))</f>
        <v>323.99999999999983</v>
      </c>
      <c r="BZ58" s="13">
        <f>BY58*VLOOKUP('Données projet'!$B$12,Paramètres!$A$1:$I$89,3,0)*VLOOKUP('Données projet'!$B$12,Paramètres!$A$1:$I$89,5,0)</f>
        <v>257.7743999999999</v>
      </c>
      <c r="CA58" s="13">
        <f t="shared" si="39"/>
        <v>62.247732872134243</v>
      </c>
      <c r="CB58" s="20">
        <f t="shared" si="10"/>
        <v>557.37188141896695</v>
      </c>
      <c r="CC58" s="59">
        <f t="shared" si="11"/>
        <v>850.70521475230021</v>
      </c>
      <c r="CD58" s="59">
        <f ca="1">AVERAGE(OFFSET($CC$3,0,0,'Données projet'!$E$12+1,1))-AVERAGE(OFFSET($H$3,0,0,'Données projet'!$E$12+1,1))</f>
        <v>296.737543892524</v>
      </c>
      <c r="CE58" s="59">
        <f t="shared" si="40"/>
        <v>296.38358650317099</v>
      </c>
      <c r="CF58" s="15">
        <f>IF(ISNA(VLOOKUP(A58,'Données projet'!$A$113:$I$133,3,0)),0,VLOOKUP(A58,'Données projet'!$A$113:$I$133,3,0))</f>
        <v>10</v>
      </c>
      <c r="CG58" s="15">
        <f>IF(ISNA(VLOOKUP(A58,'Données projet'!$A$113:$I$133,4,0)),0,VLOOKUP(A58,'Données projet'!$A$113:$I$133,4,0))</f>
        <v>18</v>
      </c>
      <c r="CH58" s="16">
        <f>IF(ISNA(VLOOKUP(A58,'Données projet'!$A$113:$I$133,5,0)),0%,VLOOKUP(A58,'Données projet'!$A$113:$I$133,5,0)*VLOOKUP('Données projet'!$B$12,Paramètres!$A$1:$I$89,7,0))</f>
        <v>0.53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54.227500227951566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54.227500227951566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306</v>
      </c>
      <c r="CR58" s="12">
        <f>VLOOKUP(A58,'Données projet'!$A$139:$I$159,9,0)</f>
        <v>13.4</v>
      </c>
      <c r="CS58" s="12">
        <f t="array" ref="CS58">INDEX(CR:CR,MIN(IF(ISNUMBER(CR58:CR254),ROW(CR58:CR254),"")))</f>
        <v>13.4</v>
      </c>
      <c r="CT58" s="12">
        <f>IF('Données projet'!$A$140&gt;35,CT57+CS58-DB57,IF(A58&lt;'Données projet'!$A$140,$CQ$205^A58,IF(A58='Données projet'!$A$140,'Données projet'!$B$140,CT57+CS58-DB57)))</f>
        <v>306.00000000000006</v>
      </c>
      <c r="CU58" s="17">
        <f>CT58*VLOOKUP('Données projet'!$B$13,Paramètres!$A$1:$I$89,3,0)*VLOOKUP('Données projet'!$B$13,Paramètres!$A$1:$I$89,5,0)</f>
        <v>262.54800000000006</v>
      </c>
      <c r="CV58" s="13">
        <f t="shared" si="41"/>
        <v>63.265199933079444</v>
      </c>
      <c r="CW58" s="20">
        <f t="shared" si="13"/>
        <v>567.45798988344677</v>
      </c>
      <c r="CX58" s="59">
        <f t="shared" si="14"/>
        <v>860.79132321678003</v>
      </c>
      <c r="CY58" s="59">
        <f ca="1">AVERAGE(OFFSET($CX$3,0,0,'Données projet'!$E$13+1,1))-AVERAGE(OFFSET($H$3,0,0,'Données projet'!$E$13+1,1))</f>
        <v>391.93999504334352</v>
      </c>
      <c r="CZ58" s="59">
        <f t="shared" si="42"/>
        <v>215.4484906985528</v>
      </c>
      <c r="DA58" s="15">
        <f>IF(ISNA(VLOOKUP(A58,'Données projet'!$A$139:$I$159,3,0)),0,VLOOKUP(A58,'Données projet'!$A$139:$I$159,3,0))</f>
        <v>7</v>
      </c>
      <c r="DB58" s="15">
        <f>IF(ISNA(VLOOKUP(A58,'Données projet'!$A$139:$I$159,4,0)),0,VLOOKUP(A58,'Données projet'!$A$139:$I$159,4,0))</f>
        <v>35</v>
      </c>
      <c r="DC58" s="16">
        <f>IF(ISNA(VLOOKUP(A58,'Données projet'!$A$139:$I$159,5,0)),0%,VLOOKUP(A58,'Données projet'!$A$139:$I$159,5,0)*VLOOKUP('Données projet'!$B$13,Paramètres!$A$1:$I$89,7,0))</f>
        <v>0.53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72.876761170629749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72.876761170629749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324</v>
      </c>
      <c r="DM58" s="12">
        <f>VLOOKUP(A58,'Données projet'!$A$165:$I$185,9,0)</f>
        <v>8.4</v>
      </c>
      <c r="DN58" s="12">
        <f t="array" ref="DN58">INDEX(DM:DM,MIN(IF(ISNUMBER(DM58:DM254),ROW(DM58:DM254),"")))</f>
        <v>8.4</v>
      </c>
      <c r="DO58" s="12">
        <f>IF('Données projet'!$A$166&gt;35,DO57+DN58-DW57,IF(A58&lt;'Données projet'!$A$166,$DL$205^A58,IF(A58='Données projet'!$A$166,'Données projet'!$B$166,DO57+DN58-DW57)))</f>
        <v>323.99999999999983</v>
      </c>
      <c r="DP58" s="17">
        <f>DO58*VLOOKUP('Données projet'!$B$14,Paramètres!$A$1:$I$89,3,0)*VLOOKUP('Données projet'!$B$14,Paramètres!$A$1:$I$89,5,0)</f>
        <v>237.55679999999987</v>
      </c>
      <c r="DQ58" s="13">
        <f t="shared" si="43"/>
        <v>57.913551469467308</v>
      </c>
      <c r="DR58" s="20">
        <f t="shared" si="16"/>
        <v>514.61086214265526</v>
      </c>
      <c r="DS58" s="59">
        <f t="shared" si="17"/>
        <v>807.94419547598864</v>
      </c>
      <c r="DT58" s="59">
        <f ca="1">AVERAGE(OFFSET($DS$3,0,0,'Données projet'!$E$14+1,1))-AVERAGE(OFFSET($H$3,0,0,'Données projet'!$E$14+1,1))</f>
        <v>267.92147257573157</v>
      </c>
      <c r="DU58" s="59">
        <f t="shared" si="44"/>
        <v>269.06662611892438</v>
      </c>
      <c r="DV58" s="15">
        <f>IF(ISNA(VLOOKUP(A58,'Données projet'!$A$165:$I$185,3,0)),0,VLOOKUP(A58,'Données projet'!$A$165:$I$185,3,0))</f>
        <v>10</v>
      </c>
      <c r="DW58" s="15">
        <f>IF(ISNA(VLOOKUP(A58,'Données projet'!$A$165:$I$185,4,0)),0,VLOOKUP(A58,'Données projet'!$A$165:$I$185,4,0))</f>
        <v>18</v>
      </c>
      <c r="DX58" s="16">
        <f>IF(ISNA(VLOOKUP(A58,'Données projet'!$A$165:$I$185,5,0)),0%,VLOOKUP(A58,'Données projet'!$A$165:$I$185,5,0)*VLOOKUP('Données projet'!$B$14,Paramètres!$A$1:$I$89,7,0))</f>
        <v>0.43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40.545237869289707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40.545237869289707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0.8600000000003547</v>
      </c>
      <c r="EK58" s="17">
        <f>EJ58*VLOOKUP('Données projet'!$B$15,Paramètres!$A$1:$I$89,3,0)*VLOOKUP('Données projet'!$B$15,Paramètres!$A$1:$I$89,5,0)</f>
        <v>0.48074000000019829</v>
      </c>
      <c r="EL58" s="13">
        <f t="shared" si="45"/>
        <v>0.24126147010950588</v>
      </c>
      <c r="EM58" s="20">
        <f t="shared" si="19"/>
        <v>1.2574858937744013</v>
      </c>
      <c r="EN58" s="59">
        <f t="shared" si="20"/>
        <v>294.59081922710772</v>
      </c>
      <c r="EO58" s="59">
        <f ca="1">AVERAGE(OFFSET($EN$3,0,0,'Données projet'!$E$15+1,1))-AVERAGE(OFFSET($H$3,0,0,'Données projet'!$E$15+1,1))</f>
        <v>326.29985515186428</v>
      </c>
      <c r="EP58" s="59">
        <f t="shared" si="46"/>
        <v>437.68177084535927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371.78983470943894</v>
      </c>
      <c r="EW58" s="21">
        <f>EXP(-LN(2)/25)*EW57+(1-EXP(-LN(2)/25))/(LN(2)/25)*Calculateur!ER58*Calculateur!ET58*VLOOKUP('Données projet'!$B$15,Paramètres!$A$1:$I$89,3,0)*0.475*44/12</f>
        <v>25.285635770076045</v>
      </c>
      <c r="EX58" s="21">
        <f>EXP(-LN(2)/2)*EX57+(1-EXP(-LN(2)/2))/(LN(2)/2)*ER58*EU58*VLOOKUP('Données projet'!$B$15,Paramètres!$A$1:$I$89,3,0)*0.475*44/12</f>
        <v>1.2773506436510067E-4</v>
      </c>
      <c r="EY58" s="22">
        <f t="shared" si="21"/>
        <v>397.07559821457937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1.7053025658242404E-13</v>
      </c>
      <c r="FF58" s="17">
        <f>FE58*VLOOKUP('Données projet'!$B$16,Paramètres!$A$1:$I$89,3,0)*VLOOKUP('Données projet'!$B$16,Paramètres!$A$1:$I$89,5,0)</f>
        <v>9.7631982498569413E-14</v>
      </c>
      <c r="FG58" s="13">
        <f t="shared" si="47"/>
        <v>1.4708068762530911E-12</v>
      </c>
      <c r="FH58" s="20">
        <f t="shared" si="22"/>
        <v>2.7316976789924749E-12</v>
      </c>
      <c r="FI58" s="59">
        <f t="shared" si="23"/>
        <v>293.33333333333604</v>
      </c>
      <c r="FJ58" s="59">
        <f ca="1">AVERAGE(OFFSET($FI$3,0,0,'Données projet'!$E$16+1,1))-AVERAGE(OFFSET($H$3,0,0,'Données projet'!$E$16+1,1))</f>
        <v>211.14768428403215</v>
      </c>
      <c r="FK58" s="59">
        <f t="shared" si="48"/>
        <v>350.7800157534798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50.620814441752493</v>
      </c>
      <c r="FR58" s="21">
        <f>EXP(-LN(2)/25)*FR57+(1-EXP(-LN(2)/25))/(LN(2)/25)*Calculateur!FM58*Calculateur!FO58*VLOOKUP('Données projet'!$B$16,Paramètres!$A$1:$I$89,3,0)*0.475*44/12</f>
        <v>10.757063013003135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61.377877454755627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48.921600000000055</v>
      </c>
      <c r="D59" s="11">
        <f t="shared" si="32"/>
        <v>14.334905731333885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488.29583371556026</v>
      </c>
      <c r="H59" s="66">
        <f t="shared" si="1"/>
        <v>403.50508081540659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6.6</v>
      </c>
      <c r="N59" s="13">
        <f>IF('Données projet'!$A$36&gt;35,N58+M59-V58,IF(A59&lt;'Données projet'!$A$36,$K$205^A59,IF(A59='Données projet'!$A$36,'Données projet'!$B$36,N58+M59-V58)))</f>
        <v>219.60000000000011</v>
      </c>
      <c r="O59" s="13">
        <f>N59*VLOOKUP('Données projet'!$B$9,Paramètres!$A$1:$I$89,3,0)*VLOOKUP('Données projet'!$B$9,Paramètres!$A$1:$I$89,5,0)</f>
        <v>191.84256000000011</v>
      </c>
      <c r="P59" s="13">
        <f t="shared" si="33"/>
        <v>47.947087613384845</v>
      </c>
      <c r="Q59" s="20">
        <f t="shared" si="53"/>
        <v>417.6336362599788</v>
      </c>
      <c r="R59" s="59">
        <f t="shared" si="0"/>
        <v>710.96696959331211</v>
      </c>
      <c r="S59" s="59">
        <f ca="1">AVERAGE(OFFSET($R$3,0,0,'Données projet'!$E$9+1,1))-AVERAGE(OFFSET($H$3,0,0,'Données projet'!$E$9+1,1))</f>
        <v>252.49539407921907</v>
      </c>
      <c r="T59" s="59">
        <f t="shared" si="34"/>
        <v>263.36387286233929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49.073836397872697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49.073836397872697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11.644999999999996</v>
      </c>
      <c r="AI59" s="13">
        <f>IF('Données projet'!$A$62&gt;35,AI58+AH59-AQ58,IF(A59&lt;'Données projet'!$A$62,$AF$205^A59,IF(A59='Données projet'!$A$62,'Données projet'!$B$62,AI58+AH59-AQ58)))</f>
        <v>231.0750000000001</v>
      </c>
      <c r="AJ59" s="13">
        <f>AI59*VLOOKUP('Données projet'!$B$10,Paramètres!$A$1:$I$89,3,0)*VLOOKUP('Données projet'!$B$10,Paramètres!$A$1:$I$89,5,0)</f>
        <v>209.07666000000006</v>
      </c>
      <c r="AK59" s="13">
        <f t="shared" si="35"/>
        <v>51.733760959596957</v>
      </c>
      <c r="AL59" s="20">
        <f t="shared" si="4"/>
        <v>454.24481650463144</v>
      </c>
      <c r="AM59" s="59">
        <f t="shared" si="5"/>
        <v>747.5781498379647</v>
      </c>
      <c r="AN59" s="59">
        <f ca="1">AVERAGE(OFFSET($AM$3,0,0,'Données projet'!$E$10+1,1))-AVERAGE(OFFSET($H$3,0,0,'Données projet'!$E$10+1,1))</f>
        <v>370.05613271587413</v>
      </c>
      <c r="AO59" s="59">
        <f t="shared" si="36"/>
        <v>183.24480056442525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81.888129849518734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81.888129849518734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11.644999999999996</v>
      </c>
      <c r="BD59" s="12">
        <f>IF('Données projet'!$A$88&gt;35,BD58+BC59-BL58,IF(A59&lt;'Données projet'!$A$88,$BA$205^A59,IF(A59='Données projet'!$A$88,'Données projet'!$B$88,BD58+BC59-BL58)))</f>
        <v>231.0750000000001</v>
      </c>
      <c r="BE59" s="13">
        <f>BD59*VLOOKUP('Données projet'!$B$11,Paramètres!$A$1:$I$89,3,0)*VLOOKUP('Données projet'!$B$11,Paramètres!$A$1:$I$89,5,0)</f>
        <v>234.31005000000013</v>
      </c>
      <c r="BF59" s="13">
        <f t="shared" si="37"/>
        <v>57.21360573376716</v>
      </c>
      <c r="BG59" s="20">
        <f t="shared" si="7"/>
        <v>507.73703373631133</v>
      </c>
      <c r="BH59" s="59">
        <f t="shared" si="8"/>
        <v>801.07036706964459</v>
      </c>
      <c r="BI59" s="59">
        <f ca="1">AVERAGE(OFFSET($BH$3,0,0,'Données projet'!$E$11+1,1))-AVERAGE(OFFSET($H$3,0,0,'Données projet'!$E$11+1,1))</f>
        <v>428.72181435671394</v>
      </c>
      <c r="BJ59" s="59">
        <f t="shared" si="38"/>
        <v>211.84936043087572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91.771180003770993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91.771180003770993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7.4</v>
      </c>
      <c r="BY59" s="12">
        <f>IF('Données projet'!$A$114&gt;35,BY58+BX59-CG58,IF(A59&lt;'Données projet'!$A$114,$BV$205^A59,IF(A59='Données projet'!$A$114,'Données projet'!$B$114,BY58+BX59-CG58)))</f>
        <v>313.39999999999981</v>
      </c>
      <c r="BZ59" s="13">
        <f>BY59*VLOOKUP('Données projet'!$B$12,Paramètres!$A$1:$I$89,3,0)*VLOOKUP('Données projet'!$B$12,Paramètres!$A$1:$I$89,5,0)</f>
        <v>249.34103999999988</v>
      </c>
      <c r="CA59" s="13">
        <f t="shared" si="39"/>
        <v>60.444812818312201</v>
      </c>
      <c r="CB59" s="20">
        <f t="shared" si="10"/>
        <v>539.54369365856019</v>
      </c>
      <c r="CC59" s="59">
        <f t="shared" si="11"/>
        <v>832.87702699189344</v>
      </c>
      <c r="CD59" s="59">
        <f ca="1">AVERAGE(OFFSET($CC$3,0,0,'Données projet'!$E$12+1,1))-AVERAGE(OFFSET($H$3,0,0,'Données projet'!$E$12+1,1))</f>
        <v>296.737543892524</v>
      </c>
      <c r="CE59" s="59">
        <f t="shared" si="40"/>
        <v>296.38358650317099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53.164132023990639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53.164132023990639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13</v>
      </c>
      <c r="CT59" s="12">
        <f>IF('Données projet'!$A$140&gt;35,CT58+CS59-DB58,IF(A59&lt;'Données projet'!$A$140,$CQ$205^A59,IF(A59='Données projet'!$A$140,'Données projet'!$B$140,CT58+CS59-DB58)))</f>
        <v>284.00000000000006</v>
      </c>
      <c r="CU59" s="17">
        <f>CT59*VLOOKUP('Données projet'!$B$13,Paramètres!$A$1:$I$89,3,0)*VLOOKUP('Données projet'!$B$13,Paramètres!$A$1:$I$89,5,0)</f>
        <v>243.67200000000008</v>
      </c>
      <c r="CV59" s="13">
        <f t="shared" si="41"/>
        <v>59.228879636606202</v>
      </c>
      <c r="CW59" s="20">
        <f t="shared" si="13"/>
        <v>527.55236536708924</v>
      </c>
      <c r="CX59" s="59">
        <f t="shared" si="14"/>
        <v>820.88569870042261</v>
      </c>
      <c r="CY59" s="59">
        <f ca="1">AVERAGE(OFFSET($CX$3,0,0,'Données projet'!$E$13+1,1))-AVERAGE(OFFSET($H$3,0,0,'Données projet'!$E$13+1,1))</f>
        <v>391.93999504334352</v>
      </c>
      <c r="CZ59" s="59">
        <f t="shared" si="42"/>
        <v>215.4484906985528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71.447692334508901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71.447692334508901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7.4</v>
      </c>
      <c r="DO59" s="12">
        <f>IF('Données projet'!$A$166&gt;35,DO58+DN59-DW58,IF(A59&lt;'Données projet'!$A$166,$DL$205^A59,IF(A59='Données projet'!$A$166,'Données projet'!$B$166,DO58+DN59-DW58)))</f>
        <v>313.39999999999981</v>
      </c>
      <c r="DP59" s="17">
        <f>DO59*VLOOKUP('Données projet'!$B$14,Paramètres!$A$1:$I$89,3,0)*VLOOKUP('Données projet'!$B$14,Paramètres!$A$1:$I$89,5,0)</f>
        <v>229.78487999999984</v>
      </c>
      <c r="DQ59" s="13">
        <f t="shared" si="43"/>
        <v>56.236165024777975</v>
      </c>
      <c r="DR59" s="20">
        <f t="shared" si="16"/>
        <v>498.15332008482136</v>
      </c>
      <c r="DS59" s="59">
        <f t="shared" si="17"/>
        <v>791.48665341815467</v>
      </c>
      <c r="DT59" s="59">
        <f ca="1">AVERAGE(OFFSET($DS$3,0,0,'Données projet'!$E$14+1,1))-AVERAGE(OFFSET($H$3,0,0,'Données projet'!$E$14+1,1))</f>
        <v>267.92147257573157</v>
      </c>
      <c r="DU59" s="59">
        <f t="shared" si="44"/>
        <v>269.06662611892438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39.750170484826135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39.750170484826135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0.8600000000003547</v>
      </c>
      <c r="EK59" s="17">
        <f>EJ59*VLOOKUP('Données projet'!$B$15,Paramètres!$A$1:$I$89,3,0)*VLOOKUP('Données projet'!$B$15,Paramètres!$A$1:$I$89,5,0)</f>
        <v>0.48074000000019829</v>
      </c>
      <c r="EL59" s="13">
        <f t="shared" si="45"/>
        <v>0.24126147010950588</v>
      </c>
      <c r="EM59" s="20">
        <f t="shared" si="19"/>
        <v>1.2574858937744013</v>
      </c>
      <c r="EN59" s="59">
        <f t="shared" si="20"/>
        <v>294.59081922710772</v>
      </c>
      <c r="EO59" s="59">
        <f ca="1">AVERAGE(OFFSET($EN$3,0,0,'Données projet'!$E$15+1,1))-AVERAGE(OFFSET($H$3,0,0,'Données projet'!$E$15+1,1))</f>
        <v>326.29985515186428</v>
      </c>
      <c r="EP59" s="59">
        <f t="shared" si="46"/>
        <v>437.68177084535927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364.49926282019442</v>
      </c>
      <c r="EW59" s="21">
        <f>EXP(-LN(2)/25)*EW58+(1-EXP(-LN(2)/25))/(LN(2)/25)*Calculateur!ER59*Calculateur!ET59*VLOOKUP('Données projet'!$B$15,Paramètres!$A$1:$I$89,3,0)*0.475*44/12</f>
        <v>24.594198730229522</v>
      </c>
      <c r="EX59" s="21">
        <f>EXP(-LN(2)/2)*EX58+(1-EXP(-LN(2)/2))/(LN(2)/2)*ER59*EU59*VLOOKUP('Données projet'!$B$15,Paramètres!$A$1:$I$89,3,0)*0.475*44/12</f>
        <v>9.032233020786281E-5</v>
      </c>
      <c r="EY59" s="22">
        <f t="shared" si="21"/>
        <v>389.09355187275418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1.7053025658242404E-13</v>
      </c>
      <c r="FF59" s="17">
        <f>FE59*VLOOKUP('Données projet'!$B$16,Paramètres!$A$1:$I$89,3,0)*VLOOKUP('Données projet'!$B$16,Paramètres!$A$1:$I$89,5,0)</f>
        <v>9.7631982498569413E-14</v>
      </c>
      <c r="FG59" s="13">
        <f t="shared" si="47"/>
        <v>1.4708068762530911E-12</v>
      </c>
      <c r="FH59" s="20">
        <f t="shared" si="22"/>
        <v>2.7316976789924749E-12</v>
      </c>
      <c r="FI59" s="59">
        <f t="shared" si="23"/>
        <v>293.33333333333604</v>
      </c>
      <c r="FJ59" s="59">
        <f ca="1">AVERAGE(OFFSET($FI$3,0,0,'Données projet'!$E$16+1,1))-AVERAGE(OFFSET($H$3,0,0,'Données projet'!$E$16+1,1))</f>
        <v>211.14768428403215</v>
      </c>
      <c r="FK59" s="59">
        <f t="shared" si="48"/>
        <v>350.7800157534798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49.628171146197822</v>
      </c>
      <c r="FR59" s="21">
        <f>EXP(-LN(2)/25)*FR58+(1-EXP(-LN(2)/25))/(LN(2)/25)*Calculateur!FM59*Calculateur!FO59*VLOOKUP('Données projet'!$B$16,Paramètres!$A$1:$I$89,3,0)*0.475*44/12</f>
        <v>10.462910559223205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60.091081705421026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49.795200000000058</v>
      </c>
      <c r="D60" s="11">
        <f t="shared" si="32"/>
        <v>14.560856542690793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496.78359436463114</v>
      </c>
      <c r="H60" s="66">
        <f t="shared" si="1"/>
        <v>405.4201318118532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6.6</v>
      </c>
      <c r="N60" s="13">
        <f>IF('Données projet'!$A$36&gt;35,N59+M60-V59,IF(A60&lt;'Données projet'!$A$36,$K$205^A60,IF(A60='Données projet'!$A$36,'Données projet'!$B$36,N59+M60-V59)))</f>
        <v>226.2000000000001</v>
      </c>
      <c r="O60" s="13">
        <f>N60*VLOOKUP('Données projet'!$B$9,Paramètres!$A$1:$I$89,3,0)*VLOOKUP('Données projet'!$B$9,Paramètres!$A$1:$I$89,5,0)</f>
        <v>197.60832000000011</v>
      </c>
      <c r="P60" s="13">
        <f t="shared" si="33"/>
        <v>49.218181392381403</v>
      </c>
      <c r="Q60" s="20">
        <f t="shared" si="53"/>
        <v>429.88948992506448</v>
      </c>
      <c r="R60" s="59">
        <f t="shared" si="0"/>
        <v>723.22282325839774</v>
      </c>
      <c r="S60" s="59">
        <f ca="1">AVERAGE(OFFSET($R$3,0,0,'Données projet'!$E$9+1,1))-AVERAGE(OFFSET($H$3,0,0,'Données projet'!$E$9+1,1))</f>
        <v>252.49539407921907</v>
      </c>
      <c r="T60" s="59">
        <f t="shared" si="34"/>
        <v>263.36387286233929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48.11152839819507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48.11152839819507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11.644999999999996</v>
      </c>
      <c r="AI60" s="13">
        <f>IF('Données projet'!$A$62&gt;35,AI59+AH60-AQ59,IF(A60&lt;'Données projet'!$A$62,$AF$205^A60,IF(A60='Données projet'!$A$62,'Données projet'!$B$62,AI59+AH60-AQ59)))</f>
        <v>242.72000000000008</v>
      </c>
      <c r="AJ60" s="13">
        <f>AI60*VLOOKUP('Données projet'!$B$10,Paramètres!$A$1:$I$89,3,0)*VLOOKUP('Données projet'!$B$10,Paramètres!$A$1:$I$89,5,0)</f>
        <v>219.61305600000006</v>
      </c>
      <c r="AK60" s="13">
        <f t="shared" si="35"/>
        <v>54.030776739498059</v>
      </c>
      <c r="AL60" s="20">
        <f t="shared" si="4"/>
        <v>476.59634202129263</v>
      </c>
      <c r="AM60" s="59">
        <f t="shared" si="5"/>
        <v>769.92967535462594</v>
      </c>
      <c r="AN60" s="59">
        <f ca="1">AVERAGE(OFFSET($AM$3,0,0,'Données projet'!$E$10+1,1))-AVERAGE(OFFSET($H$3,0,0,'Données projet'!$E$10+1,1))</f>
        <v>370.05613271587413</v>
      </c>
      <c r="AO60" s="59">
        <f t="shared" si="36"/>
        <v>183.24480056442525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80.282353569997042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80.282353569997042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11.644999999999996</v>
      </c>
      <c r="BD60" s="12">
        <f>IF('Données projet'!$A$88&gt;35,BD59+BC60-BL59,IF(A60&lt;'Données projet'!$A$88,$BA$205^A60,IF(A60='Données projet'!$A$88,'Données projet'!$B$88,BD59+BC60-BL59)))</f>
        <v>242.72000000000008</v>
      </c>
      <c r="BE60" s="13">
        <f>BD60*VLOOKUP('Données projet'!$B$11,Paramètres!$A$1:$I$89,3,0)*VLOOKUP('Données projet'!$B$11,Paramètres!$A$1:$I$89,5,0)</f>
        <v>246.11808000000011</v>
      </c>
      <c r="BF60" s="13">
        <f t="shared" si="37"/>
        <v>59.753930518932897</v>
      </c>
      <c r="BG60" s="20">
        <f t="shared" si="7"/>
        <v>532.72708498714167</v>
      </c>
      <c r="BH60" s="59">
        <f t="shared" si="8"/>
        <v>826.06041832047504</v>
      </c>
      <c r="BI60" s="59">
        <f ca="1">AVERAGE(OFFSET($BH$3,0,0,'Données projet'!$E$11+1,1))-AVERAGE(OFFSET($H$3,0,0,'Données projet'!$E$11+1,1))</f>
        <v>428.72181435671394</v>
      </c>
      <c r="BJ60" s="59">
        <f t="shared" si="38"/>
        <v>211.84936043087572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89.971603138789789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89.971603138789789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7.4</v>
      </c>
      <c r="BY60" s="12">
        <f>IF('Données projet'!$A$114&gt;35,BY59+BX60-CG59,IF(A60&lt;'Données projet'!$A$114,$BV$205^A60,IF(A60='Données projet'!$A$114,'Données projet'!$B$114,BY59+BX60-CG59)))</f>
        <v>320.79999999999978</v>
      </c>
      <c r="BZ60" s="13">
        <f>BY60*VLOOKUP('Données projet'!$B$12,Paramètres!$A$1:$I$89,3,0)*VLOOKUP('Données projet'!$B$12,Paramètres!$A$1:$I$89,5,0)</f>
        <v>255.22847999999985</v>
      </c>
      <c r="CA60" s="13">
        <f t="shared" si="39"/>
        <v>61.704188876103551</v>
      </c>
      <c r="CB60" s="20">
        <f t="shared" si="10"/>
        <v>551.99106495921342</v>
      </c>
      <c r="CC60" s="59">
        <f t="shared" si="11"/>
        <v>845.32439829254668</v>
      </c>
      <c r="CD60" s="59">
        <f ca="1">AVERAGE(OFFSET($CC$3,0,0,'Données projet'!$E$12+1,1))-AVERAGE(OFFSET($H$3,0,0,'Données projet'!$E$12+1,1))</f>
        <v>296.737543892524</v>
      </c>
      <c r="CE60" s="59">
        <f t="shared" si="40"/>
        <v>296.38358650317099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52.121615821918823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52.121615821918823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13</v>
      </c>
      <c r="CT60" s="12">
        <f>IF('Données projet'!$A$140&gt;35,CT59+CS60-DB59,IF(A60&lt;'Données projet'!$A$140,$CQ$205^A60,IF(A60='Données projet'!$A$140,'Données projet'!$B$140,CT59+CS60-DB59)))</f>
        <v>297.00000000000006</v>
      </c>
      <c r="CU60" s="17">
        <f>CT60*VLOOKUP('Données projet'!$B$13,Paramètres!$A$1:$I$89,3,0)*VLOOKUP('Données projet'!$B$13,Paramètres!$A$1:$I$89,5,0)</f>
        <v>254.82600000000008</v>
      </c>
      <c r="CV60" s="13">
        <f t="shared" si="41"/>
        <v>61.618203339594587</v>
      </c>
      <c r="CW60" s="20">
        <f t="shared" si="13"/>
        <v>551.14032081646064</v>
      </c>
      <c r="CX60" s="59">
        <f t="shared" si="14"/>
        <v>844.4736541497939</v>
      </c>
      <c r="CY60" s="59">
        <f ca="1">AVERAGE(OFFSET($CX$3,0,0,'Données projet'!$E$13+1,1))-AVERAGE(OFFSET($H$3,0,0,'Données projet'!$E$13+1,1))</f>
        <v>391.93999504334352</v>
      </c>
      <c r="CZ60" s="59">
        <f t="shared" si="42"/>
        <v>215.4484906985528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70.046646666618457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70.046646666618457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7.4</v>
      </c>
      <c r="DO60" s="12">
        <f>IF('Données projet'!$A$166&gt;35,DO59+DN60-DW59,IF(A60&lt;'Données projet'!$A$166,$DL$205^A60,IF(A60='Données projet'!$A$166,'Données projet'!$B$166,DO59+DN60-DW59)))</f>
        <v>320.79999999999978</v>
      </c>
      <c r="DP60" s="17">
        <f>DO60*VLOOKUP('Données projet'!$B$14,Paramètres!$A$1:$I$89,3,0)*VLOOKUP('Données projet'!$B$14,Paramètres!$A$1:$I$89,5,0)</f>
        <v>235.21055999999984</v>
      </c>
      <c r="DQ60" s="13">
        <f t="shared" si="43"/>
        <v>57.407853322119394</v>
      </c>
      <c r="DR60" s="20">
        <f t="shared" si="16"/>
        <v>509.64373653602433</v>
      </c>
      <c r="DS60" s="59">
        <f t="shared" si="17"/>
        <v>802.97706986935759</v>
      </c>
      <c r="DT60" s="59">
        <f ca="1">AVERAGE(OFFSET($DS$3,0,0,'Données projet'!$E$14+1,1))-AVERAGE(OFFSET($H$3,0,0,'Données projet'!$E$14+1,1))</f>
        <v>267.92147257573157</v>
      </c>
      <c r="DU60" s="59">
        <f t="shared" si="44"/>
        <v>269.06662611892438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38.970693886828677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38.970693886828677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0.8600000000003547</v>
      </c>
      <c r="EK60" s="17">
        <f>EJ60*VLOOKUP('Données projet'!$B$15,Paramètres!$A$1:$I$89,3,0)*VLOOKUP('Données projet'!$B$15,Paramètres!$A$1:$I$89,5,0)</f>
        <v>0.48074000000019829</v>
      </c>
      <c r="EL60" s="13">
        <f t="shared" si="45"/>
        <v>0.24126147010950588</v>
      </c>
      <c r="EM60" s="20">
        <f t="shared" si="19"/>
        <v>1.2574858937744013</v>
      </c>
      <c r="EN60" s="59">
        <f t="shared" si="20"/>
        <v>294.59081922710772</v>
      </c>
      <c r="EO60" s="59">
        <f ca="1">AVERAGE(OFFSET($EN$3,0,0,'Données projet'!$E$15+1,1))-AVERAGE(OFFSET($H$3,0,0,'Données projet'!$E$15+1,1))</f>
        <v>326.29985515186428</v>
      </c>
      <c r="EP60" s="59">
        <f t="shared" si="46"/>
        <v>437.68177084535927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357.35165459888822</v>
      </c>
      <c r="EW60" s="21">
        <f>EXP(-LN(2)/25)*EW59+(1-EXP(-LN(2)/25))/(LN(2)/25)*Calculateur!ER60*Calculateur!ET60*VLOOKUP('Données projet'!$B$15,Paramètres!$A$1:$I$89,3,0)*0.475*44/12</f>
        <v>23.921669072598696</v>
      </c>
      <c r="EX60" s="21">
        <f>EXP(-LN(2)/2)*EX59+(1-EXP(-LN(2)/2))/(LN(2)/2)*ER60*EU60*VLOOKUP('Données projet'!$B$15,Paramètres!$A$1:$I$89,3,0)*0.475*44/12</f>
        <v>6.3867532182550337E-5</v>
      </c>
      <c r="EY60" s="22">
        <f t="shared" si="21"/>
        <v>381.2733875390191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1.7053025658242404E-13</v>
      </c>
      <c r="FF60" s="17">
        <f>FE60*VLOOKUP('Données projet'!$B$16,Paramètres!$A$1:$I$89,3,0)*VLOOKUP('Données projet'!$B$16,Paramètres!$A$1:$I$89,5,0)</f>
        <v>9.7631982498569413E-14</v>
      </c>
      <c r="FG60" s="13">
        <f t="shared" si="47"/>
        <v>1.4708068762530911E-12</v>
      </c>
      <c r="FH60" s="20">
        <f t="shared" si="22"/>
        <v>2.7316976789924749E-12</v>
      </c>
      <c r="FI60" s="59">
        <f t="shared" si="23"/>
        <v>293.33333333333604</v>
      </c>
      <c r="FJ60" s="59">
        <f ca="1">AVERAGE(OFFSET($FI$3,0,0,'Données projet'!$E$16+1,1))-AVERAGE(OFFSET($H$3,0,0,'Données projet'!$E$16+1,1))</f>
        <v>211.14768428403215</v>
      </c>
      <c r="FK60" s="59">
        <f t="shared" si="48"/>
        <v>350.7800157534798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48.654992980216349</v>
      </c>
      <c r="FR60" s="21">
        <f>EXP(-LN(2)/25)*FR59+(1-EXP(-LN(2)/25))/(LN(2)/25)*Calculateur!FM60*Calculateur!FO60*VLOOKUP('Données projet'!$B$16,Paramètres!$A$1:$I$89,3,0)*0.475*44/12</f>
        <v>10.176801719760693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58.831794699977038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50.668800000000061</v>
      </c>
      <c r="D61" s="11">
        <f t="shared" si="32"/>
        <v>14.786346384516133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505.26779665240582</v>
      </c>
      <c r="H61" s="66">
        <f t="shared" si="1"/>
        <v>407.33437995303234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6.6</v>
      </c>
      <c r="N61" s="13">
        <f>IF('Données projet'!$A$36&gt;35,N60+M61-V60,IF(A61&lt;'Données projet'!$A$36,$K$205^A61,IF(A61='Données projet'!$A$36,'Données projet'!$B$36,N60+M61-V60)))</f>
        <v>232.8000000000001</v>
      </c>
      <c r="O61" s="13">
        <f>N61*VLOOKUP('Données projet'!$B$9,Paramètres!$A$1:$I$89,3,0)*VLOOKUP('Données projet'!$B$9,Paramètres!$A$1:$I$89,5,0)</f>
        <v>203.37408000000013</v>
      </c>
      <c r="P61" s="13">
        <f t="shared" si="33"/>
        <v>50.484964849140624</v>
      </c>
      <c r="Q61" s="20">
        <f t="shared" si="53"/>
        <v>442.1378364455868</v>
      </c>
      <c r="R61" s="59">
        <f t="shared" si="0"/>
        <v>735.47116977892006</v>
      </c>
      <c r="S61" s="59">
        <f ca="1">AVERAGE(OFFSET($R$3,0,0,'Données projet'!$E$9+1,1))-AVERAGE(OFFSET($H$3,0,0,'Données projet'!$E$9+1,1))</f>
        <v>252.49539407921907</v>
      </c>
      <c r="T61" s="59">
        <f t="shared" si="34"/>
        <v>263.36387286233929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47.168090671441199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47.168090671441199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11.644999999999996</v>
      </c>
      <c r="AI61" s="13">
        <f>IF('Données projet'!$A$62&gt;35,AI60+AH61-AQ60,IF(A61&lt;'Données projet'!$A$62,$AF$205^A61,IF(A61='Données projet'!$A$62,'Données projet'!$B$62,AI60+AH61-AQ60)))</f>
        <v>254.36500000000007</v>
      </c>
      <c r="AJ61" s="13">
        <f>AI61*VLOOKUP('Données projet'!$B$10,Paramètres!$A$1:$I$89,3,0)*VLOOKUP('Données projet'!$B$10,Paramètres!$A$1:$I$89,5,0)</f>
        <v>230.14945200000005</v>
      </c>
      <c r="AK61" s="13">
        <f t="shared" si="35"/>
        <v>56.314995325940238</v>
      </c>
      <c r="AL61" s="20">
        <f t="shared" si="4"/>
        <v>498.9255790926793</v>
      </c>
      <c r="AM61" s="59">
        <f t="shared" si="5"/>
        <v>792.25891242601256</v>
      </c>
      <c r="AN61" s="59">
        <f ca="1">AVERAGE(OFFSET($AM$3,0,0,'Données projet'!$E$10+1,1))-AVERAGE(OFFSET($H$3,0,0,'Données projet'!$E$10+1,1))</f>
        <v>370.05613271587413</v>
      </c>
      <c r="AO61" s="59">
        <f t="shared" si="36"/>
        <v>183.24480056442525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78.708065583889947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78.708065583889947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11.644999999999996</v>
      </c>
      <c r="BD61" s="12">
        <f>IF('Données projet'!$A$88&gt;35,BD60+BC61-BL60,IF(A61&lt;'Données projet'!$A$88,$BA$205^A61,IF(A61='Données projet'!$A$88,'Données projet'!$B$88,BD60+BC61-BL60)))</f>
        <v>254.36500000000007</v>
      </c>
      <c r="BE61" s="13">
        <f>BD61*VLOOKUP('Données projet'!$B$11,Paramètres!$A$1:$I$89,3,0)*VLOOKUP('Données projet'!$B$11,Paramètres!$A$1:$I$89,5,0)</f>
        <v>257.92611000000005</v>
      </c>
      <c r="BF61" s="13">
        <f t="shared" si="37"/>
        <v>62.280102581244591</v>
      </c>
      <c r="BG61" s="20">
        <f t="shared" si="7"/>
        <v>557.6924869123344</v>
      </c>
      <c r="BH61" s="59">
        <f t="shared" si="8"/>
        <v>851.02582024566777</v>
      </c>
      <c r="BI61" s="59">
        <f ca="1">AVERAGE(OFFSET($BH$3,0,0,'Données projet'!$E$11+1,1))-AVERAGE(OFFSET($H$3,0,0,'Données projet'!$E$11+1,1))</f>
        <v>428.72181435671394</v>
      </c>
      <c r="BJ61" s="59">
        <f t="shared" si="38"/>
        <v>211.84936043087572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88.207314878497357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88.207314878497357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7.4</v>
      </c>
      <c r="BY61" s="12">
        <f>IF('Données projet'!$A$114&gt;35,BY60+BX61-CG60,IF(A61&lt;'Données projet'!$A$114,$BV$205^A61,IF(A61='Données projet'!$A$114,'Données projet'!$B$114,BY60+BX61-CG60)))</f>
        <v>328.19999999999976</v>
      </c>
      <c r="BZ61" s="13">
        <f>BY61*VLOOKUP('Données projet'!$B$12,Paramètres!$A$1:$I$89,3,0)*VLOOKUP('Données projet'!$B$12,Paramètres!$A$1:$I$89,5,0)</f>
        <v>261.11591999999985</v>
      </c>
      <c r="CA61" s="13">
        <f t="shared" si="39"/>
        <v>62.960187681145797</v>
      </c>
      <c r="CB61" s="20">
        <f t="shared" si="10"/>
        <v>564.43255421132858</v>
      </c>
      <c r="CC61" s="59">
        <f t="shared" si="11"/>
        <v>857.76588754466184</v>
      </c>
      <c r="CD61" s="59">
        <f ca="1">AVERAGE(OFFSET($CC$3,0,0,'Données projet'!$E$12+1,1))-AVERAGE(OFFSET($H$3,0,0,'Données projet'!$E$12+1,1))</f>
        <v>296.737543892524</v>
      </c>
      <c r="CE61" s="59">
        <f t="shared" si="40"/>
        <v>296.38358650317099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51.099542726697543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51.099542726697543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13</v>
      </c>
      <c r="CT61" s="12">
        <f>IF('Données projet'!$A$140&gt;35,CT60+CS61-DB60,IF(A61&lt;'Données projet'!$A$140,$CQ$205^A61,IF(A61='Données projet'!$A$140,'Données projet'!$B$140,CT60+CS61-DB60)))</f>
        <v>310.00000000000006</v>
      </c>
      <c r="CU61" s="17">
        <f>CT61*VLOOKUP('Données projet'!$B$13,Paramètres!$A$1:$I$89,3,0)*VLOOKUP('Données projet'!$B$13,Paramètres!$A$1:$I$89,5,0)</f>
        <v>265.98000000000008</v>
      </c>
      <c r="CV61" s="13">
        <f t="shared" si="41"/>
        <v>63.995380422211646</v>
      </c>
      <c r="CW61" s="20">
        <f t="shared" si="13"/>
        <v>574.7071209020188</v>
      </c>
      <c r="CX61" s="59">
        <f t="shared" si="14"/>
        <v>868.04045423535217</v>
      </c>
      <c r="CY61" s="59">
        <f ca="1">AVERAGE(OFFSET($CX$3,0,0,'Données projet'!$E$13+1,1))-AVERAGE(OFFSET($H$3,0,0,'Données projet'!$E$13+1,1))</f>
        <v>391.93999504334352</v>
      </c>
      <c r="CZ61" s="59">
        <f t="shared" si="42"/>
        <v>215.4484906985528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68.673074649721869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68.673074649721869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7.4</v>
      </c>
      <c r="DO61" s="12">
        <f>IF('Données projet'!$A$166&gt;35,DO60+DN61-DW60,IF(A61&lt;'Données projet'!$A$166,$DL$205^A61,IF(A61='Données projet'!$A$166,'Données projet'!$B$166,DO60+DN61-DW60)))</f>
        <v>328.19999999999976</v>
      </c>
      <c r="DP61" s="17">
        <f>DO61*VLOOKUP('Données projet'!$B$14,Paramètres!$A$1:$I$89,3,0)*VLOOKUP('Données projet'!$B$14,Paramètres!$A$1:$I$89,5,0)</f>
        <v>240.63623999999982</v>
      </c>
      <c r="DQ61" s="13">
        <f t="shared" si="43"/>
        <v>58.576399517863109</v>
      </c>
      <c r="DR61" s="20">
        <f t="shared" si="16"/>
        <v>521.12868049361134</v>
      </c>
      <c r="DS61" s="59">
        <f t="shared" si="17"/>
        <v>814.46201382694471</v>
      </c>
      <c r="DT61" s="59">
        <f ca="1">AVERAGE(OFFSET($DS$3,0,0,'Données projet'!$E$14+1,1))-AVERAGE(OFFSET($H$3,0,0,'Données projet'!$E$14+1,1))</f>
        <v>267.92147257573157</v>
      </c>
      <c r="DU61" s="59">
        <f t="shared" si="44"/>
        <v>269.06662611892438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38.206502349484168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38.206502349484168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0.8600000000003547</v>
      </c>
      <c r="EK61" s="17">
        <f>EJ61*VLOOKUP('Données projet'!$B$15,Paramètres!$A$1:$I$89,3,0)*VLOOKUP('Données projet'!$B$15,Paramètres!$A$1:$I$89,5,0)</f>
        <v>0.48074000000019829</v>
      </c>
      <c r="EL61" s="13">
        <f t="shared" si="45"/>
        <v>0.24126147010950588</v>
      </c>
      <c r="EM61" s="20">
        <f t="shared" si="19"/>
        <v>1.2574858937744013</v>
      </c>
      <c r="EN61" s="59">
        <f t="shared" si="20"/>
        <v>294.59081922710772</v>
      </c>
      <c r="EO61" s="59">
        <f ca="1">AVERAGE(OFFSET($EN$3,0,0,'Données projet'!$E$15+1,1))-AVERAGE(OFFSET($H$3,0,0,'Données projet'!$E$15+1,1))</f>
        <v>326.29985515186428</v>
      </c>
      <c r="EP61" s="59">
        <f t="shared" si="46"/>
        <v>437.68177084535927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350.34420661519124</v>
      </c>
      <c r="EW61" s="21">
        <f>EXP(-LN(2)/25)*EW60+(1-EXP(-LN(2)/25))/(LN(2)/25)*Calculateur!ER61*Calculateur!ET61*VLOOKUP('Données projet'!$B$15,Paramètres!$A$1:$I$89,3,0)*0.475*44/12</f>
        <v>23.267529773822581</v>
      </c>
      <c r="EX61" s="21">
        <f>EXP(-LN(2)/2)*EX60+(1-EXP(-LN(2)/2))/(LN(2)/2)*ER61*EU61*VLOOKUP('Données projet'!$B$15,Paramètres!$A$1:$I$89,3,0)*0.475*44/12</f>
        <v>4.5161165103931405E-5</v>
      </c>
      <c r="EY61" s="22">
        <f t="shared" si="21"/>
        <v>373.61178155017888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1.7053025658242404E-13</v>
      </c>
      <c r="FF61" s="17">
        <f>FE61*VLOOKUP('Données projet'!$B$16,Paramètres!$A$1:$I$89,3,0)*VLOOKUP('Données projet'!$B$16,Paramètres!$A$1:$I$89,5,0)</f>
        <v>9.7631982498569413E-14</v>
      </c>
      <c r="FG61" s="13">
        <f t="shared" si="47"/>
        <v>1.4708068762530911E-12</v>
      </c>
      <c r="FH61" s="20">
        <f t="shared" si="22"/>
        <v>2.7316976789924749E-12</v>
      </c>
      <c r="FI61" s="59">
        <f t="shared" si="23"/>
        <v>293.33333333333604</v>
      </c>
      <c r="FJ61" s="59">
        <f ca="1">AVERAGE(OFFSET($FI$3,0,0,'Données projet'!$E$16+1,1))-AVERAGE(OFFSET($H$3,0,0,'Données projet'!$E$16+1,1))</f>
        <v>211.14768428403215</v>
      </c>
      <c r="FK61" s="59">
        <f t="shared" si="48"/>
        <v>350.7800157534798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47.7008982444897</v>
      </c>
      <c r="FR61" s="21">
        <f>EXP(-LN(2)/25)*FR60+(1-EXP(-LN(2)/25))/(LN(2)/25)*Calculateur!FM61*Calculateur!FO61*VLOOKUP('Données projet'!$B$16,Paramètres!$A$1:$I$89,3,0)*0.475*44/12</f>
        <v>9.8985165415590934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57.599414786048797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51.542400000000065</v>
      </c>
      <c r="D62" s="11">
        <f t="shared" si="32"/>
        <v>15.011384121666367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513.74850900935496</v>
      </c>
      <c r="H62" s="66">
        <f t="shared" si="1"/>
        <v>409.24784067856899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6.6</v>
      </c>
      <c r="N62" s="13">
        <f>IF('Données projet'!$A$36&gt;35,N61+M62-V61,IF(A62&lt;'Données projet'!$A$36,$K$205^A62,IF(A62='Données projet'!$A$36,'Données projet'!$B$36,N61+M62-V61)))</f>
        <v>239.40000000000009</v>
      </c>
      <c r="O62" s="13">
        <f>N62*VLOOKUP('Données projet'!$B$9,Paramètres!$A$1:$I$89,3,0)*VLOOKUP('Données projet'!$B$9,Paramètres!$A$1:$I$89,5,0)</f>
        <v>209.13984000000008</v>
      </c>
      <c r="P62" s="13">
        <f t="shared" si="33"/>
        <v>51.747574219710266</v>
      </c>
      <c r="Q62" s="20">
        <f t="shared" si="53"/>
        <v>454.37891309932888</v>
      </c>
      <c r="R62" s="59">
        <f t="shared" si="0"/>
        <v>747.71224643266214</v>
      </c>
      <c r="S62" s="59">
        <f ca="1">AVERAGE(OFFSET($R$3,0,0,'Données projet'!$E$9+1,1))-AVERAGE(OFFSET($H$3,0,0,'Données projet'!$E$9+1,1))</f>
        <v>252.49539407921907</v>
      </c>
      <c r="T62" s="59">
        <f t="shared" si="34"/>
        <v>263.36387286233929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46.243153183068777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46.243153183068777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11.644999999999996</v>
      </c>
      <c r="AI62" s="13">
        <f>IF('Données projet'!$A$62&gt;35,AI61+AH62-AQ61,IF(A62&lt;'Données projet'!$A$62,$AF$205^A62,IF(A62='Données projet'!$A$62,'Données projet'!$B$62,AI61+AH62-AQ61)))</f>
        <v>266.01000000000005</v>
      </c>
      <c r="AJ62" s="13">
        <f>AI62*VLOOKUP('Données projet'!$B$10,Paramètres!$A$1:$I$89,3,0)*VLOOKUP('Données projet'!$B$10,Paramètres!$A$1:$I$89,5,0)</f>
        <v>240.68584800000005</v>
      </c>
      <c r="AK62" s="13">
        <f t="shared" si="35"/>
        <v>58.587069504016014</v>
      </c>
      <c r="AL62" s="20">
        <f t="shared" si="4"/>
        <v>521.23366465282788</v>
      </c>
      <c r="AM62" s="59">
        <f t="shared" si="5"/>
        <v>814.56699798616114</v>
      </c>
      <c r="AN62" s="59">
        <f ca="1">AVERAGE(OFFSET($AM$3,0,0,'Données projet'!$E$10+1,1))-AVERAGE(OFFSET($H$3,0,0,'Données projet'!$E$10+1,1))</f>
        <v>370.05613271587413</v>
      </c>
      <c r="AO62" s="59">
        <f t="shared" si="36"/>
        <v>183.24480056442525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77.164648424969556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77.164648424969556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11.644999999999996</v>
      </c>
      <c r="BD62" s="12">
        <f>IF('Données projet'!$A$88&gt;35,BD61+BC62-BL61,IF(A62&lt;'Données projet'!$A$88,$BA$205^A62,IF(A62='Données projet'!$A$88,'Données projet'!$B$88,BD61+BC62-BL61)))</f>
        <v>266.01000000000005</v>
      </c>
      <c r="BE62" s="13">
        <f>BD62*VLOOKUP('Données projet'!$B$11,Paramètres!$A$1:$I$89,3,0)*VLOOKUP('Données projet'!$B$11,Paramètres!$A$1:$I$89,5,0)</f>
        <v>269.73414000000008</v>
      </c>
      <c r="BF62" s="13">
        <f t="shared" si="37"/>
        <v>64.792843851376162</v>
      </c>
      <c r="BG62" s="20">
        <f t="shared" si="7"/>
        <v>582.63449687448031</v>
      </c>
      <c r="BH62" s="59">
        <f t="shared" si="8"/>
        <v>875.96783020781368</v>
      </c>
      <c r="BI62" s="59">
        <f ca="1">AVERAGE(OFFSET($BH$3,0,0,'Données projet'!$E$11+1,1))-AVERAGE(OFFSET($H$3,0,0,'Données projet'!$E$11+1,1))</f>
        <v>428.72181435671394</v>
      </c>
      <c r="BJ62" s="59">
        <f t="shared" si="38"/>
        <v>211.84936043087572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86.477623234879673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86.477623234879673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7.4</v>
      </c>
      <c r="BY62" s="12">
        <f>IF('Données projet'!$A$114&gt;35,BY61+BX62-CG61,IF(A62&lt;'Données projet'!$A$114,$BV$205^A62,IF(A62='Données projet'!$A$114,'Données projet'!$B$114,BY61+BX62-CG61)))</f>
        <v>335.59999999999974</v>
      </c>
      <c r="BZ62" s="13">
        <f>BY62*VLOOKUP('Données projet'!$B$12,Paramètres!$A$1:$I$89,3,0)*VLOOKUP('Données projet'!$B$12,Paramètres!$A$1:$I$89,5,0)</f>
        <v>267.00335999999982</v>
      </c>
      <c r="CA62" s="13">
        <f t="shared" si="39"/>
        <v>64.212894147794728</v>
      </c>
      <c r="CB62" s="20">
        <f t="shared" si="10"/>
        <v>576.86830930740882</v>
      </c>
      <c r="CC62" s="59">
        <f t="shared" si="11"/>
        <v>870.20164264074219</v>
      </c>
      <c r="CD62" s="59">
        <f ca="1">AVERAGE(OFFSET($CC$3,0,0,'Données projet'!$E$12+1,1))-AVERAGE(OFFSET($H$3,0,0,'Données projet'!$E$12+1,1))</f>
        <v>296.737543892524</v>
      </c>
      <c r="CE62" s="59">
        <f t="shared" si="40"/>
        <v>296.38358650317099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50.097511861470515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50.097511861470515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13</v>
      </c>
      <c r="CT62" s="12">
        <f>IF('Données projet'!$A$140&gt;35,CT61+CS62-DB61,IF(A62&lt;'Données projet'!$A$140,$CQ$205^A62,IF(A62='Données projet'!$A$140,'Données projet'!$B$140,CT61+CS62-DB61)))</f>
        <v>323.00000000000006</v>
      </c>
      <c r="CU62" s="17">
        <f>CT62*VLOOKUP('Données projet'!$B$13,Paramètres!$A$1:$I$89,3,0)*VLOOKUP('Données projet'!$B$13,Paramètres!$A$1:$I$89,5,0)</f>
        <v>277.13400000000007</v>
      </c>
      <c r="CV62" s="13">
        <f t="shared" si="41"/>
        <v>66.360978503745613</v>
      </c>
      <c r="CW62" s="20">
        <f t="shared" si="13"/>
        <v>598.25375422735704</v>
      </c>
      <c r="CX62" s="59">
        <f t="shared" si="14"/>
        <v>891.58708756069041</v>
      </c>
      <c r="CY62" s="59">
        <f ca="1">AVERAGE(OFFSET($CX$3,0,0,'Données projet'!$E$13+1,1))-AVERAGE(OFFSET($H$3,0,0,'Données projet'!$E$13+1,1))</f>
        <v>391.93999504334352</v>
      </c>
      <c r="CZ62" s="59">
        <f t="shared" si="42"/>
        <v>215.4484906985528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67.326437542280416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67.326437542280416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7.4</v>
      </c>
      <c r="DO62" s="12">
        <f>IF('Données projet'!$A$166&gt;35,DO61+DN62-DW61,IF(A62&lt;'Données projet'!$A$166,$DL$205^A62,IF(A62='Données projet'!$A$166,'Données projet'!$B$166,DO61+DN62-DW61)))</f>
        <v>335.59999999999974</v>
      </c>
      <c r="DP62" s="17">
        <f>DO62*VLOOKUP('Données projet'!$B$14,Paramètres!$A$1:$I$89,3,0)*VLOOKUP('Données projet'!$B$14,Paramètres!$A$1:$I$89,5,0)</f>
        <v>246.06191999999979</v>
      </c>
      <c r="DQ62" s="13">
        <f t="shared" si="43"/>
        <v>59.741882613953308</v>
      </c>
      <c r="DR62" s="20">
        <f t="shared" si="16"/>
        <v>532.60828955263503</v>
      </c>
      <c r="DS62" s="59">
        <f t="shared" si="17"/>
        <v>825.9416228859684</v>
      </c>
      <c r="DT62" s="59">
        <f ca="1">AVERAGE(OFFSET($DS$3,0,0,'Données projet'!$E$14+1,1))-AVERAGE(OFFSET($H$3,0,0,'Données projet'!$E$14+1,1))</f>
        <v>267.92147257573157</v>
      </c>
      <c r="DU62" s="59">
        <f t="shared" si="44"/>
        <v>269.06662611892438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37.457296142076174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37.457296142076174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0.8600000000003547</v>
      </c>
      <c r="EK62" s="17">
        <f>EJ62*VLOOKUP('Données projet'!$B$15,Paramètres!$A$1:$I$89,3,0)*VLOOKUP('Données projet'!$B$15,Paramètres!$A$1:$I$89,5,0)</f>
        <v>0.48074000000019829</v>
      </c>
      <c r="EL62" s="13">
        <f t="shared" si="45"/>
        <v>0.24126147010950588</v>
      </c>
      <c r="EM62" s="20">
        <f t="shared" si="19"/>
        <v>1.2574858937744013</v>
      </c>
      <c r="EN62" s="59">
        <f t="shared" si="20"/>
        <v>294.59081922710772</v>
      </c>
      <c r="EO62" s="59">
        <f ca="1">AVERAGE(OFFSET($EN$3,0,0,'Données projet'!$E$15+1,1))-AVERAGE(OFFSET($H$3,0,0,'Données projet'!$E$15+1,1))</f>
        <v>326.29985515186428</v>
      </c>
      <c r="EP62" s="59">
        <f t="shared" si="46"/>
        <v>437.68177084535927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343.47417041233336</v>
      </c>
      <c r="EW62" s="21">
        <f>EXP(-LN(2)/25)*EW61+(1-EXP(-LN(2)/25))/(LN(2)/25)*Calculateur!ER62*Calculateur!ET62*VLOOKUP('Données projet'!$B$15,Paramètres!$A$1:$I$89,3,0)*0.475*44/12</f>
        <v>22.631277948571189</v>
      </c>
      <c r="EX62" s="21">
        <f>EXP(-LN(2)/2)*EX61+(1-EXP(-LN(2)/2))/(LN(2)/2)*ER62*EU62*VLOOKUP('Données projet'!$B$15,Paramètres!$A$1:$I$89,3,0)*0.475*44/12</f>
        <v>3.1933766091275169E-5</v>
      </c>
      <c r="EY62" s="22">
        <f t="shared" si="21"/>
        <v>366.10548029467066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1.7053025658242404E-13</v>
      </c>
      <c r="FF62" s="17">
        <f>FE62*VLOOKUP('Données projet'!$B$16,Paramètres!$A$1:$I$89,3,0)*VLOOKUP('Données projet'!$B$16,Paramètres!$A$1:$I$89,5,0)</f>
        <v>9.7631982498569413E-14</v>
      </c>
      <c r="FG62" s="13">
        <f t="shared" si="47"/>
        <v>1.4708068762530911E-12</v>
      </c>
      <c r="FH62" s="20">
        <f t="shared" si="22"/>
        <v>2.7316976789924749E-12</v>
      </c>
      <c r="FI62" s="59">
        <f t="shared" si="23"/>
        <v>293.33333333333604</v>
      </c>
      <c r="FJ62" s="59">
        <f ca="1">AVERAGE(OFFSET($FI$3,0,0,'Données projet'!$E$16+1,1))-AVERAGE(OFFSET($H$3,0,0,'Données projet'!$E$16+1,1))</f>
        <v>211.14768428403215</v>
      </c>
      <c r="FK62" s="59">
        <f t="shared" si="48"/>
        <v>350.7800157534798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46.765512724590323</v>
      </c>
      <c r="FR62" s="21">
        <f>EXP(-LN(2)/25)*FR61+(1-EXP(-LN(2)/25))/(LN(2)/25)*Calculateur!FM62*Calculateur!FO62*VLOOKUP('Données projet'!$B$16,Paramètres!$A$1:$I$89,3,0)*0.475*44/12</f>
        <v>9.6278410861897985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56.39335381078012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52.416000000000068</v>
      </c>
      <c r="D63" s="11">
        <f t="shared" si="32"/>
        <v>15.235978301273043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522.22579741333629</v>
      </c>
      <c r="H63" s="66">
        <f t="shared" si="1"/>
        <v>411.16052887471733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246</v>
      </c>
      <c r="L63" s="12">
        <f>VLOOKUP(A63,'Données projet'!$A$35:$I$55,9,0)</f>
        <v>6.6</v>
      </c>
      <c r="M63" s="12">
        <f t="array" ref="M63">INDEX(L:L,MIN(IF(ISNUMBER(L63:L259),ROW(L63:L259),"")))</f>
        <v>6.6</v>
      </c>
      <c r="N63" s="13">
        <f>IF('Données projet'!$A$36&gt;35,N62+M63-V62,IF(A63&lt;'Données projet'!$A$36,$K$205^A63,IF(A63='Données projet'!$A$36,'Données projet'!$B$36,N62+M63-V62)))</f>
        <v>246.00000000000009</v>
      </c>
      <c r="O63" s="13">
        <f>N63*VLOOKUP('Données projet'!$B$9,Paramètres!$A$1:$I$89,3,0)*VLOOKUP('Données projet'!$B$9,Paramètres!$A$1:$I$89,5,0)</f>
        <v>214.90560000000008</v>
      </c>
      <c r="P63" s="13">
        <f t="shared" si="33"/>
        <v>53.006137800892326</v>
      </c>
      <c r="Q63" s="20">
        <f t="shared" si="53"/>
        <v>466.61294333655428</v>
      </c>
      <c r="R63" s="59">
        <f t="shared" si="0"/>
        <v>759.94627666988754</v>
      </c>
      <c r="S63" s="59">
        <f ca="1">AVERAGE(OFFSET($R$3,0,0,'Données projet'!$E$9+1,1))-AVERAGE(OFFSET($H$3,0,0,'Données projet'!$E$9+1,1))</f>
        <v>252.49539407921907</v>
      </c>
      <c r="T63" s="59">
        <f t="shared" si="34"/>
        <v>263.36387286233929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24</v>
      </c>
      <c r="W63" s="16">
        <f>IF(ISNA(VLOOKUP(A63,'Données projet'!$A$35:$I$55,5,0)),0%,VLOOKUP(A63,'Données projet'!$A$35:$I$55,5,0)*VLOOKUP('Données projet'!$B$9,Paramètres!$A$1:$I$89,7,0))</f>
        <v>0.43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55.302778845826225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55.302778845826225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11.644999999999996</v>
      </c>
      <c r="AI63" s="13">
        <f>IF('Données projet'!$A$62&gt;35,AI62+AH63-AQ62,IF(A63&lt;'Données projet'!$A$62,$AF$205^A63,IF(A63='Données projet'!$A$62,'Données projet'!$B$62,AI62+AH63-AQ62)))</f>
        <v>277.65500000000003</v>
      </c>
      <c r="AJ63" s="13">
        <f>AI63*VLOOKUP('Données projet'!$B$10,Paramètres!$A$1:$I$89,3,0)*VLOOKUP('Données projet'!$B$10,Paramètres!$A$1:$I$89,5,0)</f>
        <v>251.22224400000005</v>
      </c>
      <c r="AK63" s="13">
        <f t="shared" si="35"/>
        <v>60.847591673657284</v>
      </c>
      <c r="AL63" s="20">
        <f t="shared" si="4"/>
        <v>543.52163046495309</v>
      </c>
      <c r="AM63" s="59">
        <f t="shared" si="5"/>
        <v>836.85496379828646</v>
      </c>
      <c r="AN63" s="59">
        <f ca="1">AVERAGE(OFFSET($AM$3,0,0,'Données projet'!$E$10+1,1))-AVERAGE(OFFSET($H$3,0,0,'Données projet'!$E$10+1,1))</f>
        <v>370.05613271587413</v>
      </c>
      <c r="AO63" s="59">
        <f t="shared" si="36"/>
        <v>183.24480056442525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75.651496735144079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75.651496735144079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11.644999999999996</v>
      </c>
      <c r="BD63" s="12">
        <f>IF('Données projet'!$A$88&gt;35,BD62+BC63-BL62,IF(A63&lt;'Données projet'!$A$88,$BA$205^A63,IF(A63='Données projet'!$A$88,'Données projet'!$B$88,BD62+BC63-BL62)))</f>
        <v>277.65500000000003</v>
      </c>
      <c r="BE63" s="13">
        <f>BD63*VLOOKUP('Données projet'!$B$11,Paramètres!$A$1:$I$89,3,0)*VLOOKUP('Données projet'!$B$11,Paramètres!$A$1:$I$89,5,0)</f>
        <v>281.54217000000006</v>
      </c>
      <c r="BF63" s="13">
        <f t="shared" si="37"/>
        <v>67.292809478605577</v>
      </c>
      <c r="BG63" s="20">
        <f t="shared" si="7"/>
        <v>607.55425592523807</v>
      </c>
      <c r="BH63" s="59">
        <f t="shared" si="8"/>
        <v>900.88758925857132</v>
      </c>
      <c r="BI63" s="59">
        <f ca="1">AVERAGE(OFFSET($BH$3,0,0,'Données projet'!$E$11+1,1))-AVERAGE(OFFSET($H$3,0,0,'Données projet'!$E$11+1,1))</f>
        <v>428.72181435671394</v>
      </c>
      <c r="BJ63" s="59">
        <f t="shared" si="38"/>
        <v>211.84936043087572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84.781849789385603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84.781849789385603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343</v>
      </c>
      <c r="BW63" s="12">
        <f>VLOOKUP(A63,'Données projet'!$A$113:$I$133,9,0)</f>
        <v>7.4</v>
      </c>
      <c r="BX63" s="12">
        <f t="array" ref="BX63">INDEX(BW:BW,MIN(IF(ISNUMBER(BW63:BW259),ROW(BW63:BW259),"")))</f>
        <v>7.4</v>
      </c>
      <c r="BY63" s="12">
        <f>IF('Données projet'!$A$114&gt;35,BY62+BX63-CG62,IF(A63&lt;'Données projet'!$A$114,$BV$205^A63,IF(A63='Données projet'!$A$114,'Données projet'!$B$114,BY62+BX63-CG62)))</f>
        <v>342.99999999999972</v>
      </c>
      <c r="BZ63" s="13">
        <f>BY63*VLOOKUP('Données projet'!$B$12,Paramètres!$A$1:$I$89,3,0)*VLOOKUP('Données projet'!$B$12,Paramètres!$A$1:$I$89,5,0)</f>
        <v>272.89079999999979</v>
      </c>
      <c r="CA63" s="13">
        <f t="shared" si="39"/>
        <v>65.462389231846373</v>
      </c>
      <c r="CB63" s="20">
        <f t="shared" si="10"/>
        <v>589.29847124546529</v>
      </c>
      <c r="CC63" s="59">
        <f t="shared" si="11"/>
        <v>882.63180457879866</v>
      </c>
      <c r="CD63" s="59">
        <f ca="1">AVERAGE(OFFSET($CC$3,0,0,'Données projet'!$E$12+1,1))-AVERAGE(OFFSET($H$3,0,0,'Données projet'!$E$12+1,1))</f>
        <v>296.737543892524</v>
      </c>
      <c r="CE63" s="59">
        <f t="shared" si="40"/>
        <v>296.38358650317099</v>
      </c>
      <c r="CF63" s="15">
        <f>IF(ISNA(VLOOKUP(A63,'Données projet'!$A$113:$I$133,3,0)),0,VLOOKUP(A63,'Données projet'!$A$113:$I$133,3,0))</f>
        <v>11</v>
      </c>
      <c r="CG63" s="15">
        <f>IF(ISNA(VLOOKUP(A63,'Données projet'!$A$113:$I$133,4,0)),0,VLOOKUP(A63,'Données projet'!$A$113:$I$133,4,0))</f>
        <v>17</v>
      </c>
      <c r="CH63" s="16">
        <f>IF(ISNA(VLOOKUP(A63,'Données projet'!$A$113:$I$133,5,0)),0%,VLOOKUP(A63,'Données projet'!$A$113:$I$133,5,0)*VLOOKUP('Données projet'!$B$12,Paramètres!$A$1:$I$89,7,0))</f>
        <v>0.53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57.039535438279415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57.039535438279415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336</v>
      </c>
      <c r="CR63" s="12">
        <f>VLOOKUP(A63,'Données projet'!$A$139:$I$159,9,0)</f>
        <v>13</v>
      </c>
      <c r="CS63" s="12">
        <f t="array" ref="CS63">INDEX(CR:CR,MIN(IF(ISNUMBER(CR63:CR259),ROW(CR63:CR259),"")))</f>
        <v>13</v>
      </c>
      <c r="CT63" s="12">
        <f>IF('Données projet'!$A$140&gt;35,CT62+CS63-DB62,IF(A63&lt;'Données projet'!$A$140,$CQ$205^A63,IF(A63='Données projet'!$A$140,'Données projet'!$B$140,CT62+CS63-DB62)))</f>
        <v>336.00000000000006</v>
      </c>
      <c r="CU63" s="17">
        <f>CT63*VLOOKUP('Données projet'!$B$13,Paramètres!$A$1:$I$89,3,0)*VLOOKUP('Données projet'!$B$13,Paramètres!$A$1:$I$89,5,0)</f>
        <v>288.28800000000007</v>
      </c>
      <c r="CV63" s="13">
        <f t="shared" si="41"/>
        <v>68.715516926722444</v>
      </c>
      <c r="CW63" s="20">
        <f t="shared" si="13"/>
        <v>621.78112531404167</v>
      </c>
      <c r="CX63" s="59">
        <f t="shared" si="14"/>
        <v>915.11445864737493</v>
      </c>
      <c r="CY63" s="59">
        <f ca="1">AVERAGE(OFFSET($CX$3,0,0,'Données projet'!$E$13+1,1))-AVERAGE(OFFSET($H$3,0,0,'Données projet'!$E$13+1,1))</f>
        <v>391.93999504334352</v>
      </c>
      <c r="CZ63" s="59">
        <f t="shared" si="42"/>
        <v>215.4484906985528</v>
      </c>
      <c r="DA63" s="15">
        <f>IF(ISNA(VLOOKUP(A63,'Données projet'!$A$139:$I$159,3,0)),0,VLOOKUP(A63,'Données projet'!$A$139:$I$159,3,0))</f>
        <v>8</v>
      </c>
      <c r="DB63" s="15">
        <f>IF(ISNA(VLOOKUP(A63,'Données projet'!$A$139:$I$159,4,0)),0,VLOOKUP(A63,'Données projet'!$A$139:$I$159,4,0))</f>
        <v>35</v>
      </c>
      <c r="DC63" s="16">
        <f>IF(ISNA(VLOOKUP(A63,'Données projet'!$A$139:$I$159,5,0)),0%,VLOOKUP(A63,'Données projet'!$A$139:$I$159,5,0)*VLOOKUP('Données projet'!$B$13,Paramètres!$A$1:$I$89,7,0))</f>
        <v>0.53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83.600763180756843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83.600763180756843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343</v>
      </c>
      <c r="DM63" s="12">
        <f>VLOOKUP(A63,'Données projet'!$A$165:$I$185,9,0)</f>
        <v>7.4</v>
      </c>
      <c r="DN63" s="12">
        <f t="array" ref="DN63">INDEX(DM:DM,MIN(IF(ISNUMBER(DM63:DM259),ROW(DM63:DM259),"")))</f>
        <v>7.4</v>
      </c>
      <c r="DO63" s="12">
        <f>IF('Données projet'!$A$166&gt;35,DO62+DN63-DW62,IF(A63&lt;'Données projet'!$A$166,$DL$205^A63,IF(A63='Données projet'!$A$166,'Données projet'!$B$166,DO62+DN63-DW62)))</f>
        <v>342.99999999999972</v>
      </c>
      <c r="DP63" s="17">
        <f>DO63*VLOOKUP('Données projet'!$B$14,Paramètres!$A$1:$I$89,3,0)*VLOOKUP('Données projet'!$B$14,Paramètres!$A$1:$I$89,5,0)</f>
        <v>251.48759999999979</v>
      </c>
      <c r="DQ63" s="13">
        <f t="shared" si="43"/>
        <v>60.904377929400603</v>
      </c>
      <c r="DR63" s="20">
        <f t="shared" si="16"/>
        <v>544.08269489370571</v>
      </c>
      <c r="DS63" s="59">
        <f t="shared" si="17"/>
        <v>837.41602822703908</v>
      </c>
      <c r="DT63" s="59">
        <f ca="1">AVERAGE(OFFSET($DS$3,0,0,'Données projet'!$E$14+1,1))-AVERAGE(OFFSET($H$3,0,0,'Données projet'!$E$14+1,1))</f>
        <v>267.92147257573157</v>
      </c>
      <c r="DU63" s="59">
        <f t="shared" si="44"/>
        <v>269.06662611892438</v>
      </c>
      <c r="DV63" s="15">
        <f>IF(ISNA(VLOOKUP(A63,'Données projet'!$A$165:$I$185,3,0)),0,VLOOKUP(A63,'Données projet'!$A$165:$I$185,3,0))</f>
        <v>11</v>
      </c>
      <c r="DW63" s="15">
        <f>IF(ISNA(VLOOKUP(A63,'Données projet'!$A$165:$I$185,4,0)),0,VLOOKUP(A63,'Données projet'!$A$165:$I$185,4,0))</f>
        <v>17</v>
      </c>
      <c r="DX63" s="16">
        <f>IF(ISNA(VLOOKUP(A63,'Données projet'!$A$165:$I$185,5,0)),0%,VLOOKUP(A63,'Données projet'!$A$165:$I$185,5,0)*VLOOKUP('Données projet'!$B$14,Paramètres!$A$1:$I$89,7,0))</f>
        <v>0.43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42.647762160844501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42.647762160844501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0.8600000000003547</v>
      </c>
      <c r="EK63" s="17">
        <f>EJ63*VLOOKUP('Données projet'!$B$15,Paramètres!$A$1:$I$89,3,0)*VLOOKUP('Données projet'!$B$15,Paramètres!$A$1:$I$89,5,0)</f>
        <v>0.48074000000019829</v>
      </c>
      <c r="EL63" s="13">
        <f t="shared" si="45"/>
        <v>0.24126147010950588</v>
      </c>
      <c r="EM63" s="20">
        <f t="shared" si="19"/>
        <v>1.2574858937744013</v>
      </c>
      <c r="EN63" s="59">
        <f t="shared" si="20"/>
        <v>294.59081922710772</v>
      </c>
      <c r="EO63" s="59">
        <f ca="1">AVERAGE(OFFSET($EN$3,0,0,'Données projet'!$E$15+1,1))-AVERAGE(OFFSET($H$3,0,0,'Données projet'!$E$15+1,1))</f>
        <v>326.29985515186428</v>
      </c>
      <c r="EP63" s="59">
        <f t="shared" si="46"/>
        <v>437.68177084535927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336.73885142910518</v>
      </c>
      <c r="EW63" s="21">
        <f>EXP(-LN(2)/25)*EW62+(1-EXP(-LN(2)/25))/(LN(2)/25)*Calculateur!ER63*Calculateur!ET63*VLOOKUP('Données projet'!$B$15,Paramètres!$A$1:$I$89,3,0)*0.475*44/12</f>
        <v>22.012424462940327</v>
      </c>
      <c r="EX63" s="21">
        <f>EXP(-LN(2)/2)*EX62+(1-EXP(-LN(2)/2))/(LN(2)/2)*ER63*EU63*VLOOKUP('Données projet'!$B$15,Paramètres!$A$1:$I$89,3,0)*0.475*44/12</f>
        <v>2.2580582551965702E-5</v>
      </c>
      <c r="EY63" s="22">
        <f t="shared" si="21"/>
        <v>358.75129847262804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1.7053025658242404E-13</v>
      </c>
      <c r="FF63" s="17">
        <f>FE63*VLOOKUP('Données projet'!$B$16,Paramètres!$A$1:$I$89,3,0)*VLOOKUP('Données projet'!$B$16,Paramètres!$A$1:$I$89,5,0)</f>
        <v>9.7631982498569413E-14</v>
      </c>
      <c r="FG63" s="13">
        <f t="shared" si="47"/>
        <v>1.4708068762530911E-12</v>
      </c>
      <c r="FH63" s="20">
        <f t="shared" si="22"/>
        <v>2.7316976789924749E-12</v>
      </c>
      <c r="FI63" s="59">
        <f t="shared" si="23"/>
        <v>293.33333333333604</v>
      </c>
      <c r="FJ63" s="59">
        <f ca="1">AVERAGE(OFFSET($FI$3,0,0,'Données projet'!$E$16+1,1))-AVERAGE(OFFSET($H$3,0,0,'Données projet'!$E$16+1,1))</f>
        <v>211.14768428403215</v>
      </c>
      <c r="FK63" s="59">
        <f t="shared" si="48"/>
        <v>350.7800157534798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45.84846954420734</v>
      </c>
      <c r="FR63" s="21">
        <f>EXP(-LN(2)/25)*FR62+(1-EXP(-LN(2)/25))/(LN(2)/25)*Calculateur!FM63*Calculateur!FO63*VLOOKUP('Données projet'!$B$16,Paramètres!$A$1:$I$89,3,0)*0.475*44/12</f>
        <v>9.3645672653817797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55.21303680958912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53.289600000000071</v>
      </c>
      <c r="D64" s="11">
        <f t="shared" si="32"/>
        <v>15.460137169232445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530.69972551688261</v>
      </c>
      <c r="H64" s="66">
        <f t="shared" si="1"/>
        <v>413.07245890307996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6</v>
      </c>
      <c r="N64" s="13">
        <f>IF('Données projet'!$A$36&gt;35,N63+M64-V63,IF(A64&lt;'Données projet'!$A$36,$K$205^A64,IF(A64='Données projet'!$A$36,'Données projet'!$B$36,N63+M64-V63)))</f>
        <v>228.00000000000009</v>
      </c>
      <c r="O64" s="13">
        <f>N64*VLOOKUP('Données projet'!$B$9,Paramètres!$A$1:$I$89,3,0)*VLOOKUP('Données projet'!$B$9,Paramètres!$A$1:$I$89,5,0)</f>
        <v>199.18080000000012</v>
      </c>
      <c r="P64" s="13">
        <f t="shared" si="33"/>
        <v>49.564089376413726</v>
      </c>
      <c r="Q64" s="20">
        <f t="shared" si="53"/>
        <v>433.2306823305874</v>
      </c>
      <c r="R64" s="59">
        <f t="shared" si="0"/>
        <v>726.56401566392071</v>
      </c>
      <c r="S64" s="59">
        <f ca="1">AVERAGE(OFFSET($R$3,0,0,'Données projet'!$E$9+1,1))-AVERAGE(OFFSET($H$3,0,0,'Données projet'!$E$9+1,1))</f>
        <v>252.49539407921907</v>
      </c>
      <c r="T64" s="59">
        <f t="shared" si="34"/>
        <v>263.36387286233929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54.218325084023974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54.218325084023974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11.644999999999996</v>
      </c>
      <c r="AI64" s="13">
        <f>IF('Données projet'!$A$62&gt;35,AI63+AH64-AQ63,IF(A64&lt;'Données projet'!$A$62,$AF$205^A64,IF(A64='Données projet'!$A$62,'Données projet'!$B$62,AI63+AH64-AQ63)))</f>
        <v>289.3</v>
      </c>
      <c r="AJ64" s="13">
        <f>AI64*VLOOKUP('Données projet'!$B$10,Paramètres!$A$1:$I$89,3,0)*VLOOKUP('Données projet'!$B$10,Paramètres!$A$1:$I$89,5,0)</f>
        <v>261.75863999999996</v>
      </c>
      <c r="AK64" s="13">
        <f t="shared" si="35"/>
        <v>63.097101732536537</v>
      </c>
      <c r="AL64" s="20">
        <f t="shared" si="4"/>
        <v>565.79041685083439</v>
      </c>
      <c r="AM64" s="59">
        <f t="shared" si="5"/>
        <v>859.12375018416765</v>
      </c>
      <c r="AN64" s="59">
        <f ca="1">AVERAGE(OFFSET($AM$3,0,0,'Données projet'!$E$10+1,1))-AVERAGE(OFFSET($H$3,0,0,'Données projet'!$E$10+1,1))</f>
        <v>370.05613271587413</v>
      </c>
      <c r="AO64" s="59">
        <f t="shared" si="36"/>
        <v>183.24480056442525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74.168017027024689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74.168017027024689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11.644999999999996</v>
      </c>
      <c r="BD64" s="12">
        <f>IF('Données projet'!$A$88&gt;35,BD63+BC64-BL63,IF(A64&lt;'Données projet'!$A$88,$BA$205^A64,IF(A64='Données projet'!$A$88,'Données projet'!$B$88,BD63+BC64-BL63)))</f>
        <v>289.3</v>
      </c>
      <c r="BE64" s="13">
        <f>BD64*VLOOKUP('Données projet'!$B$11,Paramètres!$A$1:$I$89,3,0)*VLOOKUP('Données projet'!$B$11,Paramètres!$A$1:$I$89,5,0)</f>
        <v>293.35020000000003</v>
      </c>
      <c r="BF64" s="13">
        <f t="shared" si="37"/>
        <v>69.780596548704253</v>
      </c>
      <c r="BG64" s="20">
        <f t="shared" si="7"/>
        <v>632.45280398899331</v>
      </c>
      <c r="BH64" s="59">
        <f t="shared" si="8"/>
        <v>925.78613732232657</v>
      </c>
      <c r="BI64" s="59">
        <f ca="1">AVERAGE(OFFSET($BH$3,0,0,'Données projet'!$E$11+1,1))-AVERAGE(OFFSET($H$3,0,0,'Données projet'!$E$11+1,1))</f>
        <v>428.72181435671394</v>
      </c>
      <c r="BJ64" s="59">
        <f t="shared" si="38"/>
        <v>211.84936043087572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83.119329426838007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83.119329426838007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</v>
      </c>
      <c r="BY64" s="12">
        <f>IF('Données projet'!$A$114&gt;35,BY63+BX64-CG63,IF(A64&lt;'Données projet'!$A$114,$BV$205^A64,IF(A64='Données projet'!$A$114,'Données projet'!$B$114,BY63+BX64-CG63)))</f>
        <v>331.99999999999972</v>
      </c>
      <c r="BZ64" s="13">
        <f>BY64*VLOOKUP('Données projet'!$B$12,Paramètres!$A$1:$I$89,3,0)*VLOOKUP('Données projet'!$B$12,Paramètres!$A$1:$I$89,5,0)</f>
        <v>264.13919999999979</v>
      </c>
      <c r="CA64" s="13">
        <f t="shared" si="39"/>
        <v>63.60387543087441</v>
      </c>
      <c r="CB64" s="20">
        <f t="shared" si="10"/>
        <v>570.81918970877257</v>
      </c>
      <c r="CC64" s="59">
        <f t="shared" si="11"/>
        <v>864.15252304210594</v>
      </c>
      <c r="CD64" s="59">
        <f ca="1">AVERAGE(OFFSET($CC$3,0,0,'Données projet'!$E$12+1,1))-AVERAGE(OFFSET($H$3,0,0,'Données projet'!$E$12+1,1))</f>
        <v>296.737543892524</v>
      </c>
      <c r="CE64" s="59">
        <f t="shared" si="40"/>
        <v>296.38358650317099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55.921024939016078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55.921024939016078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12.4</v>
      </c>
      <c r="CT64" s="12">
        <f>IF('Données projet'!$A$140&gt;35,CT63+CS64-DB63,IF(A64&lt;'Données projet'!$A$140,$CQ$205^A64,IF(A64='Données projet'!$A$140,'Données projet'!$B$140,CT63+CS64-DB63)))</f>
        <v>313.40000000000003</v>
      </c>
      <c r="CU64" s="17">
        <f>CT64*VLOOKUP('Données projet'!$B$13,Paramètres!$A$1:$I$89,3,0)*VLOOKUP('Données projet'!$B$13,Paramètres!$A$1:$I$89,5,0)</f>
        <v>268.89720000000005</v>
      </c>
      <c r="CV64" s="13">
        <f t="shared" si="41"/>
        <v>64.615171575073688</v>
      </c>
      <c r="CW64" s="20">
        <f t="shared" si="13"/>
        <v>580.86738049325345</v>
      </c>
      <c r="CX64" s="59">
        <f t="shared" si="14"/>
        <v>874.20071382658671</v>
      </c>
      <c r="CY64" s="59">
        <f ca="1">AVERAGE(OFFSET($CX$3,0,0,'Données projet'!$E$13+1,1))-AVERAGE(OFFSET($H$3,0,0,'Données projet'!$E$13+1,1))</f>
        <v>391.93999504334352</v>
      </c>
      <c r="CZ64" s="59">
        <f t="shared" si="42"/>
        <v>215.4484906985528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81.961403206212751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81.961403206212751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6</v>
      </c>
      <c r="DO64" s="12">
        <f>IF('Données projet'!$A$166&gt;35,DO63+DN64-DW63,IF(A64&lt;'Données projet'!$A$166,$DL$205^A64,IF(A64='Données projet'!$A$166,'Données projet'!$B$166,DO63+DN64-DW63)))</f>
        <v>331.99999999999972</v>
      </c>
      <c r="DP64" s="17">
        <f>DO64*VLOOKUP('Données projet'!$B$14,Paramètres!$A$1:$I$89,3,0)*VLOOKUP('Données projet'!$B$14,Paramètres!$A$1:$I$89,5,0)</f>
        <v>243.42239999999978</v>
      </c>
      <c r="DQ64" s="13">
        <f t="shared" si="43"/>
        <v>59.175268615646175</v>
      </c>
      <c r="DR64" s="20">
        <f t="shared" si="16"/>
        <v>527.02427283891677</v>
      </c>
      <c r="DS64" s="59">
        <f t="shared" si="17"/>
        <v>820.35760617225014</v>
      </c>
      <c r="DT64" s="59">
        <f ca="1">AVERAGE(OFFSET($DS$3,0,0,'Données projet'!$E$14+1,1))-AVERAGE(OFFSET($H$3,0,0,'Données projet'!$E$14+1,1))</f>
        <v>267.92147257573157</v>
      </c>
      <c r="DU64" s="59">
        <f t="shared" si="44"/>
        <v>269.06662611892438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41.811465557436733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41.811465557436733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0.8600000000003547</v>
      </c>
      <c r="EK64" s="17">
        <f>EJ64*VLOOKUP('Données projet'!$B$15,Paramètres!$A$1:$I$89,3,0)*VLOOKUP('Données projet'!$B$15,Paramètres!$A$1:$I$89,5,0)</f>
        <v>0.48074000000019829</v>
      </c>
      <c r="EL64" s="13">
        <f t="shared" si="45"/>
        <v>0.24126147010950588</v>
      </c>
      <c r="EM64" s="20">
        <f t="shared" si="19"/>
        <v>1.2574858937744013</v>
      </c>
      <c r="EN64" s="59">
        <f t="shared" si="20"/>
        <v>294.59081922710772</v>
      </c>
      <c r="EO64" s="59">
        <f ca="1">AVERAGE(OFFSET($EN$3,0,0,'Données projet'!$E$15+1,1))-AVERAGE(OFFSET($H$3,0,0,'Données projet'!$E$15+1,1))</f>
        <v>326.29985515186428</v>
      </c>
      <c r="EP64" s="59">
        <f t="shared" si="46"/>
        <v>437.68177084535927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330.13560794299917</v>
      </c>
      <c r="EW64" s="21">
        <f>EXP(-LN(2)/25)*EW63+(1-EXP(-LN(2)/25))/(LN(2)/25)*Calculateur!ER64*Calculateur!ET64*VLOOKUP('Données projet'!$B$15,Paramètres!$A$1:$I$89,3,0)*0.475*44/12</f>
        <v>21.410493558418132</v>
      </c>
      <c r="EX64" s="21">
        <f>EXP(-LN(2)/2)*EX63+(1-EXP(-LN(2)/2))/(LN(2)/2)*ER64*EU64*VLOOKUP('Données projet'!$B$15,Paramètres!$A$1:$I$89,3,0)*0.475*44/12</f>
        <v>1.5966883045637584E-5</v>
      </c>
      <c r="EY64" s="22">
        <f t="shared" si="21"/>
        <v>351.54611746830034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1.7053025658242404E-13</v>
      </c>
      <c r="FF64" s="17">
        <f>FE64*VLOOKUP('Données projet'!$B$16,Paramètres!$A$1:$I$89,3,0)*VLOOKUP('Données projet'!$B$16,Paramètres!$A$1:$I$89,5,0)</f>
        <v>9.7631982498569413E-14</v>
      </c>
      <c r="FG64" s="13">
        <f t="shared" si="47"/>
        <v>1.4708068762530911E-12</v>
      </c>
      <c r="FH64" s="20">
        <f t="shared" si="22"/>
        <v>2.7316976789924749E-12</v>
      </c>
      <c r="FI64" s="59">
        <f t="shared" si="23"/>
        <v>293.33333333333604</v>
      </c>
      <c r="FJ64" s="59">
        <f ca="1">AVERAGE(OFFSET($FI$3,0,0,'Données projet'!$E$16+1,1))-AVERAGE(OFFSET($H$3,0,0,'Données projet'!$E$16+1,1))</f>
        <v>211.14768428403215</v>
      </c>
      <c r="FK64" s="59">
        <f t="shared" si="48"/>
        <v>350.7800157534798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44.94940902125056</v>
      </c>
      <c r="FR64" s="21">
        <f>EXP(-LN(2)/25)*FR63+(1-EXP(-LN(2)/25))/(LN(2)/25)*Calculateur!FM64*Calculateur!FO64*VLOOKUP('Données projet'!$B$16,Paramètres!$A$1:$I$89,3,0)*0.475*44/12</f>
        <v>9.108492681048725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54.057901702299283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54.163200000000074</v>
      </c>
      <c r="D65" s="11">
        <f t="shared" si="32"/>
        <v>15.683868685583311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539.17035476590684</v>
      </c>
      <c r="H65" s="66">
        <f t="shared" si="1"/>
        <v>414.98364462739102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6</v>
      </c>
      <c r="N65" s="13">
        <f>IF('Données projet'!$A$36&gt;35,N64+M65-V64,IF(A65&lt;'Données projet'!$A$36,$K$205^A65,IF(A65='Données projet'!$A$36,'Données projet'!$B$36,N64+M65-V64)))</f>
        <v>234.00000000000009</v>
      </c>
      <c r="O65" s="13">
        <f>N65*VLOOKUP('Données projet'!$B$9,Paramètres!$A$1:$I$89,3,0)*VLOOKUP('Données projet'!$B$9,Paramètres!$A$1:$I$89,5,0)</f>
        <v>204.4224000000001</v>
      </c>
      <c r="P65" s="13">
        <f t="shared" si="33"/>
        <v>50.714836797527312</v>
      </c>
      <c r="Q65" s="20">
        <f t="shared" si="53"/>
        <v>444.3640207556935</v>
      </c>
      <c r="R65" s="59">
        <f t="shared" si="0"/>
        <v>737.69735408902682</v>
      </c>
      <c r="S65" s="59">
        <f ca="1">AVERAGE(OFFSET($R$3,0,0,'Données projet'!$E$9+1,1))-AVERAGE(OFFSET($H$3,0,0,'Données projet'!$E$9+1,1))</f>
        <v>252.49539407921907</v>
      </c>
      <c r="T65" s="59">
        <f t="shared" si="34"/>
        <v>263.36387286233929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53.155136799039184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53.155136799039184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11.644999999999996</v>
      </c>
      <c r="AI65" s="13">
        <f>IF('Données projet'!$A$62&gt;35,AI64+AH65-AQ64,IF(A65&lt;'Données projet'!$A$62,$AF$205^A65,IF(A65='Données projet'!$A$62,'Données projet'!$B$62,AI64+AH65-AQ64)))</f>
        <v>300.94499999999999</v>
      </c>
      <c r="AJ65" s="13">
        <f>AI65*VLOOKUP('Données projet'!$B$10,Paramètres!$A$1:$I$89,3,0)*VLOOKUP('Données projet'!$B$10,Paramètres!$A$1:$I$89,5,0)</f>
        <v>272.29503599999998</v>
      </c>
      <c r="AK65" s="13">
        <f t="shared" si="35"/>
        <v>65.336093654015798</v>
      </c>
      <c r="AL65" s="20">
        <f t="shared" si="4"/>
        <v>588.04088414741079</v>
      </c>
      <c r="AM65" s="59">
        <f t="shared" si="5"/>
        <v>881.37421748074416</v>
      </c>
      <c r="AN65" s="59">
        <f ca="1">AVERAGE(OFFSET($AM$3,0,0,'Données projet'!$E$10+1,1))-AVERAGE(OFFSET($H$3,0,0,'Données projet'!$E$10+1,1))</f>
        <v>370.05613271587413</v>
      </c>
      <c r="AO65" s="59">
        <f t="shared" si="36"/>
        <v>183.24480056442525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72.713627451148241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72.713627451148241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11.644999999999996</v>
      </c>
      <c r="BD65" s="12">
        <f>IF('Données projet'!$A$88&gt;35,BD64+BC65-BL64,IF(A65&lt;'Données projet'!$A$88,$BA$205^A65,IF(A65='Données projet'!$A$88,'Données projet'!$B$88,BD64+BC65-BL64)))</f>
        <v>300.94499999999999</v>
      </c>
      <c r="BE65" s="13">
        <f>BD65*VLOOKUP('Données projet'!$B$11,Paramètres!$A$1:$I$89,3,0)*VLOOKUP('Données projet'!$B$11,Paramètres!$A$1:$I$89,5,0)</f>
        <v>305.15823</v>
      </c>
      <c r="BF65" s="13">
        <f t="shared" si="37"/>
        <v>72.256751358648415</v>
      </c>
      <c r="BG65" s="20">
        <f t="shared" si="7"/>
        <v>657.33109253297937</v>
      </c>
      <c r="BH65" s="59">
        <f t="shared" si="8"/>
        <v>950.66442586631274</v>
      </c>
      <c r="BI65" s="59">
        <f ca="1">AVERAGE(OFFSET($BH$3,0,0,'Données projet'!$E$11+1,1))-AVERAGE(OFFSET($H$3,0,0,'Données projet'!$E$11+1,1))</f>
        <v>428.72181435671394</v>
      </c>
      <c r="BJ65" s="59">
        <f t="shared" si="38"/>
        <v>211.84936043087572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81.48941007456267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81.48941007456267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</v>
      </c>
      <c r="BY65" s="12">
        <f>IF('Données projet'!$A$114&gt;35,BY64+BX65-CG64,IF(A65&lt;'Données projet'!$A$114,$BV$205^A65,IF(A65='Données projet'!$A$114,'Données projet'!$B$114,BY64+BX65-CG64)))</f>
        <v>337.99999999999972</v>
      </c>
      <c r="BZ65" s="13">
        <f>BY65*VLOOKUP('Données projet'!$B$12,Paramètres!$A$1:$I$89,3,0)*VLOOKUP('Données projet'!$B$12,Paramètres!$A$1:$I$89,5,0)</f>
        <v>268.91279999999978</v>
      </c>
      <c r="CA65" s="13">
        <f t="shared" si="39"/>
        <v>64.618483855217065</v>
      </c>
      <c r="CB65" s="20">
        <f t="shared" si="10"/>
        <v>580.90031938116931</v>
      </c>
      <c r="CC65" s="59">
        <f t="shared" si="11"/>
        <v>874.23365271450257</v>
      </c>
      <c r="CD65" s="59">
        <f ca="1">AVERAGE(OFFSET($CC$3,0,0,'Données projet'!$E$12+1,1))-AVERAGE(OFFSET($H$3,0,0,'Données projet'!$E$12+1,1))</f>
        <v>296.737543892524</v>
      </c>
      <c r="CE65" s="59">
        <f t="shared" si="40"/>
        <v>296.38358650317099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54.824447748419253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54.824447748419253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12.4</v>
      </c>
      <c r="CT65" s="12">
        <f>IF('Données projet'!$A$140&gt;35,CT64+CS65-DB64,IF(A65&lt;'Données projet'!$A$140,$CQ$205^A65,IF(A65='Données projet'!$A$140,'Données projet'!$B$140,CT64+CS65-DB64)))</f>
        <v>325.8</v>
      </c>
      <c r="CU65" s="17">
        <f>CT65*VLOOKUP('Données projet'!$B$13,Paramètres!$A$1:$I$89,3,0)*VLOOKUP('Données projet'!$B$13,Paramètres!$A$1:$I$89,5,0)</f>
        <v>279.53640000000007</v>
      </c>
      <c r="CV65" s="13">
        <f t="shared" si="41"/>
        <v>66.869027427528763</v>
      </c>
      <c r="CW65" s="20">
        <f t="shared" si="13"/>
        <v>603.322786102946</v>
      </c>
      <c r="CX65" s="59">
        <f t="shared" si="14"/>
        <v>896.65611943627937</v>
      </c>
      <c r="CY65" s="59">
        <f ca="1">AVERAGE(OFFSET($CX$3,0,0,'Données projet'!$E$13+1,1))-AVERAGE(OFFSET($H$3,0,0,'Données projet'!$E$13+1,1))</f>
        <v>391.93999504334352</v>
      </c>
      <c r="CZ65" s="59">
        <f t="shared" si="42"/>
        <v>215.4484906985528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80.354190080858615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80.354190080858615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6</v>
      </c>
      <c r="DO65" s="12">
        <f>IF('Données projet'!$A$166&gt;35,DO64+DN65-DW64,IF(A65&lt;'Données projet'!$A$166,$DL$205^A65,IF(A65='Données projet'!$A$166,'Données projet'!$B$166,DO64+DN65-DW64)))</f>
        <v>337.99999999999972</v>
      </c>
      <c r="DP65" s="17">
        <f>DO65*VLOOKUP('Données projet'!$B$14,Paramètres!$A$1:$I$89,3,0)*VLOOKUP('Données projet'!$B$14,Paramètres!$A$1:$I$89,5,0)</f>
        <v>247.82159999999982</v>
      </c>
      <c r="DQ65" s="13">
        <f t="shared" si="43"/>
        <v>60.119231945607517</v>
      </c>
      <c r="DR65" s="20">
        <f t="shared" si="16"/>
        <v>536.330282305266</v>
      </c>
      <c r="DS65" s="59">
        <f t="shared" si="17"/>
        <v>829.66361563859937</v>
      </c>
      <c r="DT65" s="59">
        <f ca="1">AVERAGE(OFFSET($DS$3,0,0,'Données projet'!$E$14+1,1))-AVERAGE(OFFSET($H$3,0,0,'Données projet'!$E$14+1,1))</f>
        <v>267.92147257573157</v>
      </c>
      <c r="DU65" s="59">
        <f t="shared" si="44"/>
        <v>269.06662611892438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40.991568220331231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40.991568220331231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0.8600000000003547</v>
      </c>
      <c r="EK65" s="17">
        <f>EJ65*VLOOKUP('Données projet'!$B$15,Paramètres!$A$1:$I$89,3,0)*VLOOKUP('Données projet'!$B$15,Paramètres!$A$1:$I$89,5,0)</f>
        <v>0.48074000000019829</v>
      </c>
      <c r="EL65" s="13">
        <f t="shared" si="45"/>
        <v>0.24126147010950588</v>
      </c>
      <c r="EM65" s="20">
        <f t="shared" si="19"/>
        <v>1.2574858937744013</v>
      </c>
      <c r="EN65" s="59">
        <f t="shared" si="20"/>
        <v>294.59081922710772</v>
      </c>
      <c r="EO65" s="59">
        <f ca="1">AVERAGE(OFFSET($EN$3,0,0,'Données projet'!$E$15+1,1))-AVERAGE(OFFSET($H$3,0,0,'Données projet'!$E$15+1,1))</f>
        <v>326.29985515186428</v>
      </c>
      <c r="EP65" s="59">
        <f t="shared" si="46"/>
        <v>437.68177084535927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323.66185003407486</v>
      </c>
      <c r="EW65" s="21">
        <f>EXP(-LN(2)/25)*EW64+(1-EXP(-LN(2)/25))/(LN(2)/25)*Calculateur!ER65*Calculateur!ET65*VLOOKUP('Données projet'!$B$15,Paramètres!$A$1:$I$89,3,0)*0.475*44/12</f>
        <v>20.825022486134266</v>
      </c>
      <c r="EX65" s="21">
        <f>EXP(-LN(2)/2)*EX64+(1-EXP(-LN(2)/2))/(LN(2)/2)*ER65*EU65*VLOOKUP('Données projet'!$B$15,Paramètres!$A$1:$I$89,3,0)*0.475*44/12</f>
        <v>1.1290291275982851E-5</v>
      </c>
      <c r="EY65" s="22">
        <f t="shared" si="21"/>
        <v>344.48688381050044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1.7053025658242404E-13</v>
      </c>
      <c r="FF65" s="17">
        <f>FE65*VLOOKUP('Données projet'!$B$16,Paramètres!$A$1:$I$89,3,0)*VLOOKUP('Données projet'!$B$16,Paramètres!$A$1:$I$89,5,0)</f>
        <v>9.7631982498569413E-14</v>
      </c>
      <c r="FG65" s="13">
        <f t="shared" si="47"/>
        <v>1.4708068762530911E-12</v>
      </c>
      <c r="FH65" s="20">
        <f t="shared" si="22"/>
        <v>2.7316976789924749E-12</v>
      </c>
      <c r="FI65" s="59">
        <f t="shared" si="23"/>
        <v>293.33333333333604</v>
      </c>
      <c r="FJ65" s="59">
        <f ca="1">AVERAGE(OFFSET($FI$3,0,0,'Données projet'!$E$16+1,1))-AVERAGE(OFFSET($H$3,0,0,'Données projet'!$E$16+1,1))</f>
        <v>211.14768428403215</v>
      </c>
      <c r="FK65" s="59">
        <f t="shared" si="48"/>
        <v>350.7800157534798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44.067978526776194</v>
      </c>
      <c r="FR65" s="21">
        <f>EXP(-LN(2)/25)*FR64+(1-EXP(-LN(2)/25))/(LN(2)/25)*Calculateur!FM65*Calculateur!FO65*VLOOKUP('Données projet'!$B$16,Paramètres!$A$1:$I$89,3,0)*0.475*44/12</f>
        <v>8.8594204696906349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52.927398996466827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55.036800000000078</v>
      </c>
      <c r="D66" s="11">
        <f t="shared" si="32"/>
        <v>15.90718053886436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547.63774451053257</v>
      </c>
      <c r="H66" s="66">
        <f t="shared" si="1"/>
        <v>416.89409943852223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6</v>
      </c>
      <c r="N66" s="13">
        <f>IF('Données projet'!$A$36&gt;35,N65+M66-V65,IF(A66&lt;'Données projet'!$A$36,$K$205^A66,IF(A66='Données projet'!$A$36,'Données projet'!$B$36,N65+M66-V65)))</f>
        <v>240.00000000000009</v>
      </c>
      <c r="O66" s="13">
        <f>N66*VLOOKUP('Données projet'!$B$9,Paramètres!$A$1:$I$89,3,0)*VLOOKUP('Données projet'!$B$9,Paramètres!$A$1:$I$89,5,0)</f>
        <v>209.6640000000001</v>
      </c>
      <c r="P66" s="13">
        <f t="shared" si="33"/>
        <v>51.862154403304537</v>
      </c>
      <c r="Q66" s="20">
        <f t="shared" si="53"/>
        <v>455.49138558575561</v>
      </c>
      <c r="R66" s="59">
        <f t="shared" si="0"/>
        <v>748.82471891908892</v>
      </c>
      <c r="S66" s="59">
        <f ca="1">AVERAGE(OFFSET($R$3,0,0,'Données projet'!$E$9+1,1))-AVERAGE(OFFSET($H$3,0,0,'Données projet'!$E$9+1,1))</f>
        <v>252.49539407921907</v>
      </c>
      <c r="T66" s="59">
        <f t="shared" si="34"/>
        <v>263.36387286233929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52.112796987842124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52.112796987842124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312.58999999999997</v>
      </c>
      <c r="AG66" s="12">
        <f>VLOOKUP(A66,'Données projet'!$A$61:$I$81,9,0)</f>
        <v>11.644999999999996</v>
      </c>
      <c r="AH66" s="12">
        <f t="array" ref="AH66">INDEX(AG:AG,MIN(IF(ISNUMBER(AG66:AG262),ROW(AG66:AG262),"")))</f>
        <v>11.644999999999996</v>
      </c>
      <c r="AI66" s="13">
        <f>IF('Données projet'!$A$62&gt;35,AI65+AH66-AQ65,IF(A66&lt;'Données projet'!$A$62,$AF$205^A66,IF(A66='Données projet'!$A$62,'Données projet'!$B$62,AI65+AH66-AQ65)))</f>
        <v>312.58999999999997</v>
      </c>
      <c r="AJ66" s="13">
        <f>AI66*VLOOKUP('Données projet'!$B$10,Paramètres!$A$1:$I$89,3,0)*VLOOKUP('Données projet'!$B$10,Paramètres!$A$1:$I$89,5,0)</f>
        <v>282.83143199999995</v>
      </c>
      <c r="AK66" s="13">
        <f t="shared" si="35"/>
        <v>67.565021018325751</v>
      </c>
      <c r="AL66" s="20">
        <f t="shared" si="4"/>
        <v>610.2738223402506</v>
      </c>
      <c r="AM66" s="59">
        <f t="shared" si="5"/>
        <v>903.60715567358397</v>
      </c>
      <c r="AN66" s="59">
        <f ca="1">AVERAGE(OFFSET($AM$3,0,0,'Données projet'!$E$10+1,1))-AVERAGE(OFFSET($H$3,0,0,'Données projet'!$E$10+1,1))</f>
        <v>370.05613271587413</v>
      </c>
      <c r="AO66" s="59">
        <f t="shared" si="36"/>
        <v>183.24480056442525</v>
      </c>
      <c r="AP66" s="15">
        <f>IF(ISNA(VLOOKUP(A66,'Données projet'!$A$61:$I$81,3,0)),0,VLOOKUP(A66,'Données projet'!$A$61:$I$81,3,0))</f>
        <v>5</v>
      </c>
      <c r="AQ66" s="15">
        <f>IF(ISNA(VLOOKUP(A66,'Données projet'!$A$61:$I$81,4,0)),0,VLOOKUP(A66,'Données projet'!$A$61:$I$81,4,0))</f>
        <v>54.21</v>
      </c>
      <c r="AR66" s="16">
        <f>IF(ISNA(VLOOKUP(A66,'Données projet'!$A$61:$I$81,5,0)),0%,VLOOKUP(A66,'Données projet'!$A$61:$I$81,5,0)*VLOOKUP('Données projet'!$B$10,Paramètres!$A$1:$I$89,7,0))</f>
        <v>0.43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94.603409598691442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94.603409598691442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>
        <f>VLOOKUP(A66,'Données projet'!$A$87:$I$107,2,0)</f>
        <v>312.58999999999997</v>
      </c>
      <c r="BB66" s="12">
        <f>VLOOKUP(A66,'Données projet'!$A$87:$I$107,9,0)</f>
        <v>11.644999999999996</v>
      </c>
      <c r="BC66" s="12">
        <f t="array" ref="BC66">INDEX(BB:BB,MIN(IF(ISNUMBER(BB66:BB262),ROW(BB66:BB262),"")))</f>
        <v>11.644999999999996</v>
      </c>
      <c r="BD66" s="12">
        <f>IF('Données projet'!$A$88&gt;35,BD65+BC66-BL65,IF(A66&lt;'Données projet'!$A$88,$BA$205^A66,IF(A66='Données projet'!$A$88,'Données projet'!$B$88,BD65+BC66-BL65)))</f>
        <v>312.58999999999997</v>
      </c>
      <c r="BE66" s="13">
        <f>BD66*VLOOKUP('Données projet'!$B$11,Paramètres!$A$1:$I$89,3,0)*VLOOKUP('Données projet'!$B$11,Paramètres!$A$1:$I$89,5,0)</f>
        <v>316.96625999999998</v>
      </c>
      <c r="BF66" s="13">
        <f t="shared" si="37"/>
        <v>74.721775533682376</v>
      </c>
      <c r="BG66" s="20">
        <f t="shared" si="7"/>
        <v>682.18999522116337</v>
      </c>
      <c r="BH66" s="59">
        <f t="shared" si="8"/>
        <v>975.52332855449663</v>
      </c>
      <c r="BI66" s="59">
        <f ca="1">AVERAGE(OFFSET($BH$3,0,0,'Données projet'!$E$11+1,1))-AVERAGE(OFFSET($H$3,0,0,'Données projet'!$E$11+1,1))</f>
        <v>428.72181435671394</v>
      </c>
      <c r="BJ66" s="59">
        <f t="shared" si="38"/>
        <v>211.84936043087572</v>
      </c>
      <c r="BK66" s="15">
        <f>IF(ISNA(VLOOKUP(A66,'Données projet'!$A$87:$I$107,3,0)),0,VLOOKUP(A66,'Données projet'!$A$87:$I$107,3,0))</f>
        <v>5</v>
      </c>
      <c r="BL66" s="15">
        <f>IF(ISNA(VLOOKUP(A66,'Données projet'!$A$87:$I$107,4,0)),0,VLOOKUP(A66,'Données projet'!$A$87:$I$107,4,0))</f>
        <v>54.21</v>
      </c>
      <c r="BM66" s="16">
        <f>IF(ISNA(VLOOKUP(A66,'Données projet'!$A$87:$I$107,5,0)),0%,VLOOKUP(A66,'Données projet'!$A$87:$I$107,5,0)*VLOOKUP('Données projet'!$B$11,Paramètres!$A$1:$I$89,7,0))</f>
        <v>0.43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106.02106248129212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106.02106248129212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</v>
      </c>
      <c r="BY66" s="12">
        <f>IF('Données projet'!$A$114&gt;35,BY65+BX66-CG65,IF(A66&lt;'Données projet'!$A$114,$BV$205^A66,IF(A66='Données projet'!$A$114,'Données projet'!$B$114,BY65+BX66-CG65)))</f>
        <v>343.99999999999972</v>
      </c>
      <c r="BZ66" s="13">
        <f>BY66*VLOOKUP('Données projet'!$B$12,Paramètres!$A$1:$I$89,3,0)*VLOOKUP('Données projet'!$B$12,Paramètres!$A$1:$I$89,5,0)</f>
        <v>273.68639999999976</v>
      </c>
      <c r="CA66" s="13">
        <f t="shared" si="39"/>
        <v>65.630997870536959</v>
      </c>
      <c r="CB66" s="20">
        <f t="shared" si="10"/>
        <v>590.97780129118485</v>
      </c>
      <c r="CC66" s="59">
        <f t="shared" si="11"/>
        <v>884.31113462451822</v>
      </c>
      <c r="CD66" s="59">
        <f ca="1">AVERAGE(OFFSET($CC$3,0,0,'Données projet'!$E$12+1,1))-AVERAGE(OFFSET($H$3,0,0,'Données projet'!$E$12+1,1))</f>
        <v>296.737543892524</v>
      </c>
      <c r="CE66" s="59">
        <f t="shared" si="40"/>
        <v>296.38358650317099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53.749373767683991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53.749373767683991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12.4</v>
      </c>
      <c r="CT66" s="12">
        <f>IF('Données projet'!$A$140&gt;35,CT65+CS66-DB65,IF(A66&lt;'Données projet'!$A$140,$CQ$205^A66,IF(A66='Données projet'!$A$140,'Données projet'!$B$140,CT65+CS66-DB65)))</f>
        <v>338.2</v>
      </c>
      <c r="CU66" s="17">
        <f>CT66*VLOOKUP('Données projet'!$B$13,Paramètres!$A$1:$I$89,3,0)*VLOOKUP('Données projet'!$B$13,Paramètres!$A$1:$I$89,5,0)</f>
        <v>290.17560000000003</v>
      </c>
      <c r="CV66" s="13">
        <f t="shared" si="41"/>
        <v>69.112917785973508</v>
      </c>
      <c r="CW66" s="20">
        <f t="shared" si="13"/>
        <v>625.76083514390393</v>
      </c>
      <c r="CX66" s="59">
        <f t="shared" si="14"/>
        <v>919.09416847723719</v>
      </c>
      <c r="CY66" s="59">
        <f ca="1">AVERAGE(OFFSET($CX$3,0,0,'Données projet'!$E$13+1,1))-AVERAGE(OFFSET($H$3,0,0,'Données projet'!$E$13+1,1))</f>
        <v>391.93999504334352</v>
      </c>
      <c r="CZ66" s="59">
        <f t="shared" si="42"/>
        <v>215.4484906985528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78.77849342458947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78.77849342458947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6</v>
      </c>
      <c r="DO66" s="12">
        <f>IF('Données projet'!$A$166&gt;35,DO65+DN66-DW65,IF(A66&lt;'Données projet'!$A$166,$DL$205^A66,IF(A66='Données projet'!$A$166,'Données projet'!$B$166,DO65+DN66-DW65)))</f>
        <v>343.99999999999972</v>
      </c>
      <c r="DP66" s="17">
        <f>DO66*VLOOKUP('Données projet'!$B$14,Paramètres!$A$1:$I$89,3,0)*VLOOKUP('Données projet'!$B$14,Paramètres!$A$1:$I$89,5,0)</f>
        <v>252.2207999999998</v>
      </c>
      <c r="DQ66" s="13">
        <f t="shared" si="43"/>
        <v>61.061246695931573</v>
      </c>
      <c r="DR66" s="20">
        <f t="shared" si="16"/>
        <v>545.63289799541383</v>
      </c>
      <c r="DS66" s="59">
        <f t="shared" si="17"/>
        <v>838.9662313287472</v>
      </c>
      <c r="DT66" s="59">
        <f ca="1">AVERAGE(OFFSET($DS$3,0,0,'Données projet'!$E$14+1,1))-AVERAGE(OFFSET($H$3,0,0,'Données projet'!$E$14+1,1))</f>
        <v>267.92147257573157</v>
      </c>
      <c r="DU66" s="59">
        <f t="shared" si="44"/>
        <v>269.06662611892438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40.187748569918369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40.187748569918369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0.8600000000003547</v>
      </c>
      <c r="EK66" s="17">
        <f>EJ66*VLOOKUP('Données projet'!$B$15,Paramètres!$A$1:$I$89,3,0)*VLOOKUP('Données projet'!$B$15,Paramètres!$A$1:$I$89,5,0)</f>
        <v>0.48074000000019829</v>
      </c>
      <c r="EL66" s="13">
        <f t="shared" si="45"/>
        <v>0.24126147010950588</v>
      </c>
      <c r="EM66" s="20">
        <f t="shared" si="19"/>
        <v>1.2574858937744013</v>
      </c>
      <c r="EN66" s="59">
        <f t="shared" si="20"/>
        <v>294.59081922710772</v>
      </c>
      <c r="EO66" s="59">
        <f ca="1">AVERAGE(OFFSET($EN$3,0,0,'Données projet'!$E$15+1,1))-AVERAGE(OFFSET($H$3,0,0,'Données projet'!$E$15+1,1))</f>
        <v>326.29985515186428</v>
      </c>
      <c r="EP66" s="59">
        <f t="shared" si="46"/>
        <v>437.68177084535927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317.31503856914213</v>
      </c>
      <c r="EW66" s="21">
        <f>EXP(-LN(2)/25)*EW65+(1-EXP(-LN(2)/25))/(LN(2)/25)*Calculateur!ER66*Calculateur!ET66*VLOOKUP('Données projet'!$B$15,Paramètres!$A$1:$I$89,3,0)*0.475*44/12</f>
        <v>20.255561151110587</v>
      </c>
      <c r="EX66" s="21">
        <f>EXP(-LN(2)/2)*EX65+(1-EXP(-LN(2)/2))/(LN(2)/2)*ER66*EU66*VLOOKUP('Données projet'!$B$15,Paramètres!$A$1:$I$89,3,0)*0.475*44/12</f>
        <v>7.9834415228187922E-6</v>
      </c>
      <c r="EY66" s="22">
        <f t="shared" si="21"/>
        <v>337.57060770369429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1.7053025658242404E-13</v>
      </c>
      <c r="FF66" s="17">
        <f>FE66*VLOOKUP('Données projet'!$B$16,Paramètres!$A$1:$I$89,3,0)*VLOOKUP('Données projet'!$B$16,Paramètres!$A$1:$I$89,5,0)</f>
        <v>9.7631982498569413E-14</v>
      </c>
      <c r="FG66" s="13">
        <f t="shared" si="47"/>
        <v>1.4708068762530911E-12</v>
      </c>
      <c r="FH66" s="20">
        <f t="shared" si="22"/>
        <v>2.7316976789924749E-12</v>
      </c>
      <c r="FI66" s="59">
        <f t="shared" si="23"/>
        <v>293.33333333333604</v>
      </c>
      <c r="FJ66" s="59">
        <f ca="1">AVERAGE(OFFSET($FI$3,0,0,'Données projet'!$E$16+1,1))-AVERAGE(OFFSET($H$3,0,0,'Données projet'!$E$16+1,1))</f>
        <v>211.14768428403215</v>
      </c>
      <c r="FK66" s="59">
        <f t="shared" si="48"/>
        <v>350.7800157534798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43.203832346678951</v>
      </c>
      <c r="FR66" s="21">
        <f>EXP(-LN(2)/25)*FR65+(1-EXP(-LN(2)/25))/(LN(2)/25)*Calculateur!FM66*Calculateur!FO66*VLOOKUP('Données projet'!$B$16,Paramètres!$A$1:$I$89,3,0)*0.475*44/12</f>
        <v>8.6171591510502701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51.820991497729224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55.910400000000081</v>
      </c>
      <c r="D67" s="11">
        <f t="shared" si="32"/>
        <v>16.130080159534312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556.10195210868665</v>
      </c>
      <c r="H67" s="66">
        <f t="shared" si="1"/>
        <v>418.80383627785574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6</v>
      </c>
      <c r="N67" s="13">
        <f>IF('Données projet'!$A$36&gt;35,N66+M67-V66,IF(A67&lt;'Données projet'!$A$36,$K$205^A67,IF(A67='Données projet'!$A$36,'Données projet'!$B$36,N66+M67-V66)))</f>
        <v>246.00000000000009</v>
      </c>
      <c r="O67" s="13">
        <f>N67*VLOOKUP('Données projet'!$B$9,Paramètres!$A$1:$I$89,3,0)*VLOOKUP('Données projet'!$B$9,Paramètres!$A$1:$I$89,5,0)</f>
        <v>214.90560000000008</v>
      </c>
      <c r="P67" s="13">
        <f t="shared" si="33"/>
        <v>53.006137800892326</v>
      </c>
      <c r="Q67" s="20">
        <f t="shared" ref="Q67:Q98" si="54">(O67+P67)*0.475*44/12</f>
        <v>466.61294333655428</v>
      </c>
      <c r="R67" s="59">
        <f t="shared" ref="R67:R130" si="55">Q67+(I67+J67)*44/12</f>
        <v>759.94627666988754</v>
      </c>
      <c r="S67" s="59">
        <f ca="1">AVERAGE(OFFSET($R$3,0,0,'Données projet'!$E$9+1,1))-AVERAGE(OFFSET($H$3,0,0,'Données projet'!$E$9+1,1))</f>
        <v>252.49539407921907</v>
      </c>
      <c r="T67" s="59">
        <f t="shared" si="34"/>
        <v>263.36387286233929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51.090896824578131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51.090896824578131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11.28875</v>
      </c>
      <c r="AI67" s="13">
        <f>IF('Données projet'!$A$62&gt;35,AI66+AH67-AQ66,IF(A67&lt;'Données projet'!$A$62,$AF$205^A67,IF(A67='Données projet'!$A$62,'Données projet'!$B$62,AI66+AH67-AQ66)))</f>
        <v>269.66874999999999</v>
      </c>
      <c r="AJ67" s="13">
        <f>AI67*VLOOKUP('Données projet'!$B$10,Paramètres!$A$1:$I$89,3,0)*VLOOKUP('Données projet'!$B$10,Paramètres!$A$1:$I$89,5,0)</f>
        <v>243.996285</v>
      </c>
      <c r="AK67" s="13">
        <f t="shared" si="35"/>
        <v>59.298522534643098</v>
      </c>
      <c r="AL67" s="20">
        <f t="shared" si="4"/>
        <v>528.23845645617007</v>
      </c>
      <c r="AM67" s="59">
        <f t="shared" si="5"/>
        <v>821.57178978950333</v>
      </c>
      <c r="AN67" s="59">
        <f ca="1">AVERAGE(OFFSET($AM$3,0,0,'Données projet'!$E$10+1,1))-AVERAGE(OFFSET($H$3,0,0,'Données projet'!$E$10+1,1))</f>
        <v>370.05613271587413</v>
      </c>
      <c r="AO67" s="59">
        <f t="shared" si="36"/>
        <v>183.24480056442525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92.748294438843317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92.748294438843317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11.28875</v>
      </c>
      <c r="BD67" s="12">
        <f>IF('Données projet'!$A$88&gt;35,BD66+BC67-BL66,IF(A67&lt;'Données projet'!$A$88,$BA$205^A67,IF(A67='Données projet'!$A$88,'Données projet'!$B$88,BD66+BC67-BL66)))</f>
        <v>269.66874999999999</v>
      </c>
      <c r="BE67" s="13">
        <f>BD67*VLOOKUP('Données projet'!$B$11,Paramètres!$A$1:$I$89,3,0)*VLOOKUP('Données projet'!$B$11,Paramètres!$A$1:$I$89,5,0)</f>
        <v>273.44411250000002</v>
      </c>
      <c r="BF67" s="13">
        <f t="shared" si="37"/>
        <v>65.579656803641157</v>
      </c>
      <c r="BG67" s="20">
        <f t="shared" si="7"/>
        <v>590.46639820384166</v>
      </c>
      <c r="BH67" s="59">
        <f t="shared" si="8"/>
        <v>883.79973153717492</v>
      </c>
      <c r="BI67" s="59">
        <f ca="1">AVERAGE(OFFSET($BH$3,0,0,'Données projet'!$E$11+1,1))-AVERAGE(OFFSET($H$3,0,0,'Données projet'!$E$11+1,1))</f>
        <v>428.72181435671394</v>
      </c>
      <c r="BJ67" s="59">
        <f t="shared" si="38"/>
        <v>211.84936043087572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103.94205411249681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103.94205411249681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</v>
      </c>
      <c r="BY67" s="12">
        <f>IF('Données projet'!$A$114&gt;35,BY66+BX67-CG66,IF(A67&lt;'Données projet'!$A$114,$BV$205^A67,IF(A67='Données projet'!$A$114,'Données projet'!$B$114,BY66+BX67-CG66)))</f>
        <v>349.99999999999972</v>
      </c>
      <c r="BZ67" s="13">
        <f>BY67*VLOOKUP('Données projet'!$B$12,Paramètres!$A$1:$I$89,3,0)*VLOOKUP('Données projet'!$B$12,Paramètres!$A$1:$I$89,5,0)</f>
        <v>278.45999999999981</v>
      </c>
      <c r="CA67" s="13">
        <f t="shared" si="39"/>
        <v>66.641458222154824</v>
      </c>
      <c r="CB67" s="20">
        <f t="shared" si="10"/>
        <v>601.05170640358597</v>
      </c>
      <c r="CC67" s="59">
        <f t="shared" si="11"/>
        <v>894.38503973691923</v>
      </c>
      <c r="CD67" s="59">
        <f ca="1">AVERAGE(OFFSET($CC$3,0,0,'Données projet'!$E$12+1,1))-AVERAGE(OFFSET($H$3,0,0,'Données projet'!$E$12+1,1))</f>
        <v>296.737543892524</v>
      </c>
      <c r="CE67" s="59">
        <f t="shared" si="40"/>
        <v>296.38358650317099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52.69538133198057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52.69538133198057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12.4</v>
      </c>
      <c r="CT67" s="12">
        <f>IF('Données projet'!$A$140&gt;35,CT66+CS67-DB66,IF(A67&lt;'Données projet'!$A$140,$CQ$205^A67,IF(A67='Données projet'!$A$140,'Données projet'!$B$140,CT66+CS67-DB66)))</f>
        <v>350.59999999999997</v>
      </c>
      <c r="CU67" s="17">
        <f>CT67*VLOOKUP('Données projet'!$B$13,Paramètres!$A$1:$I$89,3,0)*VLOOKUP('Données projet'!$B$13,Paramètres!$A$1:$I$89,5,0)</f>
        <v>300.81479999999999</v>
      </c>
      <c r="CV67" s="13">
        <f t="shared" si="41"/>
        <v>71.347249879076941</v>
      </c>
      <c r="CW67" s="20">
        <f t="shared" si="13"/>
        <v>648.18223687272553</v>
      </c>
      <c r="CX67" s="59">
        <f t="shared" si="14"/>
        <v>941.51557020605878</v>
      </c>
      <c r="CY67" s="59">
        <f ca="1">AVERAGE(OFFSET($CX$3,0,0,'Données projet'!$E$13+1,1))-AVERAGE(OFFSET($H$3,0,0,'Données projet'!$E$13+1,1))</f>
        <v>391.93999504334352</v>
      </c>
      <c r="CZ67" s="59">
        <f t="shared" si="42"/>
        <v>215.4484906985528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77.233695218669709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77.233695218669709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6</v>
      </c>
      <c r="DO67" s="12">
        <f>IF('Données projet'!$A$166&gt;35,DO66+DN67-DW66,IF(A67&lt;'Données projet'!$A$166,$DL$205^A67,IF(A67='Données projet'!$A$166,'Données projet'!$B$166,DO66+DN67-DW66)))</f>
        <v>349.99999999999972</v>
      </c>
      <c r="DP67" s="17">
        <f>DO67*VLOOKUP('Données projet'!$B$14,Paramètres!$A$1:$I$89,3,0)*VLOOKUP('Données projet'!$B$14,Paramètres!$A$1:$I$89,5,0)</f>
        <v>256.61999999999978</v>
      </c>
      <c r="DQ67" s="13">
        <f t="shared" si="43"/>
        <v>62.001350774926514</v>
      </c>
      <c r="DR67" s="20">
        <f t="shared" si="16"/>
        <v>554.9321859329965</v>
      </c>
      <c r="DS67" s="59">
        <f t="shared" si="17"/>
        <v>848.26551926632987</v>
      </c>
      <c r="DT67" s="59">
        <f ca="1">AVERAGE(OFFSET($DS$3,0,0,'Données projet'!$E$14+1,1))-AVERAGE(OFFSET($H$3,0,0,'Données projet'!$E$14+1,1))</f>
        <v>267.92147257573157</v>
      </c>
      <c r="DU67" s="59">
        <f t="shared" si="44"/>
        <v>269.06662611892438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39.39969133256853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39.39969133256853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0.8600000000003547</v>
      </c>
      <c r="EK67" s="17">
        <f>EJ67*VLOOKUP('Données projet'!$B$15,Paramètres!$A$1:$I$89,3,0)*VLOOKUP('Données projet'!$B$15,Paramètres!$A$1:$I$89,5,0)</f>
        <v>0.48074000000019829</v>
      </c>
      <c r="EL67" s="13">
        <f t="shared" si="45"/>
        <v>0.24126147010950588</v>
      </c>
      <c r="EM67" s="20">
        <f t="shared" si="19"/>
        <v>1.2574858937744013</v>
      </c>
      <c r="EN67" s="59">
        <f t="shared" si="20"/>
        <v>294.59081922710772</v>
      </c>
      <c r="EO67" s="59">
        <f ca="1">AVERAGE(OFFSET($EN$3,0,0,'Données projet'!$E$15+1,1))-AVERAGE(OFFSET($H$3,0,0,'Données projet'!$E$15+1,1))</f>
        <v>326.29985515186428</v>
      </c>
      <c r="EP67" s="59">
        <f t="shared" si="46"/>
        <v>437.68177084535927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311.09268420586397</v>
      </c>
      <c r="EW67" s="21">
        <f>EXP(-LN(2)/25)*EW66+(1-EXP(-LN(2)/25))/(LN(2)/25)*Calculateur!ER67*Calculateur!ET67*VLOOKUP('Données projet'!$B$15,Paramètres!$A$1:$I$89,3,0)*0.475*44/12</f>
        <v>19.701671766239802</v>
      </c>
      <c r="EX67" s="21">
        <f>EXP(-LN(2)/2)*EX66+(1-EXP(-LN(2)/2))/(LN(2)/2)*ER67*EU67*VLOOKUP('Données projet'!$B$15,Paramètres!$A$1:$I$89,3,0)*0.475*44/12</f>
        <v>5.6451456379914256E-6</v>
      </c>
      <c r="EY67" s="22">
        <f t="shared" si="21"/>
        <v>330.79436161724942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1.7053025658242404E-13</v>
      </c>
      <c r="FF67" s="17">
        <f>FE67*VLOOKUP('Données projet'!$B$16,Paramètres!$A$1:$I$89,3,0)*VLOOKUP('Données projet'!$B$16,Paramètres!$A$1:$I$89,5,0)</f>
        <v>9.7631982498569413E-14</v>
      </c>
      <c r="FG67" s="13">
        <f t="shared" si="47"/>
        <v>1.4708068762530911E-12</v>
      </c>
      <c r="FH67" s="20">
        <f t="shared" si="22"/>
        <v>2.7316976789924749E-12</v>
      </c>
      <c r="FI67" s="59">
        <f t="shared" si="23"/>
        <v>293.33333333333604</v>
      </c>
      <c r="FJ67" s="59">
        <f ca="1">AVERAGE(OFFSET($FI$3,0,0,'Données projet'!$E$16+1,1))-AVERAGE(OFFSET($H$3,0,0,'Données projet'!$E$16+1,1))</f>
        <v>211.14768428403215</v>
      </c>
      <c r="FK67" s="59">
        <f t="shared" si="48"/>
        <v>350.7800157534798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42.356631546096288</v>
      </c>
      <c r="FR67" s="21">
        <f>EXP(-LN(2)/25)*FR66+(1-EXP(-LN(2)/25))/(LN(2)/25)*Calculateur!FM67*Calculateur!FO67*VLOOKUP('Données projet'!$B$16,Paramètres!$A$1:$I$89,3,0)*0.475*44/12</f>
        <v>8.3815224809080959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50.738154027004384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56.784000000000084</v>
      </c>
      <c r="D68" s="11">
        <f t="shared" si="32"/>
        <v>16.352574732529369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564.56303302303434</v>
      </c>
      <c r="H68" s="66">
        <f t="shared" ref="H68:H131" si="56">(B68+E68+F68)*44/12+(C68+D68)*0.475*44/12</f>
        <v>420.71286765915545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252</v>
      </c>
      <c r="L68" s="12">
        <f>VLOOKUP(A68,'Données projet'!$A$35:$I$55,9,0)</f>
        <v>6</v>
      </c>
      <c r="M68" s="12">
        <f t="array" ref="M68">INDEX(L:L,MIN(IF(ISNUMBER(L68:L264),ROW(L68:L264),"")))</f>
        <v>6</v>
      </c>
      <c r="N68" s="13">
        <f>IF('Données projet'!$A$36&gt;35,N67+M68-V67,IF(A68&lt;'Données projet'!$A$36,$K$205^A68,IF(A68='Données projet'!$A$36,'Données projet'!$B$36,N67+M68-V67)))</f>
        <v>252.00000000000009</v>
      </c>
      <c r="O68" s="13">
        <f>N68*VLOOKUP('Données projet'!$B$9,Paramètres!$A$1:$I$89,3,0)*VLOOKUP('Données projet'!$B$9,Paramètres!$A$1:$I$89,5,0)</f>
        <v>220.14720000000011</v>
      </c>
      <c r="P68" s="13">
        <f t="shared" si="33"/>
        <v>54.146877667769687</v>
      </c>
      <c r="Q68" s="20">
        <f t="shared" si="54"/>
        <v>477.72885193803239</v>
      </c>
      <c r="R68" s="59">
        <f t="shared" si="55"/>
        <v>771.06218527136571</v>
      </c>
      <c r="S68" s="59">
        <f ca="1">AVERAGE(OFFSET($R$3,0,0,'Données projet'!$E$9+1,1))-AVERAGE(OFFSET($H$3,0,0,'Données projet'!$E$9+1,1))</f>
        <v>252.49539407921907</v>
      </c>
      <c r="T68" s="59">
        <f t="shared" si="34"/>
        <v>263.36387286233929</v>
      </c>
      <c r="U68" s="15">
        <f>IF(ISNA(VLOOKUP(A68,'Données projet'!$A$35:$I$55,3,0)),0,VLOOKUP(A68,'Données projet'!$A$35:$I$55,3,0))</f>
        <v>11</v>
      </c>
      <c r="V68" s="15">
        <f>IF(ISNA(VLOOKUP(A68,'Données projet'!$A$35:$I$55,4,0)),0,VLOOKUP(A68,'Données projet'!$A$35:$I$55,4,0))</f>
        <v>22</v>
      </c>
      <c r="W68" s="16">
        <f>IF(ISNA(VLOOKUP(A68,'Données projet'!$A$35:$I$55,5,0)),0%,VLOOKUP(A68,'Données projet'!$A$35:$I$55,5,0)*VLOOKUP('Données projet'!$B$9,Paramètres!$A$1:$I$89,7,0))</f>
        <v>0.43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59.224925717095651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59.224925717095651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11.28875</v>
      </c>
      <c r="AI68" s="13">
        <f>IF('Données projet'!$A$62&gt;35,AI67+AH68-AQ67,IF(A68&lt;'Données projet'!$A$62,$AF$205^A68,IF(A68='Données projet'!$A$62,'Données projet'!$B$62,AI67+AH68-AQ67)))</f>
        <v>280.95749999999998</v>
      </c>
      <c r="AJ68" s="13">
        <f>AI68*VLOOKUP('Données projet'!$B$10,Paramètres!$A$1:$I$89,3,0)*VLOOKUP('Données projet'!$B$10,Paramètres!$A$1:$I$89,5,0)</f>
        <v>254.21034599999999</v>
      </c>
      <c r="AK68" s="13">
        <f t="shared" si="35"/>
        <v>61.486644866788161</v>
      </c>
      <c r="AL68" s="20">
        <f t="shared" ref="AL68:AL131" si="58">(AJ68+AK68)*0.475*44/12</f>
        <v>549.83892575965604</v>
      </c>
      <c r="AM68" s="59">
        <f t="shared" ref="AM68:AM131" si="59">AL68+(AD68+AE68)*44/12</f>
        <v>843.17225909298941</v>
      </c>
      <c r="AN68" s="59">
        <f ca="1">AVERAGE(OFFSET($AM$3,0,0,'Données projet'!$E$10+1,1))-AVERAGE(OFFSET($H$3,0,0,'Données projet'!$E$10+1,1))</f>
        <v>370.05613271587413</v>
      </c>
      <c r="AO68" s="59">
        <f t="shared" si="36"/>
        <v>183.24480056442525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90.929556955771304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90.929556955771304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11.28875</v>
      </c>
      <c r="BD68" s="12">
        <f>IF('Données projet'!$A$88&gt;35,BD67+BC68-BL67,IF(A68&lt;'Données projet'!$A$88,$BA$205^A68,IF(A68='Données projet'!$A$88,'Données projet'!$B$88,BD67+BC68-BL67)))</f>
        <v>280.95749999999998</v>
      </c>
      <c r="BE68" s="13">
        <f>BD68*VLOOKUP('Données projet'!$B$11,Paramètres!$A$1:$I$89,3,0)*VLOOKUP('Données projet'!$B$11,Paramètres!$A$1:$I$89,5,0)</f>
        <v>284.89090500000003</v>
      </c>
      <c r="BF68" s="13">
        <f t="shared" si="37"/>
        <v>67.99955371595675</v>
      </c>
      <c r="BG68" s="20">
        <f t="shared" ref="BG68:BG131" si="61">(BE68+BF68)*0.475*44/12</f>
        <v>614.61754893029149</v>
      </c>
      <c r="BH68" s="59">
        <f t="shared" ref="BH68:BH131" si="62">BG68+(AY68+AZ68)*44/12</f>
        <v>907.95088226362486</v>
      </c>
      <c r="BI68" s="59">
        <f ca="1">AVERAGE(OFFSET($BH$3,0,0,'Données projet'!$E$11+1,1))-AVERAGE(OFFSET($H$3,0,0,'Données projet'!$E$11+1,1))</f>
        <v>428.72181435671394</v>
      </c>
      <c r="BJ68" s="59">
        <f t="shared" si="38"/>
        <v>211.84936043087572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101.90381382974368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101.90381382974368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356</v>
      </c>
      <c r="BW68" s="12">
        <f>VLOOKUP(A68,'Données projet'!$A$113:$I$133,9,0)</f>
        <v>6</v>
      </c>
      <c r="BX68" s="12">
        <f t="array" ref="BX68">INDEX(BW:BW,MIN(IF(ISNUMBER(BW68:BW264),ROW(BW68:BW264),"")))</f>
        <v>6</v>
      </c>
      <c r="BY68" s="12">
        <f>IF('Données projet'!$A$114&gt;35,BY67+BX68-CG67,IF(A68&lt;'Données projet'!$A$114,$BV$205^A68,IF(A68='Données projet'!$A$114,'Données projet'!$B$114,BY67+BX68-CG67)))</f>
        <v>355.99999999999972</v>
      </c>
      <c r="BZ68" s="13">
        <f>BY68*VLOOKUP('Données projet'!$B$12,Paramètres!$A$1:$I$89,3,0)*VLOOKUP('Données projet'!$B$12,Paramètres!$A$1:$I$89,5,0)</f>
        <v>283.2335999999998</v>
      </c>
      <c r="CA68" s="13">
        <f t="shared" si="39"/>
        <v>67.649904178362377</v>
      </c>
      <c r="CB68" s="20">
        <f t="shared" ref="CB68:CB131" si="64">(BZ68+CA68)*0.475*44/12</f>
        <v>611.12210311064734</v>
      </c>
      <c r="CC68" s="59">
        <f t="shared" ref="CC68:CC131" si="65">CB68+(BT68+BU68)*44/12</f>
        <v>904.45543644398072</v>
      </c>
      <c r="CD68" s="59">
        <f ca="1">AVERAGE(OFFSET($CC$3,0,0,'Données projet'!$E$12+1,1))-AVERAGE(OFFSET($H$3,0,0,'Données projet'!$E$12+1,1))</f>
        <v>296.737543892524</v>
      </c>
      <c r="CE68" s="59">
        <f t="shared" si="40"/>
        <v>296.38358650317099</v>
      </c>
      <c r="CF68" s="15">
        <f>IF(ISNA(VLOOKUP(A68,'Données projet'!$A$113:$I$133,3,0)),0,VLOOKUP(A68,'Données projet'!$A$113:$I$133,3,0))</f>
        <v>12</v>
      </c>
      <c r="CG68" s="15">
        <f>IF(ISNA(VLOOKUP(A68,'Données projet'!$A$113:$I$133,4,0)),0,VLOOKUP(A68,'Données projet'!$A$113:$I$133,4,0))</f>
        <v>16</v>
      </c>
      <c r="CH68" s="16">
        <f>IF(ISNA(VLOOKUP(A68,'Données projet'!$A$113:$I$133,5,0)),0%,VLOOKUP(A68,'Données projet'!$A$113:$I$133,5,0)*VLOOKUP('Données projet'!$B$12,Paramètres!$A$1:$I$89,7,0))</f>
        <v>0.53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59.120320789019786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59.120320789019786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363</v>
      </c>
      <c r="CR68" s="12">
        <f>VLOOKUP(A68,'Données projet'!$A$139:$I$159,9,0)</f>
        <v>12.4</v>
      </c>
      <c r="CS68" s="12">
        <f t="array" ref="CS68">INDEX(CR:CR,MIN(IF(ISNUMBER(CR68:CR264),ROW(CR68:CR264),"")))</f>
        <v>12.4</v>
      </c>
      <c r="CT68" s="12">
        <f>IF('Données projet'!$A$140&gt;35,CT67+CS68-DB67,IF(A68&lt;'Données projet'!$A$140,$CQ$205^A68,IF(A68='Données projet'!$A$140,'Données projet'!$B$140,CT67+CS68-DB67)))</f>
        <v>362.99999999999994</v>
      </c>
      <c r="CU68" s="17">
        <f>CT68*VLOOKUP('Données projet'!$B$13,Paramètres!$A$1:$I$89,3,0)*VLOOKUP('Données projet'!$B$13,Paramètres!$A$1:$I$89,5,0)</f>
        <v>311.45399999999995</v>
      </c>
      <c r="CV68" s="13">
        <f t="shared" si="41"/>
        <v>73.572400496659426</v>
      </c>
      <c r="CW68" s="20">
        <f t="shared" ref="CW68:CW131" si="67">(CU68+CV68)*0.475*44/12</f>
        <v>670.5876475316818</v>
      </c>
      <c r="CX68" s="59">
        <f t="shared" ref="CX68:CX131" si="68">CW68+(CO68+CP68)*44/12</f>
        <v>963.92098086501505</v>
      </c>
      <c r="CY68" s="59">
        <f ca="1">AVERAGE(OFFSET($CX$3,0,0,'Données projet'!$E$13+1,1))-AVERAGE(OFFSET($H$3,0,0,'Données projet'!$E$13+1,1))</f>
        <v>391.93999504334352</v>
      </c>
      <c r="CZ68" s="59">
        <f t="shared" si="42"/>
        <v>215.4484906985528</v>
      </c>
      <c r="DA68" s="15">
        <f>IF(ISNA(VLOOKUP(A68,'Données projet'!$A$139:$I$159,3,0)),0,VLOOKUP(A68,'Données projet'!$A$139:$I$159,3,0))</f>
        <v>9</v>
      </c>
      <c r="DB68" s="15">
        <f>IF(ISNA(VLOOKUP(A68,'Données projet'!$A$139:$I$159,4,0)),0,VLOOKUP(A68,'Données projet'!$A$139:$I$159,4,0))</f>
        <v>35</v>
      </c>
      <c r="DC68" s="16">
        <f>IF(ISNA(VLOOKUP(A68,'Données projet'!$A$139:$I$159,5,0)),0%,VLOOKUP(A68,'Données projet'!$A$139:$I$159,5,0)*VLOOKUP('Données projet'!$B$13,Paramètres!$A$1:$I$89,7,0))</f>
        <v>0.53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93.313745576942637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93.313745576942637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356</v>
      </c>
      <c r="DM68" s="12">
        <f>VLOOKUP(A68,'Données projet'!$A$165:$I$185,9,0)</f>
        <v>6</v>
      </c>
      <c r="DN68" s="12">
        <f t="array" ref="DN68">INDEX(DM:DM,MIN(IF(ISNUMBER(DM68:DM264),ROW(DM68:DM264),"")))</f>
        <v>6</v>
      </c>
      <c r="DO68" s="12">
        <f>IF('Données projet'!$A$166&gt;35,DO67+DN68-DW67,IF(A68&lt;'Données projet'!$A$166,$DL$205^A68,IF(A68='Données projet'!$A$166,'Données projet'!$B$166,DO67+DN68-DW67)))</f>
        <v>355.99999999999972</v>
      </c>
      <c r="DP68" s="17">
        <f>DO68*VLOOKUP('Données projet'!$B$14,Paramètres!$A$1:$I$89,3,0)*VLOOKUP('Données projet'!$B$14,Paramètres!$A$1:$I$89,5,0)</f>
        <v>261.01919999999978</v>
      </c>
      <c r="DQ68" s="13">
        <f t="shared" si="43"/>
        <v>62.939580716713571</v>
      </c>
      <c r="DR68" s="20">
        <f t="shared" ref="DR68:DR131" si="70">(DP68+DQ68)*0.475*44/12</f>
        <v>564.22820974827573</v>
      </c>
      <c r="DS68" s="59">
        <f t="shared" ref="DS68:DS131" si="71">DR68+(DJ68+DK68)*44/12</f>
        <v>857.56154308160899</v>
      </c>
      <c r="DT68" s="59">
        <f ca="1">AVERAGE(OFFSET($DS$3,0,0,'Données projet'!$E$14+1,1))-AVERAGE(OFFSET($H$3,0,0,'Données projet'!$E$14+1,1))</f>
        <v>267.92147257573157</v>
      </c>
      <c r="DU68" s="59">
        <f t="shared" si="44"/>
        <v>269.06662611892438</v>
      </c>
      <c r="DV68" s="15">
        <f>IF(ISNA(VLOOKUP(A68,'Données projet'!$A$165:$I$185,3,0)),0,VLOOKUP(A68,'Données projet'!$A$165:$I$185,3,0))</f>
        <v>12</v>
      </c>
      <c r="DW68" s="15">
        <f>IF(ISNA(VLOOKUP(A68,'Données projet'!$A$165:$I$185,4,0)),0,VLOOKUP(A68,'Données projet'!$A$165:$I$185,4,0))</f>
        <v>16</v>
      </c>
      <c r="DX68" s="16">
        <f>IF(ISNA(VLOOKUP(A68,'Données projet'!$A$165:$I$185,5,0)),0%,VLOOKUP(A68,'Données projet'!$A$165:$I$185,5,0)*VLOOKUP('Données projet'!$B$14,Paramètres!$A$1:$I$89,7,0))</f>
        <v>0.43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44.203539887017754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44.203539887017754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0.8600000000003547</v>
      </c>
      <c r="EK68" s="17">
        <f>EJ68*VLOOKUP('Données projet'!$B$15,Paramètres!$A$1:$I$89,3,0)*VLOOKUP('Données projet'!$B$15,Paramètres!$A$1:$I$89,5,0)</f>
        <v>0.48074000000019829</v>
      </c>
      <c r="EL68" s="13">
        <f t="shared" si="45"/>
        <v>0.24126147010950588</v>
      </c>
      <c r="EM68" s="20">
        <f t="shared" ref="EM68:EM131" si="73">(EK68+EL68)*0.475*44/12</f>
        <v>1.2574858937744013</v>
      </c>
      <c r="EN68" s="59">
        <f t="shared" ref="EN68:EN131" si="74">EM68+(EE68+EF68)*44/12</f>
        <v>294.59081922710772</v>
      </c>
      <c r="EO68" s="59">
        <f ca="1">AVERAGE(OFFSET($EN$3,0,0,'Données projet'!$E$15+1,1))-AVERAGE(OFFSET($H$3,0,0,'Données projet'!$E$15+1,1))</f>
        <v>326.29985515186428</v>
      </c>
      <c r="EP68" s="59">
        <f t="shared" si="46"/>
        <v>437.68177084535927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304.99234641638833</v>
      </c>
      <c r="EW68" s="21">
        <f>EXP(-LN(2)/25)*EW67+(1-EXP(-LN(2)/25))/(LN(2)/25)*Calculateur!ER68*Calculateur!ET68*VLOOKUP('Données projet'!$B$15,Paramètres!$A$1:$I$89,3,0)*0.475*44/12</f>
        <v>19.162928515726083</v>
      </c>
      <c r="EX68" s="21">
        <f>EXP(-LN(2)/2)*EX67+(1-EXP(-LN(2)/2))/(LN(2)/2)*ER68*EU68*VLOOKUP('Données projet'!$B$15,Paramètres!$A$1:$I$89,3,0)*0.475*44/12</f>
        <v>3.9917207614093961E-6</v>
      </c>
      <c r="EY68" s="22">
        <f t="shared" ref="EY68:EY131" si="75">SUM(EV68:EX68)</f>
        <v>324.15527892383517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1.7053025658242404E-13</v>
      </c>
      <c r="FF68" s="17">
        <f>FE68*VLOOKUP('Données projet'!$B$16,Paramètres!$A$1:$I$89,3,0)*VLOOKUP('Données projet'!$B$16,Paramètres!$A$1:$I$89,5,0)</f>
        <v>9.7631982498569413E-14</v>
      </c>
      <c r="FG68" s="13">
        <f t="shared" si="47"/>
        <v>1.4708068762530911E-12</v>
      </c>
      <c r="FH68" s="20">
        <f t="shared" ref="FH68:FH131" si="76">(FF68+FG68)*0.475*44/12</f>
        <v>2.7316976789924749E-12</v>
      </c>
      <c r="FI68" s="59">
        <f t="shared" ref="FI68:FI131" si="77">FH68+(EZ68+FA68)*44/12</f>
        <v>293.33333333333604</v>
      </c>
      <c r="FJ68" s="59">
        <f ca="1">AVERAGE(OFFSET($FI$3,0,0,'Données projet'!$E$16+1,1))-AVERAGE(OFFSET($H$3,0,0,'Données projet'!$E$16+1,1))</f>
        <v>211.14768428403215</v>
      </c>
      <c r="FK68" s="59">
        <f t="shared" si="48"/>
        <v>350.7800157534798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41.526043836471587</v>
      </c>
      <c r="FR68" s="21">
        <f>EXP(-LN(2)/25)*FR67+(1-EXP(-LN(2)/25))/(LN(2)/25)*Calculateur!FM68*Calculateur!FO68*VLOOKUP('Données projet'!$B$16,Paramètres!$A$1:$I$89,3,0)*0.475*44/12</f>
        <v>8.1523293079025532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49.678373144374142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57.657600000000087</v>
      </c>
      <c r="D69" s="11">
        <f t="shared" ref="D69:D132" si="86">IFERROR(EXP(-1.0587+0.8836*LN(C69)+0.284),0)</f>
        <v>16.574671209026054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573.02104091178069</v>
      </c>
      <c r="H69" s="66">
        <f t="shared" si="56"/>
        <v>422.6212056890538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5.4</v>
      </c>
      <c r="N69" s="13">
        <f>IF('Données projet'!$A$36&gt;35,N68+M69-V68,IF(A69&lt;'Données projet'!$A$36,$K$205^A69,IF(A69='Données projet'!$A$36,'Données projet'!$B$36,N68+M69-V68)))</f>
        <v>235.40000000000009</v>
      </c>
      <c r="O69" s="13">
        <f>N69*VLOOKUP('Données projet'!$B$9,Paramètres!$A$1:$I$89,3,0)*VLOOKUP('Données projet'!$B$9,Paramètres!$A$1:$I$89,5,0)</f>
        <v>205.64544000000012</v>
      </c>
      <c r="P69" s="13">
        <f t="shared" ref="P69:P132" si="87">EXP(-1.0587+0.8836*LN(O69)+0.284)</f>
        <v>50.982847417614401</v>
      </c>
      <c r="Q69" s="20">
        <f t="shared" si="54"/>
        <v>446.96093391901189</v>
      </c>
      <c r="R69" s="59">
        <f t="shared" si="55"/>
        <v>740.29426725234521</v>
      </c>
      <c r="S69" s="59">
        <f ca="1">AVERAGE(OFFSET($R$3,0,0,'Données projet'!$E$9+1,1))-AVERAGE(OFFSET($H$3,0,0,'Données projet'!$E$9+1,1))</f>
        <v>252.49539407921907</v>
      </c>
      <c r="T69" s="59">
        <f t="shared" ref="T69:T132" si="88">$T$3</f>
        <v>263.36387286233929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58.063561047421182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58.063561047421182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11.28875</v>
      </c>
      <c r="AI69" s="13">
        <f>IF('Données projet'!$A$62&gt;35,AI68+AH69-AQ68,IF(A69&lt;'Données projet'!$A$62,$AF$205^A69,IF(A69='Données projet'!$A$62,'Données projet'!$B$62,AI68+AH69-AQ68)))</f>
        <v>292.24624999999997</v>
      </c>
      <c r="AJ69" s="13">
        <f>AI69*VLOOKUP('Données projet'!$B$10,Paramètres!$A$1:$I$89,3,0)*VLOOKUP('Données projet'!$B$10,Paramètres!$A$1:$I$89,5,0)</f>
        <v>264.42440699999997</v>
      </c>
      <c r="AK69" s="13">
        <f t="shared" ref="AK69:AK132" si="89">EXP(-1.0587+0.8836*LN(AJ69)+0.284)</f>
        <v>63.664554558165378</v>
      </c>
      <c r="AL69" s="20">
        <f t="shared" si="58"/>
        <v>571.42160804713797</v>
      </c>
      <c r="AM69" s="59">
        <f t="shared" si="59"/>
        <v>864.75494138047134</v>
      </c>
      <c r="AN69" s="59">
        <f ca="1">AVERAGE(OFFSET($AM$3,0,0,'Données projet'!$E$10+1,1))-AVERAGE(OFFSET($H$3,0,0,'Données projet'!$E$10+1,1))</f>
        <v>370.05613271587413</v>
      </c>
      <c r="AO69" s="59">
        <f t="shared" ref="AO69:AO132" si="90">$AO$3</f>
        <v>183.24480056442525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89.146483805421994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89.146483805421994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11.28875</v>
      </c>
      <c r="BD69" s="12">
        <f>IF('Données projet'!$A$88&gt;35,BD68+BC69-BL68,IF(A69&lt;'Données projet'!$A$88,$BA$205^A69,IF(A69='Données projet'!$A$88,'Données projet'!$B$88,BD68+BC69-BL68)))</f>
        <v>292.24624999999997</v>
      </c>
      <c r="BE69" s="13">
        <f>BD69*VLOOKUP('Données projet'!$B$11,Paramètres!$A$1:$I$89,3,0)*VLOOKUP('Données projet'!$B$11,Paramètres!$A$1:$I$89,5,0)</f>
        <v>296.33769749999999</v>
      </c>
      <c r="BF69" s="13">
        <f t="shared" ref="BF69:BF132" si="91">EXP(-1.0587+0.8836*LN(BE69)+0.284)</f>
        <v>70.408156224162596</v>
      </c>
      <c r="BG69" s="20">
        <f t="shared" si="61"/>
        <v>638.74902856958317</v>
      </c>
      <c r="BH69" s="59">
        <f t="shared" si="62"/>
        <v>932.08236190291655</v>
      </c>
      <c r="BI69" s="59">
        <f ca="1">AVERAGE(OFFSET($BH$3,0,0,'Données projet'!$E$11+1,1))-AVERAGE(OFFSET($H$3,0,0,'Données projet'!$E$11+1,1))</f>
        <v>428.72181435671394</v>
      </c>
      <c r="BJ69" s="59">
        <f t="shared" ref="BJ69:BJ132" si="92">$BJ$3</f>
        <v>211.84936043087572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99.905542195731527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99.905542195731527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5.2</v>
      </c>
      <c r="BY69" s="12">
        <f>IF('Données projet'!$A$114&gt;35,BY68+BX69-CG68,IF(A69&lt;'Données projet'!$A$114,$BV$205^A69,IF(A69='Données projet'!$A$114,'Données projet'!$B$114,BY68+BX69-CG68)))</f>
        <v>345.1999999999997</v>
      </c>
      <c r="BZ69" s="13">
        <f>BY69*VLOOKUP('Données projet'!$B$12,Paramètres!$A$1:$I$89,3,0)*VLOOKUP('Données projet'!$B$12,Paramètres!$A$1:$I$89,5,0)</f>
        <v>274.64111999999977</v>
      </c>
      <c r="CA69" s="13">
        <f t="shared" ref="CA69:CA132" si="93">EXP(-1.0587+0.8836*LN(BZ69)+0.284)</f>
        <v>65.833252956609641</v>
      </c>
      <c r="CB69" s="20">
        <f t="shared" si="64"/>
        <v>592.99286623276123</v>
      </c>
      <c r="CC69" s="59">
        <f t="shared" si="65"/>
        <v>886.3261995660946</v>
      </c>
      <c r="CD69" s="59">
        <f ca="1">AVERAGE(OFFSET($CC$3,0,0,'Données projet'!$E$12+1,1))-AVERAGE(OFFSET($H$3,0,0,'Données projet'!$E$12+1,1))</f>
        <v>296.737543892524</v>
      </c>
      <c r="CE69" s="59">
        <f t="shared" ref="CE69:CE132" si="94">$CE$3</f>
        <v>296.38358650317099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57.961007358182179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57.961007358182179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11.8</v>
      </c>
      <c r="CT69" s="12">
        <f>IF('Données projet'!$A$140&gt;35,CT68+CS69-DB68,IF(A69&lt;'Données projet'!$A$140,$CQ$205^A69,IF(A69='Données projet'!$A$140,'Données projet'!$B$140,CT68+CS69-DB68)))</f>
        <v>339.79999999999995</v>
      </c>
      <c r="CU69" s="17">
        <f>CT69*VLOOKUP('Données projet'!$B$13,Paramètres!$A$1:$I$89,3,0)*VLOOKUP('Données projet'!$B$13,Paramètres!$A$1:$I$89,5,0)</f>
        <v>291.54840000000002</v>
      </c>
      <c r="CV69" s="13">
        <f t="shared" ref="CV69:CV132" si="95">EXP(-1.0587+0.8836*LN(CU69)+0.284)</f>
        <v>69.40174753959208</v>
      </c>
      <c r="CW69" s="20">
        <f t="shared" si="67"/>
        <v>628.65484029812285</v>
      </c>
      <c r="CX69" s="59">
        <f t="shared" si="68"/>
        <v>921.98817363145622</v>
      </c>
      <c r="CY69" s="59">
        <f ca="1">AVERAGE(OFFSET($CX$3,0,0,'Données projet'!$E$13+1,1))-AVERAGE(OFFSET($H$3,0,0,'Données projet'!$E$13+1,1))</f>
        <v>391.93999504334352</v>
      </c>
      <c r="CZ69" s="59">
        <f t="shared" ref="CZ69:CZ132" si="96">$CZ$3</f>
        <v>215.4484906985528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91.483919941943626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91.483919941943626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5.2</v>
      </c>
      <c r="DO69" s="12">
        <f>IF('Données projet'!$A$166&gt;35,DO68+DN69-DW68,IF(A69&lt;'Données projet'!$A$166,$DL$205^A69,IF(A69='Données projet'!$A$166,'Données projet'!$B$166,DO68+DN69-DW68)))</f>
        <v>345.1999999999997</v>
      </c>
      <c r="DP69" s="17">
        <f>DO69*VLOOKUP('Données projet'!$B$14,Paramètres!$A$1:$I$89,3,0)*VLOOKUP('Données projet'!$B$14,Paramètres!$A$1:$I$89,5,0)</f>
        <v>253.1006399999998</v>
      </c>
      <c r="DQ69" s="13">
        <f t="shared" ref="DQ69:DQ132" si="97">EXP(-1.0587+0.8836*LN(DP69)+0.284)</f>
        <v>61.249419177028884</v>
      </c>
      <c r="DR69" s="20">
        <f t="shared" si="70"/>
        <v>547.4930197333249</v>
      </c>
      <c r="DS69" s="59">
        <f t="shared" si="71"/>
        <v>840.82635306665816</v>
      </c>
      <c r="DT69" s="59">
        <f ca="1">AVERAGE(OFFSET($DS$3,0,0,'Données projet'!$E$14+1,1))-AVERAGE(OFFSET($H$3,0,0,'Données projet'!$E$14+1,1))</f>
        <v>267.92147257573157</v>
      </c>
      <c r="DU69" s="59">
        <f t="shared" ref="DU69:DU132" si="98">$DU$3</f>
        <v>269.06662611892438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43.336735431330439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43.336735431330439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0.8600000000003547</v>
      </c>
      <c r="EK69" s="17">
        <f>EJ69*VLOOKUP('Données projet'!$B$15,Paramètres!$A$1:$I$89,3,0)*VLOOKUP('Données projet'!$B$15,Paramètres!$A$1:$I$89,5,0)</f>
        <v>0.48074000000019829</v>
      </c>
      <c r="EL69" s="13">
        <f t="shared" ref="EL69:EL132" si="99">EXP(-1.0587+0.8836*LN(EK69)+0.284)</f>
        <v>0.24126147010950588</v>
      </c>
      <c r="EM69" s="20">
        <f t="shared" si="73"/>
        <v>1.2574858937744013</v>
      </c>
      <c r="EN69" s="59">
        <f t="shared" si="74"/>
        <v>294.59081922710772</v>
      </c>
      <c r="EO69" s="59">
        <f ca="1">AVERAGE(OFFSET($EN$3,0,0,'Données projet'!$E$15+1,1))-AVERAGE(OFFSET($H$3,0,0,'Données projet'!$E$15+1,1))</f>
        <v>326.29985515186428</v>
      </c>
      <c r="EP69" s="59">
        <f t="shared" ref="EP69:EP132" si="100">$EP$3</f>
        <v>437.68177084535927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299.01163253012561</v>
      </c>
      <c r="EW69" s="21">
        <f>EXP(-LN(2)/25)*EW68+(1-EXP(-LN(2)/25))/(LN(2)/25)*Calculateur!ER69*Calculateur!ET69*VLOOKUP('Données projet'!$B$15,Paramètres!$A$1:$I$89,3,0)*0.475*44/12</f>
        <v>18.638917227728939</v>
      </c>
      <c r="EX69" s="21">
        <f>EXP(-LN(2)/2)*EX68+(1-EXP(-LN(2)/2))/(LN(2)/2)*ER69*EU69*VLOOKUP('Données projet'!$B$15,Paramètres!$A$1:$I$89,3,0)*0.475*44/12</f>
        <v>2.8225728189957128E-6</v>
      </c>
      <c r="EY69" s="22">
        <f t="shared" si="75"/>
        <v>317.65055258042736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1.7053025658242404E-13</v>
      </c>
      <c r="FF69" s="17">
        <f>FE69*VLOOKUP('Données projet'!$B$16,Paramètres!$A$1:$I$89,3,0)*VLOOKUP('Données projet'!$B$16,Paramètres!$A$1:$I$89,5,0)</f>
        <v>9.7631982498569413E-14</v>
      </c>
      <c r="FG69" s="13">
        <f t="shared" ref="FG69:FG132" si="101">EXP(-1.0587+0.8836*LN(FF69)+0.284)</f>
        <v>1.4708068762530911E-12</v>
      </c>
      <c r="FH69" s="20">
        <f t="shared" si="76"/>
        <v>2.7316976789924749E-12</v>
      </c>
      <c r="FI69" s="59">
        <f t="shared" si="77"/>
        <v>293.33333333333604</v>
      </c>
      <c r="FJ69" s="59">
        <f ca="1">AVERAGE(OFFSET($FI$3,0,0,'Données projet'!$E$16+1,1))-AVERAGE(OFFSET($H$3,0,0,'Données projet'!$E$16+1,1))</f>
        <v>211.14768428403215</v>
      </c>
      <c r="FK69" s="59">
        <f t="shared" ref="FK69:FK132" si="102">$FK$3</f>
        <v>350.7800157534798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40.711743445224151</v>
      </c>
      <c r="FR69" s="21">
        <f>EXP(-LN(2)/25)*FR68+(1-EXP(-LN(2)/25))/(LN(2)/25)*Calculateur!FM69*Calculateur!FO69*VLOOKUP('Données projet'!$B$16,Paramètres!$A$1:$I$89,3,0)*0.475*44/12</f>
        <v>7.9294034342655921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48.641146879489746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58.531200000000091</v>
      </c>
      <c r="D70" s="11">
        <f t="shared" si="86"/>
        <v>16.796376317470774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581.47602771381014</v>
      </c>
      <c r="H70" s="66">
        <f t="shared" si="56"/>
        <v>424.52886208626171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5.4</v>
      </c>
      <c r="N70" s="13">
        <f>IF('Données projet'!$A$36&gt;35,N69+M70-V69,IF(A70&lt;'Données projet'!$A$36,$K$205^A70,IF(A70='Données projet'!$A$36,'Données projet'!$B$36,N69+M70-V69)))</f>
        <v>240.8000000000001</v>
      </c>
      <c r="O70" s="13">
        <f>N70*VLOOKUP('Données projet'!$B$9,Paramètres!$A$1:$I$89,3,0)*VLOOKUP('Données projet'!$B$9,Paramètres!$A$1:$I$89,5,0)</f>
        <v>210.3628800000001</v>
      </c>
      <c r="P70" s="13">
        <f t="shared" si="87"/>
        <v>52.014876138342963</v>
      </c>
      <c r="Q70" s="20">
        <f t="shared" si="54"/>
        <v>456.97459194094745</v>
      </c>
      <c r="R70" s="59">
        <f t="shared" si="55"/>
        <v>750.30792527428071</v>
      </c>
      <c r="S70" s="59">
        <f ca="1">AVERAGE(OFFSET($R$3,0,0,'Données projet'!$E$9+1,1))-AVERAGE(OFFSET($H$3,0,0,'Données projet'!$E$9+1,1))</f>
        <v>252.49539407921907</v>
      </c>
      <c r="T70" s="59">
        <f t="shared" si="88"/>
        <v>263.36387286233929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56.924970030556523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56.924970030556523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11.28875</v>
      </c>
      <c r="AI70" s="13">
        <f>IF('Données projet'!$A$62&gt;35,AI69+AH70-AQ69,IF(A70&lt;'Données projet'!$A$62,$AF$205^A70,IF(A70='Données projet'!$A$62,'Données projet'!$B$62,AI69+AH70-AQ69)))</f>
        <v>303.53499999999997</v>
      </c>
      <c r="AJ70" s="13">
        <f>AI70*VLOOKUP('Données projet'!$B$10,Paramètres!$A$1:$I$89,3,0)*VLOOKUP('Données projet'!$B$10,Paramètres!$A$1:$I$89,5,0)</f>
        <v>274.63846799999993</v>
      </c>
      <c r="AK70" s="13">
        <f t="shared" si="89"/>
        <v>65.832691250400728</v>
      </c>
      <c r="AL70" s="20">
        <f t="shared" si="58"/>
        <v>592.98726902778117</v>
      </c>
      <c r="AM70" s="59">
        <f t="shared" si="59"/>
        <v>886.32060236111442</v>
      </c>
      <c r="AN70" s="59">
        <f ca="1">AVERAGE(OFFSET($AM$3,0,0,'Données projet'!$E$10+1,1))-AVERAGE(OFFSET($H$3,0,0,'Données projet'!$E$10+1,1))</f>
        <v>370.05613271587413</v>
      </c>
      <c r="AO70" s="59">
        <f t="shared" si="90"/>
        <v>183.24480056442525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87.398375631983811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87.398375631983811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11.28875</v>
      </c>
      <c r="BD70" s="12">
        <f>IF('Données projet'!$A$88&gt;35,BD69+BC70-BL69,IF(A70&lt;'Données projet'!$A$88,$BA$205^A70,IF(A70='Données projet'!$A$88,'Données projet'!$B$88,BD69+BC70-BL69)))</f>
        <v>303.53499999999997</v>
      </c>
      <c r="BE70" s="13">
        <f>BD70*VLOOKUP('Données projet'!$B$11,Paramètres!$A$1:$I$89,3,0)*VLOOKUP('Données projet'!$B$11,Paramètres!$A$1:$I$89,5,0)</f>
        <v>307.78449000000001</v>
      </c>
      <c r="BF70" s="13">
        <f t="shared" si="91"/>
        <v>72.805950538466206</v>
      </c>
      <c r="BG70" s="20">
        <f t="shared" si="61"/>
        <v>662.86168393782873</v>
      </c>
      <c r="BH70" s="59">
        <f t="shared" si="62"/>
        <v>956.19501727116199</v>
      </c>
      <c r="BI70" s="59">
        <f ca="1">AVERAGE(OFFSET($BH$3,0,0,'Données projet'!$E$11+1,1))-AVERAGE(OFFSET($H$3,0,0,'Données projet'!$E$11+1,1))</f>
        <v>428.72181435671394</v>
      </c>
      <c r="BJ70" s="59">
        <f t="shared" si="92"/>
        <v>211.84936043087572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97.946455449637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97.946455449637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5.2</v>
      </c>
      <c r="BY70" s="12">
        <f>IF('Données projet'!$A$114&gt;35,BY69+BX70-CG69,IF(A70&lt;'Données projet'!$A$114,$BV$205^A70,IF(A70='Données projet'!$A$114,'Données projet'!$B$114,BY69+BX70-CG69)))</f>
        <v>350.39999999999969</v>
      </c>
      <c r="BZ70" s="13">
        <f>BY70*VLOOKUP('Données projet'!$B$12,Paramètres!$A$1:$I$89,3,0)*VLOOKUP('Données projet'!$B$12,Paramètres!$A$1:$I$89,5,0)</f>
        <v>278.77823999999976</v>
      </c>
      <c r="CA70" s="13">
        <f t="shared" si="93"/>
        <v>66.70875019643654</v>
      </c>
      <c r="CB70" s="20">
        <f t="shared" si="64"/>
        <v>601.7231745921265</v>
      </c>
      <c r="CC70" s="59">
        <f t="shared" si="65"/>
        <v>895.05650792545975</v>
      </c>
      <c r="CD70" s="59">
        <f ca="1">AVERAGE(OFFSET($CC$3,0,0,'Données projet'!$E$12+1,1))-AVERAGE(OFFSET($H$3,0,0,'Données projet'!$E$12+1,1))</f>
        <v>296.737543892524</v>
      </c>
      <c r="CE70" s="59">
        <f t="shared" si="94"/>
        <v>296.38358650317099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56.82442735661192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56.82442735661192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11.8</v>
      </c>
      <c r="CT70" s="12">
        <f>IF('Données projet'!$A$140&gt;35,CT69+CS70-DB69,IF(A70&lt;'Données projet'!$A$140,$CQ$205^A70,IF(A70='Données projet'!$A$140,'Données projet'!$B$140,CT69+CS70-DB69)))</f>
        <v>351.59999999999997</v>
      </c>
      <c r="CU70" s="17">
        <f>CT70*VLOOKUP('Données projet'!$B$13,Paramètres!$A$1:$I$89,3,0)*VLOOKUP('Données projet'!$B$13,Paramètres!$A$1:$I$89,5,0)</f>
        <v>301.6728</v>
      </c>
      <c r="CV70" s="13">
        <f t="shared" si="95"/>
        <v>71.527033039285058</v>
      </c>
      <c r="CW70" s="20">
        <f t="shared" si="67"/>
        <v>649.98970921008811</v>
      </c>
      <c r="CX70" s="59">
        <f t="shared" si="68"/>
        <v>943.32304254342148</v>
      </c>
      <c r="CY70" s="59">
        <f ca="1">AVERAGE(OFFSET($CX$3,0,0,'Données projet'!$E$13+1,1))-AVERAGE(OFFSET($H$3,0,0,'Données projet'!$E$13+1,1))</f>
        <v>391.93999504334352</v>
      </c>
      <c r="CZ70" s="59">
        <f t="shared" si="96"/>
        <v>215.4484906985528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89.689976071563521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89.689976071563521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5.2</v>
      </c>
      <c r="DO70" s="12">
        <f>IF('Données projet'!$A$166&gt;35,DO69+DN70-DW69,IF(A70&lt;'Données projet'!$A$166,$DL$205^A70,IF(A70='Données projet'!$A$166,'Données projet'!$B$166,DO69+DN70-DW69)))</f>
        <v>350.39999999999969</v>
      </c>
      <c r="DP70" s="17">
        <f>DO70*VLOOKUP('Données projet'!$B$14,Paramètres!$A$1:$I$89,3,0)*VLOOKUP('Données projet'!$B$14,Paramètres!$A$1:$I$89,5,0)</f>
        <v>256.91327999999976</v>
      </c>
      <c r="DQ70" s="13">
        <f t="shared" si="97"/>
        <v>62.063957347667916</v>
      </c>
      <c r="DR70" s="20">
        <f t="shared" si="70"/>
        <v>555.55202171385451</v>
      </c>
      <c r="DS70" s="59">
        <f t="shared" si="71"/>
        <v>848.88535504718789</v>
      </c>
      <c r="DT70" s="59">
        <f ca="1">AVERAGE(OFFSET($DS$3,0,0,'Données projet'!$E$14+1,1))-AVERAGE(OFFSET($H$3,0,0,'Données projet'!$E$14+1,1))</f>
        <v>267.92147257573157</v>
      </c>
      <c r="DU70" s="59">
        <f t="shared" si="98"/>
        <v>269.06662611892438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42.486928482320643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42.486928482320643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0.8600000000003547</v>
      </c>
      <c r="EK70" s="17">
        <f>EJ70*VLOOKUP('Données projet'!$B$15,Paramètres!$A$1:$I$89,3,0)*VLOOKUP('Données projet'!$B$15,Paramètres!$A$1:$I$89,5,0)</f>
        <v>0.48074000000019829</v>
      </c>
      <c r="EL70" s="13">
        <f t="shared" si="99"/>
        <v>0.24126147010950588</v>
      </c>
      <c r="EM70" s="20">
        <f t="shared" si="73"/>
        <v>1.2574858937744013</v>
      </c>
      <c r="EN70" s="59">
        <f t="shared" si="74"/>
        <v>294.59081922710772</v>
      </c>
      <c r="EO70" s="59">
        <f ca="1">AVERAGE(OFFSET($EN$3,0,0,'Données projet'!$E$15+1,1))-AVERAGE(OFFSET($H$3,0,0,'Données projet'!$E$15+1,1))</f>
        <v>326.29985515186428</v>
      </c>
      <c r="EP70" s="59">
        <f t="shared" si="100"/>
        <v>437.68177084535927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293.14819679529722</v>
      </c>
      <c r="EW70" s="21">
        <f>EXP(-LN(2)/25)*EW69+(1-EXP(-LN(2)/25))/(LN(2)/25)*Calculateur!ER70*Calculateur!ET70*VLOOKUP('Données projet'!$B$15,Paramètres!$A$1:$I$89,3,0)*0.475*44/12</f>
        <v>18.129235055958635</v>
      </c>
      <c r="EX70" s="21">
        <f>EXP(-LN(2)/2)*EX69+(1-EXP(-LN(2)/2))/(LN(2)/2)*ER70*EU70*VLOOKUP('Données projet'!$B$15,Paramètres!$A$1:$I$89,3,0)*0.475*44/12</f>
        <v>1.995860380704698E-6</v>
      </c>
      <c r="EY70" s="22">
        <f t="shared" si="75"/>
        <v>311.27743384711624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1.7053025658242404E-13</v>
      </c>
      <c r="FF70" s="17">
        <f>FE70*VLOOKUP('Données projet'!$B$16,Paramètres!$A$1:$I$89,3,0)*VLOOKUP('Données projet'!$B$16,Paramètres!$A$1:$I$89,5,0)</f>
        <v>9.7631982498569413E-14</v>
      </c>
      <c r="FG70" s="13">
        <f t="shared" si="101"/>
        <v>1.4708068762530911E-12</v>
      </c>
      <c r="FH70" s="20">
        <f t="shared" si="76"/>
        <v>2.7316976789924749E-12</v>
      </c>
      <c r="FI70" s="59">
        <f t="shared" si="77"/>
        <v>293.33333333333604</v>
      </c>
      <c r="FJ70" s="59">
        <f ca="1">AVERAGE(OFFSET($FI$3,0,0,'Données projet'!$E$16+1,1))-AVERAGE(OFFSET($H$3,0,0,'Données projet'!$E$16+1,1))</f>
        <v>211.14768428403215</v>
      </c>
      <c r="FK70" s="59">
        <f t="shared" si="102"/>
        <v>350.7800157534798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39.913410987974878</v>
      </c>
      <c r="FR70" s="21">
        <f>EXP(-LN(2)/25)*FR69+(1-EXP(-LN(2)/25))/(LN(2)/25)*Calculateur!FM70*Calculateur!FO70*VLOOKUP('Données projet'!$B$16,Paramètres!$A$1:$I$89,3,0)*0.475*44/12</f>
        <v>7.7125734803663955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47.625984468341272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59.404800000000094</v>
      </c>
      <c r="D71" s="11">
        <f t="shared" si="86"/>
        <v>17.017696573932405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589.92804372860189</v>
      </c>
      <c r="H71" s="66">
        <f t="shared" si="56"/>
        <v>426.43584819959909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5.4</v>
      </c>
      <c r="N71" s="13">
        <f>IF('Données projet'!$A$36&gt;35,N70+M71-V70,IF(A71&lt;'Données projet'!$A$36,$K$205^A71,IF(A71='Données projet'!$A$36,'Données projet'!$B$36,N70+M71-V70)))</f>
        <v>246.2000000000001</v>
      </c>
      <c r="O71" s="13">
        <f>N71*VLOOKUP('Données projet'!$B$9,Paramètres!$A$1:$I$89,3,0)*VLOOKUP('Données projet'!$B$9,Paramètres!$A$1:$I$89,5,0)</f>
        <v>215.08032000000011</v>
      </c>
      <c r="P71" s="13">
        <f t="shared" si="87"/>
        <v>53.044214230061506</v>
      </c>
      <c r="Q71" s="20">
        <f t="shared" si="54"/>
        <v>466.983563784024</v>
      </c>
      <c r="R71" s="59">
        <f t="shared" si="55"/>
        <v>760.31689711735726</v>
      </c>
      <c r="S71" s="59">
        <f ca="1">AVERAGE(OFFSET($R$3,0,0,'Données projet'!$E$9+1,1))-AVERAGE(OFFSET($H$3,0,0,'Données projet'!$E$9+1,1))</f>
        <v>252.49539407921907</v>
      </c>
      <c r="T71" s="59">
        <f t="shared" si="88"/>
        <v>263.36387286233929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55.808706089060635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55.808706089060635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11.28875</v>
      </c>
      <c r="AI71" s="13">
        <f>IF('Données projet'!$A$62&gt;35,AI70+AH71-AQ70,IF(A71&lt;'Données projet'!$A$62,$AF$205^A71,IF(A71='Données projet'!$A$62,'Données projet'!$B$62,AI70+AH71-AQ70)))</f>
        <v>314.82374999999996</v>
      </c>
      <c r="AJ71" s="13">
        <f>AI71*VLOOKUP('Données projet'!$B$10,Paramètres!$A$1:$I$89,3,0)*VLOOKUP('Données projet'!$B$10,Paramètres!$A$1:$I$89,5,0)</f>
        <v>284.85252899999995</v>
      </c>
      <c r="AK71" s="13">
        <f t="shared" si="89"/>
        <v>67.991460031008771</v>
      </c>
      <c r="AL71" s="20">
        <f t="shared" si="58"/>
        <v>614.53661422900689</v>
      </c>
      <c r="AM71" s="59">
        <f t="shared" si="59"/>
        <v>907.86994756234026</v>
      </c>
      <c r="AN71" s="59">
        <f ca="1">AVERAGE(OFFSET($AM$3,0,0,'Données projet'!$E$10+1,1))-AVERAGE(OFFSET($H$3,0,0,'Données projet'!$E$10+1,1))</f>
        <v>370.05613271587413</v>
      </c>
      <c r="AO71" s="59">
        <f t="shared" si="90"/>
        <v>183.24480056442525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85.684546793586037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85.684546793586037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11.28875</v>
      </c>
      <c r="BD71" s="12">
        <f>IF('Données projet'!$A$88&gt;35,BD70+BC71-BL70,IF(A71&lt;'Données projet'!$A$88,$BA$205^A71,IF(A71='Données projet'!$A$88,'Données projet'!$B$88,BD70+BC71-BL70)))</f>
        <v>314.82374999999996</v>
      </c>
      <c r="BE71" s="13">
        <f>BD71*VLOOKUP('Données projet'!$B$11,Paramètres!$A$1:$I$89,3,0)*VLOOKUP('Données projet'!$B$11,Paramètres!$A$1:$I$89,5,0)</f>
        <v>319.23128250000002</v>
      </c>
      <c r="BF71" s="13">
        <f t="shared" si="91"/>
        <v>75.193384654855564</v>
      </c>
      <c r="BG71" s="20">
        <f t="shared" si="61"/>
        <v>686.95629529470671</v>
      </c>
      <c r="BH71" s="59">
        <f t="shared" si="62"/>
        <v>980.28962862803996</v>
      </c>
      <c r="BI71" s="59">
        <f ca="1">AVERAGE(OFFSET($BH$3,0,0,'Données projet'!$E$11+1,1))-AVERAGE(OFFSET($H$3,0,0,'Données projet'!$E$11+1,1))</f>
        <v>428.72181435671394</v>
      </c>
      <c r="BJ71" s="59">
        <f t="shared" si="92"/>
        <v>211.84936043087572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96.025785199708466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96.025785199708466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5.2</v>
      </c>
      <c r="BY71" s="12">
        <f>IF('Données projet'!$A$114&gt;35,BY70+BX71-CG70,IF(A71&lt;'Données projet'!$A$114,$BV$205^A71,IF(A71='Données projet'!$A$114,'Données projet'!$B$114,BY70+BX71-CG70)))</f>
        <v>355.59999999999968</v>
      </c>
      <c r="BZ71" s="13">
        <f>BY71*VLOOKUP('Données projet'!$B$12,Paramètres!$A$1:$I$89,3,0)*VLOOKUP('Données projet'!$B$12,Paramètres!$A$1:$I$89,5,0)</f>
        <v>282.91535999999979</v>
      </c>
      <c r="CA71" s="13">
        <f t="shared" si="93"/>
        <v>67.582736351531807</v>
      </c>
      <c r="CB71" s="20">
        <f t="shared" si="64"/>
        <v>610.45085114558412</v>
      </c>
      <c r="CC71" s="59">
        <f t="shared" si="65"/>
        <v>903.7841844789175</v>
      </c>
      <c r="CD71" s="59">
        <f ca="1">AVERAGE(OFFSET($CC$3,0,0,'Données projet'!$E$12+1,1))-AVERAGE(OFFSET($H$3,0,0,'Données projet'!$E$12+1,1))</f>
        <v>296.737543892524</v>
      </c>
      <c r="CE71" s="59">
        <f t="shared" si="94"/>
        <v>296.38358650317099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55.710134995627108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55.710134995627108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11.8</v>
      </c>
      <c r="CT71" s="12">
        <f>IF('Données projet'!$A$140&gt;35,CT70+CS71-DB70,IF(A71&lt;'Données projet'!$A$140,$CQ$205^A71,IF(A71='Données projet'!$A$140,'Données projet'!$B$140,CT70+CS71-DB70)))</f>
        <v>363.4</v>
      </c>
      <c r="CU71" s="17">
        <f>CT71*VLOOKUP('Données projet'!$B$13,Paramètres!$A$1:$I$89,3,0)*VLOOKUP('Données projet'!$B$13,Paramètres!$A$1:$I$89,5,0)</f>
        <v>311.79720000000003</v>
      </c>
      <c r="CV71" s="13">
        <f t="shared" si="95"/>
        <v>73.644030695714719</v>
      </c>
      <c r="CW71" s="20">
        <f t="shared" si="67"/>
        <v>671.31014346170321</v>
      </c>
      <c r="CX71" s="59">
        <f t="shared" si="68"/>
        <v>964.64347679503658</v>
      </c>
      <c r="CY71" s="59">
        <f ca="1">AVERAGE(OFFSET($CX$3,0,0,'Données projet'!$E$13+1,1))-AVERAGE(OFFSET($H$3,0,0,'Données projet'!$E$13+1,1))</f>
        <v>391.93999504334352</v>
      </c>
      <c r="CZ71" s="59">
        <f t="shared" si="96"/>
        <v>215.4484906985528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87.931210346283848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87.931210346283848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5.2</v>
      </c>
      <c r="DO71" s="12">
        <f>IF('Données projet'!$A$166&gt;35,DO70+DN71-DW70,IF(A71&lt;'Données projet'!$A$166,$DL$205^A71,IF(A71='Données projet'!$A$166,'Données projet'!$B$166,DO70+DN71-DW70)))</f>
        <v>355.59999999999968</v>
      </c>
      <c r="DP71" s="17">
        <f>DO71*VLOOKUP('Données projet'!$B$14,Paramètres!$A$1:$I$89,3,0)*VLOOKUP('Données projet'!$B$14,Paramètres!$A$1:$I$89,5,0)</f>
        <v>260.72591999999975</v>
      </c>
      <c r="DQ71" s="13">
        <f t="shared" si="97"/>
        <v>62.877089647292053</v>
      </c>
      <c r="DR71" s="20">
        <f t="shared" si="70"/>
        <v>563.60857513569988</v>
      </c>
      <c r="DS71" s="59">
        <f t="shared" si="71"/>
        <v>856.94190846903325</v>
      </c>
      <c r="DT71" s="59">
        <f ca="1">AVERAGE(OFFSET($DS$3,0,0,'Données projet'!$E$14+1,1))-AVERAGE(OFFSET($H$3,0,0,'Données projet'!$E$14+1,1))</f>
        <v>267.92147257573157</v>
      </c>
      <c r="DU71" s="59">
        <f t="shared" si="98"/>
        <v>269.06662611892438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41.653785729249869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41.653785729249869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0.8600000000003547</v>
      </c>
      <c r="EK71" s="17">
        <f>EJ71*VLOOKUP('Données projet'!$B$15,Paramètres!$A$1:$I$89,3,0)*VLOOKUP('Données projet'!$B$15,Paramètres!$A$1:$I$89,5,0)</f>
        <v>0.48074000000019829</v>
      </c>
      <c r="EL71" s="13">
        <f t="shared" si="99"/>
        <v>0.24126147010950588</v>
      </c>
      <c r="EM71" s="20">
        <f t="shared" si="73"/>
        <v>1.2574858937744013</v>
      </c>
      <c r="EN71" s="59">
        <f t="shared" si="74"/>
        <v>294.59081922710772</v>
      </c>
      <c r="EO71" s="59">
        <f ca="1">AVERAGE(OFFSET($EN$3,0,0,'Données projet'!$E$15+1,1))-AVERAGE(OFFSET($H$3,0,0,'Données projet'!$E$15+1,1))</f>
        <v>326.29985515186428</v>
      </c>
      <c r="EP71" s="59">
        <f t="shared" si="100"/>
        <v>437.68177084535927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287.39973945888619</v>
      </c>
      <c r="EW71" s="21">
        <f>EXP(-LN(2)/25)*EW70+(1-EXP(-LN(2)/25))/(LN(2)/25)*Calculateur!ER71*Calculateur!ET71*VLOOKUP('Données projet'!$B$15,Paramètres!$A$1:$I$89,3,0)*0.475*44/12</f>
        <v>17.633490169978408</v>
      </c>
      <c r="EX71" s="21">
        <f>EXP(-LN(2)/2)*EX70+(1-EXP(-LN(2)/2))/(LN(2)/2)*ER71*EU71*VLOOKUP('Données projet'!$B$15,Paramètres!$A$1:$I$89,3,0)*0.475*44/12</f>
        <v>1.4112864094978564E-6</v>
      </c>
      <c r="EY71" s="22">
        <f t="shared" si="75"/>
        <v>305.03323104015101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1.7053025658242404E-13</v>
      </c>
      <c r="FF71" s="17">
        <f>FE71*VLOOKUP('Données projet'!$B$16,Paramètres!$A$1:$I$89,3,0)*VLOOKUP('Données projet'!$B$16,Paramètres!$A$1:$I$89,5,0)</f>
        <v>9.7631982498569413E-14</v>
      </c>
      <c r="FG71" s="13">
        <f t="shared" si="101"/>
        <v>1.4708068762530911E-12</v>
      </c>
      <c r="FH71" s="20">
        <f t="shared" si="76"/>
        <v>2.7316976789924749E-12</v>
      </c>
      <c r="FI71" s="59">
        <f t="shared" si="77"/>
        <v>293.33333333333604</v>
      </c>
      <c r="FJ71" s="59">
        <f ca="1">AVERAGE(OFFSET($FI$3,0,0,'Données projet'!$E$16+1,1))-AVERAGE(OFFSET($H$3,0,0,'Données projet'!$E$16+1,1))</f>
        <v>211.14768428403215</v>
      </c>
      <c r="FK71" s="59">
        <f t="shared" si="102"/>
        <v>350.7800157534798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39.130733343277548</v>
      </c>
      <c r="FR71" s="21">
        <f>EXP(-LN(2)/25)*FR70+(1-EXP(-LN(2)/25))/(LN(2)/25)*Calculateur!FM71*Calculateur!FO71*VLOOKUP('Données projet'!$B$16,Paramètres!$A$1:$I$89,3,0)*0.475*44/12</f>
        <v>7.5016727529591645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46.632406096236714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60.278400000000097</v>
      </c>
      <c r="D72" s="11">
        <f t="shared" si="86"/>
        <v>17.238638291828423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598.37713769130789</v>
      </c>
      <c r="H72" s="66">
        <f t="shared" si="56"/>
        <v>428.34217502493465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5.4</v>
      </c>
      <c r="N72" s="13">
        <f>IF('Données projet'!$A$36&gt;35,N71+M72-V71,IF(A72&lt;'Données projet'!$A$36,$K$205^A72,IF(A72='Données projet'!$A$36,'Données projet'!$B$36,N71+M72-V71)))</f>
        <v>251.60000000000011</v>
      </c>
      <c r="O72" s="13">
        <f>N72*VLOOKUP('Données projet'!$B$9,Paramètres!$A$1:$I$89,3,0)*VLOOKUP('Données projet'!$B$9,Paramètres!$A$1:$I$89,5,0)</f>
        <v>219.79776000000012</v>
      </c>
      <c r="P72" s="13">
        <f t="shared" si="87"/>
        <v>54.070927503307431</v>
      </c>
      <c r="Q72" s="20">
        <f t="shared" si="54"/>
        <v>476.98796406826068</v>
      </c>
      <c r="R72" s="59">
        <f t="shared" si="55"/>
        <v>770.32129740159394</v>
      </c>
      <c r="S72" s="59">
        <f ca="1">AVERAGE(OFFSET($R$3,0,0,'Données projet'!$E$9+1,1))-AVERAGE(OFFSET($H$3,0,0,'Données projet'!$E$9+1,1))</f>
        <v>252.49539407921907</v>
      </c>
      <c r="T72" s="59">
        <f t="shared" si="88"/>
        <v>263.36387286233929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54.714331402603705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54.714331402603705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11.28875</v>
      </c>
      <c r="AI72" s="13">
        <f>IF('Données projet'!$A$62&gt;35,AI71+AH72-AQ71,IF(A72&lt;'Données projet'!$A$62,$AF$205^A72,IF(A72='Données projet'!$A$62,'Données projet'!$B$62,AI71+AH72-AQ71)))</f>
        <v>326.11249999999995</v>
      </c>
      <c r="AJ72" s="13">
        <f>AI72*VLOOKUP('Données projet'!$B$10,Paramètres!$A$1:$I$89,3,0)*VLOOKUP('Données projet'!$B$10,Paramètres!$A$1:$I$89,5,0)</f>
        <v>295.06658999999991</v>
      </c>
      <c r="AK72" s="13">
        <f t="shared" si="89"/>
        <v>70.141235290018514</v>
      </c>
      <c r="AL72" s="20">
        <f t="shared" si="58"/>
        <v>636.07029571344879</v>
      </c>
      <c r="AM72" s="59">
        <f t="shared" si="59"/>
        <v>929.40362904678204</v>
      </c>
      <c r="AN72" s="59">
        <f ca="1">AVERAGE(OFFSET($AM$3,0,0,'Données projet'!$E$10+1,1))-AVERAGE(OFFSET($H$3,0,0,'Données projet'!$E$10+1,1))</f>
        <v>370.05613271587413</v>
      </c>
      <c r="AO72" s="59">
        <f t="shared" si="90"/>
        <v>183.24480056442525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84.004325093376877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84.004325093376877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11.28875</v>
      </c>
      <c r="BD72" s="12">
        <f>IF('Données projet'!$A$88&gt;35,BD71+BC72-BL71,IF(A72&lt;'Données projet'!$A$88,$BA$205^A72,IF(A72='Données projet'!$A$88,'Données projet'!$B$88,BD71+BC72-BL71)))</f>
        <v>326.11249999999995</v>
      </c>
      <c r="BE72" s="13">
        <f>BD72*VLOOKUP('Données projet'!$B$11,Paramètres!$A$1:$I$89,3,0)*VLOOKUP('Données projet'!$B$11,Paramètres!$A$1:$I$89,5,0)</f>
        <v>330.67807499999998</v>
      </c>
      <c r="BF72" s="13">
        <f t="shared" si="91"/>
        <v>77.570872620233771</v>
      </c>
      <c r="BG72" s="20">
        <f t="shared" si="61"/>
        <v>711.03358377190716</v>
      </c>
      <c r="BH72" s="59">
        <f t="shared" si="62"/>
        <v>1004.3669171052404</v>
      </c>
      <c r="BI72" s="59">
        <f ca="1">AVERAGE(OFFSET($BH$3,0,0,'Données projet'!$E$11+1,1))-AVERAGE(OFFSET($H$3,0,0,'Données projet'!$E$11+1,1))</f>
        <v>428.72181435671394</v>
      </c>
      <c r="BJ72" s="59">
        <f t="shared" si="92"/>
        <v>211.84936043087572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94.142778121887858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94.142778121887858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5.2</v>
      </c>
      <c r="BY72" s="12">
        <f>IF('Données projet'!$A$114&gt;35,BY71+BX72-CG71,IF(A72&lt;'Données projet'!$A$114,$BV$205^A72,IF(A72='Données projet'!$A$114,'Données projet'!$B$114,BY71+BX72-CG71)))</f>
        <v>360.79999999999967</v>
      </c>
      <c r="BZ72" s="13">
        <f>BY72*VLOOKUP('Données projet'!$B$12,Paramètres!$A$1:$I$89,3,0)*VLOOKUP('Données projet'!$B$12,Paramètres!$A$1:$I$89,5,0)</f>
        <v>287.05247999999978</v>
      </c>
      <c r="CA72" s="13">
        <f t="shared" si="93"/>
        <v>68.455236071606535</v>
      </c>
      <c r="CB72" s="20">
        <f t="shared" si="64"/>
        <v>619.17593882471431</v>
      </c>
      <c r="CC72" s="59">
        <f t="shared" si="65"/>
        <v>912.50927215804768</v>
      </c>
      <c r="CD72" s="59">
        <f ca="1">AVERAGE(OFFSET($CC$3,0,0,'Données projet'!$E$12+1,1))-AVERAGE(OFFSET($H$3,0,0,'Données projet'!$E$12+1,1))</f>
        <v>296.737543892524</v>
      </c>
      <c r="CE72" s="59">
        <f t="shared" si="94"/>
        <v>296.38358650317099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54.617693228189978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54.617693228189978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11.8</v>
      </c>
      <c r="CT72" s="12">
        <f>IF('Données projet'!$A$140&gt;35,CT71+CS72-DB71,IF(A72&lt;'Données projet'!$A$140,$CQ$205^A72,IF(A72='Données projet'!$A$140,'Données projet'!$B$140,CT71+CS72-DB71)))</f>
        <v>375.2</v>
      </c>
      <c r="CU72" s="17">
        <f>CT72*VLOOKUP('Données projet'!$B$13,Paramètres!$A$1:$I$89,3,0)*VLOOKUP('Données projet'!$B$13,Paramètres!$A$1:$I$89,5,0)</f>
        <v>321.92160000000001</v>
      </c>
      <c r="CV72" s="13">
        <f t="shared" si="95"/>
        <v>75.753040489321577</v>
      </c>
      <c r="CW72" s="20">
        <f t="shared" si="67"/>
        <v>692.61666551890175</v>
      </c>
      <c r="CX72" s="59">
        <f t="shared" si="68"/>
        <v>985.94999885223501</v>
      </c>
      <c r="CY72" s="59">
        <f ca="1">AVERAGE(OFFSET($CX$3,0,0,'Données projet'!$E$13+1,1))-AVERAGE(OFFSET($H$3,0,0,'Données projet'!$E$13+1,1))</f>
        <v>391.93999504334352</v>
      </c>
      <c r="CZ72" s="59">
        <f t="shared" si="96"/>
        <v>215.4484906985528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86.206932944135744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86.206932944135744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5.2</v>
      </c>
      <c r="DO72" s="12">
        <f>IF('Données projet'!$A$166&gt;35,DO71+DN72-DW71,IF(A72&lt;'Données projet'!$A$166,$DL$205^A72,IF(A72='Données projet'!$A$166,'Données projet'!$B$166,DO71+DN72-DW71)))</f>
        <v>360.79999999999967</v>
      </c>
      <c r="DP72" s="17">
        <f>DO72*VLOOKUP('Données projet'!$B$14,Paramètres!$A$1:$I$89,3,0)*VLOOKUP('Données projet'!$B$14,Paramètres!$A$1:$I$89,5,0)</f>
        <v>264.53855999999973</v>
      </c>
      <c r="DQ72" s="13">
        <f t="shared" si="97"/>
        <v>63.688839009304033</v>
      </c>
      <c r="DR72" s="20">
        <f t="shared" si="70"/>
        <v>571.66271994120405</v>
      </c>
      <c r="DS72" s="59">
        <f t="shared" si="71"/>
        <v>864.99605327453742</v>
      </c>
      <c r="DT72" s="59">
        <f ca="1">AVERAGE(OFFSET($DS$3,0,0,'Données projet'!$E$14+1,1))-AVERAGE(OFFSET($H$3,0,0,'Données projet'!$E$14+1,1))</f>
        <v>267.92147257573157</v>
      </c>
      <c r="DU72" s="59">
        <f t="shared" si="98"/>
        <v>269.06662611892438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40.836980397399913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40.836980397399913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0.8600000000003547</v>
      </c>
      <c r="EK72" s="17">
        <f>EJ72*VLOOKUP('Données projet'!$B$15,Paramètres!$A$1:$I$89,3,0)*VLOOKUP('Données projet'!$B$15,Paramètres!$A$1:$I$89,5,0)</f>
        <v>0.48074000000019829</v>
      </c>
      <c r="EL72" s="13">
        <f t="shared" si="99"/>
        <v>0.24126147010950588</v>
      </c>
      <c r="EM72" s="20">
        <f t="shared" si="73"/>
        <v>1.2574858937744013</v>
      </c>
      <c r="EN72" s="59">
        <f t="shared" si="74"/>
        <v>294.59081922710772</v>
      </c>
      <c r="EO72" s="59">
        <f ca="1">AVERAGE(OFFSET($EN$3,0,0,'Données projet'!$E$15+1,1))-AVERAGE(OFFSET($H$3,0,0,'Données projet'!$E$15+1,1))</f>
        <v>326.29985515186428</v>
      </c>
      <c r="EP72" s="59">
        <f t="shared" si="100"/>
        <v>437.68177084535927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281.76400586462938</v>
      </c>
      <c r="EW72" s="21">
        <f>EXP(-LN(2)/25)*EW71+(1-EXP(-LN(2)/25))/(LN(2)/25)*Calculateur!ER72*Calculateur!ET72*VLOOKUP('Données projet'!$B$15,Paramètres!$A$1:$I$89,3,0)*0.475*44/12</f>
        <v>17.151301453975403</v>
      </c>
      <c r="EX72" s="21">
        <f>EXP(-LN(2)/2)*EX71+(1-EXP(-LN(2)/2))/(LN(2)/2)*ER72*EU72*VLOOKUP('Données projet'!$B$15,Paramètres!$A$1:$I$89,3,0)*0.475*44/12</f>
        <v>9.9793019035234902E-7</v>
      </c>
      <c r="EY72" s="22">
        <f t="shared" si="75"/>
        <v>298.915308316535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1.7053025658242404E-13</v>
      </c>
      <c r="FF72" s="17">
        <f>FE72*VLOOKUP('Données projet'!$B$16,Paramètres!$A$1:$I$89,3,0)*VLOOKUP('Données projet'!$B$16,Paramètres!$A$1:$I$89,5,0)</f>
        <v>9.7631982498569413E-14</v>
      </c>
      <c r="FG72" s="13">
        <f t="shared" si="101"/>
        <v>1.4708068762530911E-12</v>
      </c>
      <c r="FH72" s="20">
        <f t="shared" si="76"/>
        <v>2.7316976789924749E-12</v>
      </c>
      <c r="FI72" s="59">
        <f t="shared" si="77"/>
        <v>293.33333333333604</v>
      </c>
      <c r="FJ72" s="59">
        <f ca="1">AVERAGE(OFFSET($FI$3,0,0,'Données projet'!$E$16+1,1))-AVERAGE(OFFSET($H$3,0,0,'Données projet'!$E$16+1,1))</f>
        <v>211.14768428403215</v>
      </c>
      <c r="FK72" s="59">
        <f t="shared" si="102"/>
        <v>350.7800157534798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38.363403529806504</v>
      </c>
      <c r="FR72" s="21">
        <f>EXP(-LN(2)/25)*FR71+(1-EXP(-LN(2)/25))/(LN(2)/25)*Calculateur!FM72*Calculateur!FO72*VLOOKUP('Données projet'!$B$16,Paramètres!$A$1:$I$89,3,0)*0.475*44/12</f>
        <v>7.2965391170336718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45.659942646840179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61.1520000000001</v>
      </c>
      <c r="D73" s="11">
        <f t="shared" si="86"/>
        <v>17.45920759107128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606.82335684335806</v>
      </c>
      <c r="H73" s="66">
        <f t="shared" si="56"/>
        <v>430.24785322111597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257</v>
      </c>
      <c r="L73" s="12">
        <f>VLOOKUP(A73,'Données projet'!$A$35:$I$55,9,0)</f>
        <v>5.4</v>
      </c>
      <c r="M73" s="12">
        <f t="array" ref="M73">INDEX(L:L,MIN(IF(ISNUMBER(L73:L269),ROW(L73:L269),"")))</f>
        <v>5.4</v>
      </c>
      <c r="N73" s="13">
        <f>IF('Données projet'!$A$36&gt;35,N72+M73-V72,IF(A73&lt;'Données projet'!$A$36,$K$205^A73,IF(A73='Données projet'!$A$36,'Données projet'!$B$36,N72+M73-V72)))</f>
        <v>257.00000000000011</v>
      </c>
      <c r="O73" s="13">
        <f>N73*VLOOKUP('Données projet'!$B$9,Paramètres!$A$1:$I$89,3,0)*VLOOKUP('Données projet'!$B$9,Paramètres!$A$1:$I$89,5,0)</f>
        <v>224.51520000000014</v>
      </c>
      <c r="P73" s="13">
        <f t="shared" si="87"/>
        <v>55.095078782313593</v>
      </c>
      <c r="Q73" s="20">
        <f t="shared" si="54"/>
        <v>486.98790221252966</v>
      </c>
      <c r="R73" s="59">
        <f t="shared" si="55"/>
        <v>780.32123554586292</v>
      </c>
      <c r="S73" s="59">
        <f ca="1">AVERAGE(OFFSET($R$3,0,0,'Données projet'!$E$9+1,1))-AVERAGE(OFFSET($H$3,0,0,'Données projet'!$E$9+1,1))</f>
        <v>252.49539407921907</v>
      </c>
      <c r="T73" s="59">
        <f t="shared" si="88"/>
        <v>263.36387286233929</v>
      </c>
      <c r="U73" s="15">
        <f>IF(ISNA(VLOOKUP(A73,'Données projet'!$A$35:$I$55,3,0)),0,VLOOKUP(A73,'Données projet'!$A$35:$I$55,3,0))</f>
        <v>12</v>
      </c>
      <c r="V73" s="15">
        <f>IF(ISNA(VLOOKUP(A73,'Données projet'!$A$35:$I$55,4,0)),0,VLOOKUP(A73,'Données projet'!$A$35:$I$55,4,0))</f>
        <v>21</v>
      </c>
      <c r="W73" s="16">
        <f>IF(ISNA(VLOOKUP(A73,'Données projet'!$A$35:$I$55,5,0)),0%,VLOOKUP(A73,'Données projet'!$A$35:$I$55,5,0)*VLOOKUP('Données projet'!$B$9,Paramètres!$A$1:$I$89,7,0))</f>
        <v>0.43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62.362039215992212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62.362039215992212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11.28875</v>
      </c>
      <c r="AI73" s="13">
        <f>IF('Données projet'!$A$62&gt;35,AI72+AH73-AQ72,IF(A73&lt;'Données projet'!$A$62,$AF$205^A73,IF(A73='Données projet'!$A$62,'Données projet'!$B$62,AI72+AH73-AQ72)))</f>
        <v>337.40124999999995</v>
      </c>
      <c r="AJ73" s="13">
        <f>AI73*VLOOKUP('Données projet'!$B$10,Paramètres!$A$1:$I$89,3,0)*VLOOKUP('Données projet'!$B$10,Paramètres!$A$1:$I$89,5,0)</f>
        <v>305.28065099999998</v>
      </c>
      <c r="AK73" s="13">
        <f t="shared" si="89"/>
        <v>72.282364027590162</v>
      </c>
      <c r="AL73" s="20">
        <f t="shared" si="58"/>
        <v>657.58891783971956</v>
      </c>
      <c r="AM73" s="59">
        <f t="shared" si="59"/>
        <v>950.92225117305293</v>
      </c>
      <c r="AN73" s="59">
        <f ca="1">AVERAGE(OFFSET($AM$3,0,0,'Données projet'!$E$10+1,1))-AVERAGE(OFFSET($H$3,0,0,'Données projet'!$E$10+1,1))</f>
        <v>370.05613271587413</v>
      </c>
      <c r="AO73" s="59">
        <f t="shared" si="90"/>
        <v>183.24480056442525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82.357051515874772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82.357051515874772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11.28875</v>
      </c>
      <c r="BD73" s="12">
        <f>IF('Données projet'!$A$88&gt;35,BD72+BC73-BL72,IF(A73&lt;'Données projet'!$A$88,$BA$205^A73,IF(A73='Données projet'!$A$88,'Données projet'!$B$88,BD72+BC73-BL72)))</f>
        <v>337.40124999999995</v>
      </c>
      <c r="BE73" s="13">
        <f>BD73*VLOOKUP('Données projet'!$B$11,Paramètres!$A$1:$I$89,3,0)*VLOOKUP('Données projet'!$B$11,Paramètres!$A$1:$I$89,5,0)</f>
        <v>342.12486749999994</v>
      </c>
      <c r="BF73" s="13">
        <f t="shared" si="91"/>
        <v>79.938798190391537</v>
      </c>
      <c r="BG73" s="20">
        <f t="shared" si="61"/>
        <v>735.09421774409839</v>
      </c>
      <c r="BH73" s="59">
        <f t="shared" si="62"/>
        <v>1028.4275510774316</v>
      </c>
      <c r="BI73" s="59">
        <f ca="1">AVERAGE(OFFSET($BH$3,0,0,'Données projet'!$E$11+1,1))-AVERAGE(OFFSET($H$3,0,0,'Données projet'!$E$11+1,1))</f>
        <v>428.72181435671394</v>
      </c>
      <c r="BJ73" s="59">
        <f t="shared" si="92"/>
        <v>211.84936043087572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92.296695664342394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92.296695664342394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366</v>
      </c>
      <c r="BW73" s="12">
        <f>VLOOKUP(A73,'Données projet'!$A$113:$I$133,9,0)</f>
        <v>5.2</v>
      </c>
      <c r="BX73" s="12">
        <f t="array" ref="BX73">INDEX(BW:BW,MIN(IF(ISNUMBER(BW73:BW269),ROW(BW73:BW269),"")))</f>
        <v>5.2</v>
      </c>
      <c r="BY73" s="12">
        <f>IF('Données projet'!$A$114&gt;35,BY72+BX73-CG72,IF(A73&lt;'Données projet'!$A$114,$BV$205^A73,IF(A73='Données projet'!$A$114,'Données projet'!$B$114,BY72+BX73-CG72)))</f>
        <v>365.99999999999966</v>
      </c>
      <c r="BZ73" s="13">
        <f>BY73*VLOOKUP('Données projet'!$B$12,Paramètres!$A$1:$I$89,3,0)*VLOOKUP('Données projet'!$B$12,Paramètres!$A$1:$I$89,5,0)</f>
        <v>291.18959999999976</v>
      </c>
      <c r="CA73" s="13">
        <f t="shared" si="93"/>
        <v>69.326273255048633</v>
      </c>
      <c r="CB73" s="20">
        <f t="shared" si="64"/>
        <v>627.89847925254264</v>
      </c>
      <c r="CC73" s="59">
        <f t="shared" si="65"/>
        <v>921.23181258587601</v>
      </c>
      <c r="CD73" s="59">
        <f ca="1">AVERAGE(OFFSET($CC$3,0,0,'Données projet'!$E$12+1,1))-AVERAGE(OFFSET($H$3,0,0,'Données projet'!$E$12+1,1))</f>
        <v>296.737543892524</v>
      </c>
      <c r="CE73" s="59">
        <f t="shared" si="94"/>
        <v>296.38358650317099</v>
      </c>
      <c r="CF73" s="15">
        <f>IF(ISNA(VLOOKUP(A73,'Données projet'!$A$113:$I$133,3,0)),0,VLOOKUP(A73,'Données projet'!$A$113:$I$133,3,0))</f>
        <v>13</v>
      </c>
      <c r="CG73" s="15">
        <f>IF(ISNA(VLOOKUP(A73,'Données projet'!$A$113:$I$133,4,0)),0,VLOOKUP(A73,'Données projet'!$A$113:$I$133,4,0))</f>
        <v>15</v>
      </c>
      <c r="CH73" s="16">
        <f>IF(ISNA(VLOOKUP(A73,'Données projet'!$A$113:$I$133,5,0)),0%,VLOOKUP(A73,'Données projet'!$A$113:$I$133,5,0)*VLOOKUP('Données projet'!$B$12,Paramètres!$A$1:$I$89,7,0))</f>
        <v>0.53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60.538795837442109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60.538795837442109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387</v>
      </c>
      <c r="CR73" s="12">
        <f>VLOOKUP(A73,'Données projet'!$A$139:$I$159,9,0)</f>
        <v>11.8</v>
      </c>
      <c r="CS73" s="12">
        <f t="array" ref="CS73">INDEX(CR:CR,MIN(IF(ISNUMBER(CR73:CR269),ROW(CR73:CR269),"")))</f>
        <v>11.8</v>
      </c>
      <c r="CT73" s="12">
        <f>IF('Données projet'!$A$140&gt;35,CT72+CS73-DB72,IF(A73&lt;'Données projet'!$A$140,$CQ$205^A73,IF(A73='Données projet'!$A$140,'Données projet'!$B$140,CT72+CS73-DB72)))</f>
        <v>387</v>
      </c>
      <c r="CU73" s="17">
        <f>CT73*VLOOKUP('Données projet'!$B$13,Paramètres!$A$1:$I$89,3,0)*VLOOKUP('Données projet'!$B$13,Paramètres!$A$1:$I$89,5,0)</f>
        <v>332.04600000000005</v>
      </c>
      <c r="CV73" s="13">
        <f t="shared" si="95"/>
        <v>77.854342460208699</v>
      </c>
      <c r="CW73" s="20">
        <f t="shared" si="67"/>
        <v>713.90976311819679</v>
      </c>
      <c r="CX73" s="59">
        <f t="shared" si="68"/>
        <v>1007.2430964515302</v>
      </c>
      <c r="CY73" s="59">
        <f ca="1">AVERAGE(OFFSET($CX$3,0,0,'Données projet'!$E$13+1,1))-AVERAGE(OFFSET($H$3,0,0,'Données projet'!$E$13+1,1))</f>
        <v>391.93999504334352</v>
      </c>
      <c r="CZ73" s="59">
        <f t="shared" si="96"/>
        <v>215.4484906985528</v>
      </c>
      <c r="DA73" s="15">
        <f>IF(ISNA(VLOOKUP(A73,'Données projet'!$A$139:$I$159,3,0)),0,VLOOKUP(A73,'Données projet'!$A$139:$I$159,3,0))</f>
        <v>10</v>
      </c>
      <c r="DB73" s="15">
        <f>IF(ISNA(VLOOKUP(A73,'Données projet'!$A$139:$I$159,4,0)),0,VLOOKUP(A73,'Données projet'!$A$139:$I$159,4,0))</f>
        <v>35</v>
      </c>
      <c r="DC73" s="16">
        <f>IF(ISNA(VLOOKUP(A73,'Données projet'!$A$139:$I$159,5,0)),0%,VLOOKUP(A73,'Données projet'!$A$139:$I$159,5,0)*VLOOKUP('Données projet'!$B$13,Paramètres!$A$1:$I$89,7,0))</f>
        <v>0.53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102.11102358374687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102.11102358374687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366</v>
      </c>
      <c r="DM73" s="12">
        <f>VLOOKUP(A73,'Données projet'!$A$165:$I$185,9,0)</f>
        <v>5.2</v>
      </c>
      <c r="DN73" s="12">
        <f t="array" ref="DN73">INDEX(DM:DM,MIN(IF(ISNUMBER(DM73:DM269),ROW(DM73:DM269),"")))</f>
        <v>5.2</v>
      </c>
      <c r="DO73" s="12">
        <f>IF('Données projet'!$A$166&gt;35,DO72+DN73-DW72,IF(A73&lt;'Données projet'!$A$166,$DL$205^A73,IF(A73='Données projet'!$A$166,'Données projet'!$B$166,DO72+DN73-DW72)))</f>
        <v>365.99999999999966</v>
      </c>
      <c r="DP73" s="17">
        <f>DO73*VLOOKUP('Données projet'!$B$14,Paramètres!$A$1:$I$89,3,0)*VLOOKUP('Données projet'!$B$14,Paramètres!$A$1:$I$89,5,0)</f>
        <v>268.35119999999978</v>
      </c>
      <c r="DQ73" s="13">
        <f t="shared" si="97"/>
        <v>64.499227668096069</v>
      </c>
      <c r="DR73" s="20">
        <f t="shared" si="70"/>
        <v>579.71449485526693</v>
      </c>
      <c r="DS73" s="59">
        <f t="shared" si="71"/>
        <v>873.04782818860031</v>
      </c>
      <c r="DT73" s="59">
        <f ca="1">AVERAGE(OFFSET($DS$3,0,0,'Données projet'!$E$14+1,1))-AVERAGE(OFFSET($H$3,0,0,'Données projet'!$E$14+1,1))</f>
        <v>267.92147257573157</v>
      </c>
      <c r="DU73" s="59">
        <f t="shared" si="98"/>
        <v>269.06662611892438</v>
      </c>
      <c r="DV73" s="15">
        <f>IF(ISNA(VLOOKUP(A73,'Données projet'!$A$165:$I$185,3,0)),0,VLOOKUP(A73,'Données projet'!$A$165:$I$185,3,0))</f>
        <v>13</v>
      </c>
      <c r="DW73" s="15">
        <f>IF(ISNA(VLOOKUP(A73,'Données projet'!$A$165:$I$185,4,0)),0,VLOOKUP(A73,'Données projet'!$A$165:$I$185,4,0))</f>
        <v>15</v>
      </c>
      <c r="DX73" s="16">
        <f>IF(ISNA(VLOOKUP(A73,'Données projet'!$A$165:$I$185,5,0)),0%,VLOOKUP(A73,'Données projet'!$A$165:$I$185,5,0)*VLOOKUP('Données projet'!$B$14,Paramètres!$A$1:$I$89,7,0))</f>
        <v>0.43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45.264116310569925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45.264116310569925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0.8600000000003547</v>
      </c>
      <c r="EK73" s="17">
        <f>EJ73*VLOOKUP('Données projet'!$B$15,Paramètres!$A$1:$I$89,3,0)*VLOOKUP('Données projet'!$B$15,Paramètres!$A$1:$I$89,5,0)</f>
        <v>0.48074000000019829</v>
      </c>
      <c r="EL73" s="13">
        <f t="shared" si="99"/>
        <v>0.24126147010950588</v>
      </c>
      <c r="EM73" s="20">
        <f t="shared" si="73"/>
        <v>1.2574858937744013</v>
      </c>
      <c r="EN73" s="59">
        <f t="shared" si="74"/>
        <v>294.59081922710772</v>
      </c>
      <c r="EO73" s="59">
        <f ca="1">AVERAGE(OFFSET($EN$3,0,0,'Données projet'!$E$15+1,1))-AVERAGE(OFFSET($H$3,0,0,'Données projet'!$E$15+1,1))</f>
        <v>326.29985515186428</v>
      </c>
      <c r="EP73" s="59">
        <f t="shared" si="100"/>
        <v>437.68177084535927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276.23878556869789</v>
      </c>
      <c r="EW73" s="21">
        <f>EXP(-LN(2)/25)*EW72+(1-EXP(-LN(2)/25))/(LN(2)/25)*Calculateur!ER73*Calculateur!ET73*VLOOKUP('Données projet'!$B$15,Paramètres!$A$1:$I$89,3,0)*0.475*44/12</f>
        <v>16.682298213768703</v>
      </c>
      <c r="EX73" s="21">
        <f>EXP(-LN(2)/2)*EX72+(1-EXP(-LN(2)/2))/(LN(2)/2)*ER73*EU73*VLOOKUP('Données projet'!$B$15,Paramètres!$A$1:$I$89,3,0)*0.475*44/12</f>
        <v>7.056432047489282E-7</v>
      </c>
      <c r="EY73" s="22">
        <f t="shared" si="75"/>
        <v>292.92108448810984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1.7053025658242404E-13</v>
      </c>
      <c r="FF73" s="17">
        <f>FE73*VLOOKUP('Données projet'!$B$16,Paramètres!$A$1:$I$89,3,0)*VLOOKUP('Données projet'!$B$16,Paramètres!$A$1:$I$89,5,0)</f>
        <v>9.7631982498569413E-14</v>
      </c>
      <c r="FG73" s="13">
        <f t="shared" si="101"/>
        <v>1.4708068762530911E-12</v>
      </c>
      <c r="FH73" s="20">
        <f t="shared" si="76"/>
        <v>2.7316976789924749E-12</v>
      </c>
      <c r="FI73" s="59">
        <f t="shared" si="77"/>
        <v>293.33333333333604</v>
      </c>
      <c r="FJ73" s="59">
        <f ca="1">AVERAGE(OFFSET($FI$3,0,0,'Données projet'!$E$16+1,1))-AVERAGE(OFFSET($H$3,0,0,'Données projet'!$E$16+1,1))</f>
        <v>211.14768428403215</v>
      </c>
      <c r="FK73" s="59">
        <f t="shared" si="102"/>
        <v>350.7800157534798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37.611120585952655</v>
      </c>
      <c r="FR73" s="21">
        <f>EXP(-LN(2)/25)*FR72+(1-EXP(-LN(2)/25))/(LN(2)/25)*Calculateur!FM73*Calculateur!FO73*VLOOKUP('Données projet'!$B$16,Paramètres!$A$1:$I$89,3,0)*0.475*44/12</f>
        <v>7.09701487117007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44.708135457122722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62.025600000000104</v>
      </c>
      <c r="D74" s="11">
        <f t="shared" si="86"/>
        <v>17.679410406677235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615.26674699891271</v>
      </c>
      <c r="H74" s="66">
        <f t="shared" si="56"/>
        <v>432.15289312496304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5</v>
      </c>
      <c r="N74" s="13">
        <f>IF('Données projet'!$A$36&gt;35,N73+M74-V73,IF(A74&lt;'Données projet'!$A$36,$K$205^A74,IF(A74='Données projet'!$A$36,'Données projet'!$B$36,N73+M74-V73)))</f>
        <v>241.00000000000011</v>
      </c>
      <c r="O74" s="13">
        <f>N74*VLOOKUP('Données projet'!$B$9,Paramètres!$A$1:$I$89,3,0)*VLOOKUP('Données projet'!$B$9,Paramètres!$A$1:$I$89,5,0)</f>
        <v>210.53760000000011</v>
      </c>
      <c r="P74" s="13">
        <f t="shared" si="87"/>
        <v>52.053047337322276</v>
      </c>
      <c r="Q74" s="20">
        <f t="shared" si="54"/>
        <v>457.34537744583645</v>
      </c>
      <c r="R74" s="59">
        <f t="shared" si="55"/>
        <v>750.67871077916971</v>
      </c>
      <c r="S74" s="59">
        <f ca="1">AVERAGE(OFFSET($R$3,0,0,'Données projet'!$E$9+1,1))-AVERAGE(OFFSET($H$3,0,0,'Données projet'!$E$9+1,1))</f>
        <v>252.49539407921907</v>
      </c>
      <c r="T74" s="59">
        <f t="shared" si="88"/>
        <v>263.36387286233929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61.139157664054679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61.139157664054679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348.69</v>
      </c>
      <c r="AG74" s="12">
        <f>VLOOKUP(A74,'Données projet'!$A$61:$I$81,9,0)</f>
        <v>11.28875</v>
      </c>
      <c r="AH74" s="12">
        <f t="array" ref="AH74">INDEX(AG:AG,MIN(IF(ISNUMBER(AG74:AG270),ROW(AG74:AG270),"")))</f>
        <v>11.28875</v>
      </c>
      <c r="AI74" s="13">
        <f>IF('Données projet'!$A$62&gt;35,AI73+AH74-AQ73,IF(A74&lt;'Données projet'!$A$62,$AF$205^A74,IF(A74='Données projet'!$A$62,'Données projet'!$B$62,AI73+AH74-AQ73)))</f>
        <v>348.68999999999994</v>
      </c>
      <c r="AJ74" s="13">
        <f>AI74*VLOOKUP('Données projet'!$B$10,Paramètres!$A$1:$I$89,3,0)*VLOOKUP('Données projet'!$B$10,Paramètres!$A$1:$I$89,5,0)</f>
        <v>315.49471199999994</v>
      </c>
      <c r="AK74" s="13">
        <f t="shared" si="89"/>
        <v>74.415168706532612</v>
      </c>
      <c r="AL74" s="20">
        <f t="shared" si="58"/>
        <v>679.09304223054414</v>
      </c>
      <c r="AM74" s="59">
        <f t="shared" si="59"/>
        <v>972.4263755638774</v>
      </c>
      <c r="AN74" s="59">
        <f ca="1">AVERAGE(OFFSET($AM$3,0,0,'Données projet'!$E$10+1,1))-AVERAGE(OFFSET($H$3,0,0,'Données projet'!$E$10+1,1))</f>
        <v>370.05613271587413</v>
      </c>
      <c r="AO74" s="59">
        <f t="shared" si="90"/>
        <v>183.24480056442525</v>
      </c>
      <c r="AP74" s="15">
        <f>IF(ISNA(VLOOKUP(A74,'Données projet'!$A$61:$I$81,3,0)),0,VLOOKUP(A74,'Données projet'!$A$61:$I$81,3,0))</f>
        <v>6</v>
      </c>
      <c r="AQ74" s="15">
        <f>IF(ISNA(VLOOKUP(A74,'Données projet'!$A$61:$I$81,4,0)),0,VLOOKUP(A74,'Données projet'!$A$61:$I$81,4,0))</f>
        <v>52.07</v>
      </c>
      <c r="AR74" s="16">
        <f>IF(ISNA(VLOOKUP(A74,'Données projet'!$A$61:$I$81,5,0)),0%,VLOOKUP(A74,'Données projet'!$A$61:$I$81,5,0)*VLOOKUP('Données projet'!$B$10,Paramètres!$A$1:$I$89,7,0))</f>
        <v>0.43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103.13732072204741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103.13732072204741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>
        <f>VLOOKUP(A74,'Données projet'!$A$87:$I$107,2,0)</f>
        <v>348.69</v>
      </c>
      <c r="BB74" s="12">
        <f>VLOOKUP(A74,'Données projet'!$A$87:$I$107,9,0)</f>
        <v>11.28875</v>
      </c>
      <c r="BC74" s="12">
        <f t="array" ref="BC74">INDEX(BB:BB,MIN(IF(ISNUMBER(BB74:BB270),ROW(BB74:BB270),"")))</f>
        <v>11.28875</v>
      </c>
      <c r="BD74" s="12">
        <f>IF('Données projet'!$A$88&gt;35,BD73+BC74-BL73,IF(A74&lt;'Données projet'!$A$88,$BA$205^A74,IF(A74='Données projet'!$A$88,'Données projet'!$B$88,BD73+BC74-BL73)))</f>
        <v>348.68999999999994</v>
      </c>
      <c r="BE74" s="13">
        <f>BD74*VLOOKUP('Données projet'!$B$11,Paramètres!$A$1:$I$89,3,0)*VLOOKUP('Données projet'!$B$11,Paramètres!$A$1:$I$89,5,0)</f>
        <v>353.57165999999995</v>
      </c>
      <c r="BF74" s="13">
        <f t="shared" si="91"/>
        <v>82.297517984675324</v>
      </c>
      <c r="BG74" s="20">
        <f t="shared" si="61"/>
        <v>759.13881832330935</v>
      </c>
      <c r="BH74" s="59">
        <f t="shared" si="62"/>
        <v>1052.4721516566426</v>
      </c>
      <c r="BI74" s="59">
        <f ca="1">AVERAGE(OFFSET($BH$3,0,0,'Données projet'!$E$11+1,1))-AVERAGE(OFFSET($H$3,0,0,'Données projet'!$E$11+1,1))</f>
        <v>428.72181435671394</v>
      </c>
      <c r="BJ74" s="59">
        <f t="shared" si="92"/>
        <v>211.84936043087572</v>
      </c>
      <c r="BK74" s="15">
        <f>IF(ISNA(VLOOKUP(A74,'Données projet'!$A$87:$I$107,3,0)),0,VLOOKUP(A74,'Données projet'!$A$87:$I$107,3,0))</f>
        <v>6</v>
      </c>
      <c r="BL74" s="15">
        <f>IF(ISNA(VLOOKUP(A74,'Données projet'!$A$87:$I$107,4,0)),0,VLOOKUP(A74,'Données projet'!$A$87:$I$107,4,0))</f>
        <v>52.07</v>
      </c>
      <c r="BM74" s="16">
        <f>IF(ISNA(VLOOKUP(A74,'Données projet'!$A$87:$I$107,5,0)),0%,VLOOKUP(A74,'Données projet'!$A$87:$I$107,5,0)*VLOOKUP('Données projet'!$B$11,Paramètres!$A$1:$I$89,7,0))</f>
        <v>0.43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115.58492839539792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115.58492839539792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4.8</v>
      </c>
      <c r="BY74" s="12">
        <f>IF('Données projet'!$A$114&gt;35,BY73+BX74-CG73,IF(A74&lt;'Données projet'!$A$114,$BV$205^A74,IF(A74='Données projet'!$A$114,'Données projet'!$B$114,BY73+BX74-CG73)))</f>
        <v>355.79999999999967</v>
      </c>
      <c r="BZ74" s="13">
        <f>BY74*VLOOKUP('Données projet'!$B$12,Paramètres!$A$1:$I$89,3,0)*VLOOKUP('Données projet'!$B$12,Paramètres!$A$1:$I$89,5,0)</f>
        <v>283.07447999999977</v>
      </c>
      <c r="CA74" s="13">
        <f t="shared" si="93"/>
        <v>67.616321363645156</v>
      </c>
      <c r="CB74" s="20">
        <f t="shared" si="64"/>
        <v>610.78647904168156</v>
      </c>
      <c r="CC74" s="59">
        <f t="shared" si="65"/>
        <v>904.11981237501482</v>
      </c>
      <c r="CD74" s="59">
        <f ca="1">AVERAGE(OFFSET($CC$3,0,0,'Données projet'!$E$12+1,1))-AVERAGE(OFFSET($H$3,0,0,'Données projet'!$E$12+1,1))</f>
        <v>296.737543892524</v>
      </c>
      <c r="CE74" s="59">
        <f t="shared" si="94"/>
        <v>296.38358650317099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59.351666976089284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59.351666976089284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11</v>
      </c>
      <c r="CT74" s="12">
        <f>IF('Données projet'!$A$140&gt;35,CT73+CS74-DB73,IF(A74&lt;'Données projet'!$A$140,$CQ$205^A74,IF(A74='Données projet'!$A$140,'Données projet'!$B$140,CT73+CS74-DB73)))</f>
        <v>363</v>
      </c>
      <c r="CU74" s="17">
        <f>CT74*VLOOKUP('Données projet'!$B$13,Paramètres!$A$1:$I$89,3,0)*VLOOKUP('Données projet'!$B$13,Paramètres!$A$1:$I$89,5,0)</f>
        <v>311.45400000000001</v>
      </c>
      <c r="CV74" s="13">
        <f t="shared" si="95"/>
        <v>73.572400496659426</v>
      </c>
      <c r="CW74" s="20">
        <f t="shared" si="67"/>
        <v>670.58764753168191</v>
      </c>
      <c r="CX74" s="59">
        <f t="shared" si="68"/>
        <v>963.92098086501528</v>
      </c>
      <c r="CY74" s="59">
        <f ca="1">AVERAGE(OFFSET($CX$3,0,0,'Données projet'!$E$13+1,1))-AVERAGE(OFFSET($H$3,0,0,'Données projet'!$E$13+1,1))</f>
        <v>391.93999504334352</v>
      </c>
      <c r="CZ74" s="59">
        <f t="shared" si="96"/>
        <v>215.4484906985528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100.10868869284418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100.10868869284418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4.8</v>
      </c>
      <c r="DO74" s="12">
        <f>IF('Données projet'!$A$166&gt;35,DO73+DN74-DW73,IF(A74&lt;'Données projet'!$A$166,$DL$205^A74,IF(A74='Données projet'!$A$166,'Données projet'!$B$166,DO73+DN74-DW73)))</f>
        <v>355.79999999999967</v>
      </c>
      <c r="DP74" s="17">
        <f>DO74*VLOOKUP('Données projet'!$B$14,Paramètres!$A$1:$I$89,3,0)*VLOOKUP('Données projet'!$B$14,Paramètres!$A$1:$I$89,5,0)</f>
        <v>260.87255999999974</v>
      </c>
      <c r="DQ74" s="13">
        <f t="shared" si="97"/>
        <v>62.908336204200786</v>
      </c>
      <c r="DR74" s="20">
        <f t="shared" si="70"/>
        <v>563.9183942223159</v>
      </c>
      <c r="DS74" s="59">
        <f t="shared" si="71"/>
        <v>857.25172755564927</v>
      </c>
      <c r="DT74" s="59">
        <f ca="1">AVERAGE(OFFSET($DS$3,0,0,'Données projet'!$E$14+1,1))-AVERAGE(OFFSET($H$3,0,0,'Données projet'!$E$14+1,1))</f>
        <v>267.92147257573157</v>
      </c>
      <c r="DU74" s="59">
        <f t="shared" si="98"/>
        <v>269.06662611892438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44.376514598104499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44.376514598104499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0.8600000000003547</v>
      </c>
      <c r="EK74" s="17">
        <f>EJ74*VLOOKUP('Données projet'!$B$15,Paramètres!$A$1:$I$89,3,0)*VLOOKUP('Données projet'!$B$15,Paramètres!$A$1:$I$89,5,0)</f>
        <v>0.48074000000019829</v>
      </c>
      <c r="EL74" s="13">
        <f t="shared" si="99"/>
        <v>0.24126147010950588</v>
      </c>
      <c r="EM74" s="20">
        <f t="shared" si="73"/>
        <v>1.2574858937744013</v>
      </c>
      <c r="EN74" s="59">
        <f t="shared" si="74"/>
        <v>294.59081922710772</v>
      </c>
      <c r="EO74" s="59">
        <f ca="1">AVERAGE(OFFSET($EN$3,0,0,'Données projet'!$E$15+1,1))-AVERAGE(OFFSET($H$3,0,0,'Données projet'!$E$15+1,1))</f>
        <v>326.29985515186428</v>
      </c>
      <c r="EP74" s="59">
        <f t="shared" si="100"/>
        <v>437.68177084535927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270.821911472718</v>
      </c>
      <c r="EW74" s="21">
        <f>EXP(-LN(2)/25)*EW73+(1-EXP(-LN(2)/25))/(LN(2)/25)*Calculateur!ER74*Calculateur!ET74*VLOOKUP('Données projet'!$B$15,Paramètres!$A$1:$I$89,3,0)*0.475*44/12</f>
        <v>16.226119891829264</v>
      </c>
      <c r="EX74" s="21">
        <f>EXP(-LN(2)/2)*EX73+(1-EXP(-LN(2)/2))/(LN(2)/2)*ER74*EU74*VLOOKUP('Données projet'!$B$15,Paramètres!$A$1:$I$89,3,0)*0.475*44/12</f>
        <v>4.9896509517617451E-7</v>
      </c>
      <c r="EY74" s="22">
        <f t="shared" si="75"/>
        <v>287.04803186351239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1.7053025658242404E-13</v>
      </c>
      <c r="FF74" s="17">
        <f>FE74*VLOOKUP('Données projet'!$B$16,Paramètres!$A$1:$I$89,3,0)*VLOOKUP('Données projet'!$B$16,Paramètres!$A$1:$I$89,5,0)</f>
        <v>9.7631982498569413E-14</v>
      </c>
      <c r="FG74" s="13">
        <f t="shared" si="101"/>
        <v>1.4708068762530911E-12</v>
      </c>
      <c r="FH74" s="20">
        <f t="shared" si="76"/>
        <v>2.7316976789924749E-12</v>
      </c>
      <c r="FI74" s="59">
        <f t="shared" si="77"/>
        <v>293.33333333333604</v>
      </c>
      <c r="FJ74" s="59">
        <f ca="1">AVERAGE(OFFSET($FI$3,0,0,'Données projet'!$E$16+1,1))-AVERAGE(OFFSET($H$3,0,0,'Données projet'!$E$16+1,1))</f>
        <v>211.14768428403215</v>
      </c>
      <c r="FK74" s="59">
        <f t="shared" si="102"/>
        <v>350.7800157534798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36.873589451780489</v>
      </c>
      <c r="FR74" s="21">
        <f>EXP(-LN(2)/25)*FR73+(1-EXP(-LN(2)/25))/(LN(2)/25)*Calculateur!FM74*Calculateur!FO74*VLOOKUP('Données projet'!$B$16,Paramètres!$A$1:$I$89,3,0)*0.475*44/12</f>
        <v>6.9029466263021328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43.776536078082621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62.899200000000107</v>
      </c>
      <c r="D75" s="11">
        <f t="shared" si="86"/>
        <v>17.899252496876439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623.70735260746812</v>
      </c>
      <c r="H75" s="66">
        <f t="shared" si="56"/>
        <v>434.05730476539327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5</v>
      </c>
      <c r="N75" s="13">
        <f>IF('Données projet'!$A$36&gt;35,N74+M75-V74,IF(A75&lt;'Données projet'!$A$36,$K$205^A75,IF(A75='Données projet'!$A$36,'Données projet'!$B$36,N74+M75-V74)))</f>
        <v>246.00000000000011</v>
      </c>
      <c r="O75" s="13">
        <f>N75*VLOOKUP('Données projet'!$B$9,Paramètres!$A$1:$I$89,3,0)*VLOOKUP('Données projet'!$B$9,Paramètres!$A$1:$I$89,5,0)</f>
        <v>214.90560000000013</v>
      </c>
      <c r="P75" s="13">
        <f t="shared" si="87"/>
        <v>53.006137800892375</v>
      </c>
      <c r="Q75" s="20">
        <f t="shared" si="54"/>
        <v>466.61294333655451</v>
      </c>
      <c r="R75" s="59">
        <f t="shared" si="55"/>
        <v>759.94627666988777</v>
      </c>
      <c r="S75" s="59">
        <f ca="1">AVERAGE(OFFSET($R$3,0,0,'Données projet'!$E$9+1,1))-AVERAGE(OFFSET($H$3,0,0,'Données projet'!$E$9+1,1))</f>
        <v>252.49539407921907</v>
      </c>
      <c r="T75" s="59">
        <f t="shared" si="88"/>
        <v>263.36387286233929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59.940256073466543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59.940256073466543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11.009999999999998</v>
      </c>
      <c r="AI75" s="13">
        <f>IF('Données projet'!$A$62&gt;35,AI74+AH75-AQ74,IF(A75&lt;'Données projet'!$A$62,$AF$205^A75,IF(A75='Données projet'!$A$62,'Données projet'!$B$62,AI74+AH75-AQ74)))</f>
        <v>307.62999999999994</v>
      </c>
      <c r="AJ75" s="13">
        <f>AI75*VLOOKUP('Données projet'!$B$10,Paramètres!$A$1:$I$89,3,0)*VLOOKUP('Données projet'!$B$10,Paramètres!$A$1:$I$89,5,0)</f>
        <v>278.34362399999992</v>
      </c>
      <c r="AK75" s="13">
        <f t="shared" si="89"/>
        <v>66.616848235919079</v>
      </c>
      <c r="AL75" s="20">
        <f t="shared" si="58"/>
        <v>600.80615581089216</v>
      </c>
      <c r="AM75" s="59">
        <f t="shared" si="59"/>
        <v>894.13948914422554</v>
      </c>
      <c r="AN75" s="59">
        <f ca="1">AVERAGE(OFFSET($AM$3,0,0,'Données projet'!$E$10+1,1))-AVERAGE(OFFSET($H$3,0,0,'Données projet'!$E$10+1,1))</f>
        <v>370.05613271587413</v>
      </c>
      <c r="AO75" s="59">
        <f t="shared" si="90"/>
        <v>183.24480056442525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101.11486077024209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101.11486077024209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11.009999999999998</v>
      </c>
      <c r="BD75" s="12">
        <f>IF('Données projet'!$A$88&gt;35,BD74+BC75-BL74,IF(A75&lt;'Données projet'!$A$88,$BA$205^A75,IF(A75='Données projet'!$A$88,'Données projet'!$B$88,BD74+BC75-BL74)))</f>
        <v>307.62999999999994</v>
      </c>
      <c r="BE75" s="13">
        <f>BD75*VLOOKUP('Données projet'!$B$11,Paramètres!$A$1:$I$89,3,0)*VLOOKUP('Données projet'!$B$11,Paramètres!$A$1:$I$89,5,0)</f>
        <v>311.93681999999995</v>
      </c>
      <c r="BF75" s="13">
        <f t="shared" si="91"/>
        <v>73.673168536358688</v>
      </c>
      <c r="BG75" s="20">
        <f t="shared" si="61"/>
        <v>671.60406336749122</v>
      </c>
      <c r="BH75" s="59">
        <f t="shared" si="62"/>
        <v>964.93739670082459</v>
      </c>
      <c r="BI75" s="59">
        <f ca="1">AVERAGE(OFFSET($BH$3,0,0,'Données projet'!$E$11+1,1))-AVERAGE(OFFSET($H$3,0,0,'Données projet'!$E$11+1,1))</f>
        <v>428.72181435671394</v>
      </c>
      <c r="BJ75" s="59">
        <f t="shared" si="92"/>
        <v>211.84936043087572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113.31837844940921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113.31837844940921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4.8</v>
      </c>
      <c r="BY75" s="12">
        <f>IF('Données projet'!$A$114&gt;35,BY74+BX75-CG74,IF(A75&lt;'Données projet'!$A$114,$BV$205^A75,IF(A75='Données projet'!$A$114,'Données projet'!$B$114,BY74+BX75-CG74)))</f>
        <v>360.59999999999968</v>
      </c>
      <c r="BZ75" s="13">
        <f>BY75*VLOOKUP('Données projet'!$B$12,Paramètres!$A$1:$I$89,3,0)*VLOOKUP('Données projet'!$B$12,Paramètres!$A$1:$I$89,5,0)</f>
        <v>286.89335999999975</v>
      </c>
      <c r="CA75" s="13">
        <f t="shared" si="93"/>
        <v>68.421705584684744</v>
      </c>
      <c r="CB75" s="20">
        <f t="shared" si="64"/>
        <v>618.84040589332551</v>
      </c>
      <c r="CC75" s="59">
        <f t="shared" si="65"/>
        <v>912.17373922665888</v>
      </c>
      <c r="CD75" s="59">
        <f ca="1">AVERAGE(OFFSET($CC$3,0,0,'Données projet'!$E$12+1,1))-AVERAGE(OFFSET($H$3,0,0,'Données projet'!$E$12+1,1))</f>
        <v>296.737543892524</v>
      </c>
      <c r="CE75" s="59">
        <f t="shared" si="94"/>
        <v>296.38358650317099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58.187816987630484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58.187816987630484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11</v>
      </c>
      <c r="CT75" s="12">
        <f>IF('Données projet'!$A$140&gt;35,CT74+CS75-DB74,IF(A75&lt;'Données projet'!$A$140,$CQ$205^A75,IF(A75='Données projet'!$A$140,'Données projet'!$B$140,CT74+CS75-DB74)))</f>
        <v>374</v>
      </c>
      <c r="CU75" s="17">
        <f>CT75*VLOOKUP('Données projet'!$B$13,Paramètres!$A$1:$I$89,3,0)*VLOOKUP('Données projet'!$B$13,Paramètres!$A$1:$I$89,5,0)</f>
        <v>320.89200000000005</v>
      </c>
      <c r="CV75" s="13">
        <f t="shared" si="95"/>
        <v>75.538921531436799</v>
      </c>
      <c r="CW75" s="20">
        <f t="shared" si="67"/>
        <v>690.45052166725247</v>
      </c>
      <c r="CX75" s="59">
        <f t="shared" si="68"/>
        <v>983.78385500058585</v>
      </c>
      <c r="CY75" s="59">
        <f ca="1">AVERAGE(OFFSET($CX$3,0,0,'Données projet'!$E$13+1,1))-AVERAGE(OFFSET($H$3,0,0,'Données projet'!$E$13+1,1))</f>
        <v>391.93999504334352</v>
      </c>
      <c r="CZ75" s="59">
        <f t="shared" si="96"/>
        <v>215.4484906985528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98.145618367848414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98.145618367848414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4.8</v>
      </c>
      <c r="DO75" s="12">
        <f>IF('Données projet'!$A$166&gt;35,DO74+DN75-DW74,IF(A75&lt;'Données projet'!$A$166,$DL$205^A75,IF(A75='Données projet'!$A$166,'Données projet'!$B$166,DO74+DN75-DW74)))</f>
        <v>360.59999999999968</v>
      </c>
      <c r="DP75" s="17">
        <f>DO75*VLOOKUP('Données projet'!$B$14,Paramètres!$A$1:$I$89,3,0)*VLOOKUP('Données projet'!$B$14,Paramètres!$A$1:$I$89,5,0)</f>
        <v>264.39191999999974</v>
      </c>
      <c r="DQ75" s="13">
        <f t="shared" si="97"/>
        <v>63.657643181110089</v>
      </c>
      <c r="DR75" s="20">
        <f t="shared" si="70"/>
        <v>571.35298920709954</v>
      </c>
      <c r="DS75" s="59">
        <f t="shared" si="71"/>
        <v>864.68632254043291</v>
      </c>
      <c r="DT75" s="59">
        <f ca="1">AVERAGE(OFFSET($DS$3,0,0,'Données projet'!$E$14+1,1))-AVERAGE(OFFSET($H$3,0,0,'Données projet'!$E$14+1,1))</f>
        <v>267.92147257573157</v>
      </c>
      <c r="DU75" s="59">
        <f t="shared" si="98"/>
        <v>269.06662611892438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43.506318213836934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43.506318213836934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0.8600000000003547</v>
      </c>
      <c r="EK75" s="17">
        <f>EJ75*VLOOKUP('Données projet'!$B$15,Paramètres!$A$1:$I$89,3,0)*VLOOKUP('Données projet'!$B$15,Paramètres!$A$1:$I$89,5,0)</f>
        <v>0.48074000000019829</v>
      </c>
      <c r="EL75" s="13">
        <f t="shared" si="99"/>
        <v>0.24126147010950588</v>
      </c>
      <c r="EM75" s="20">
        <f t="shared" si="73"/>
        <v>1.2574858937744013</v>
      </c>
      <c r="EN75" s="59">
        <f t="shared" si="74"/>
        <v>294.59081922710772</v>
      </c>
      <c r="EO75" s="59">
        <f ca="1">AVERAGE(OFFSET($EN$3,0,0,'Données projet'!$E$15+1,1))-AVERAGE(OFFSET($H$3,0,0,'Données projet'!$E$15+1,1))</f>
        <v>326.29985515186428</v>
      </c>
      <c r="EP75" s="59">
        <f t="shared" si="100"/>
        <v>437.68177084535927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265.5112589737933</v>
      </c>
      <c r="EW75" s="21">
        <f>EXP(-LN(2)/25)*EW74+(1-EXP(-LN(2)/25))/(LN(2)/25)*Calculateur!ER75*Calculateur!ET75*VLOOKUP('Données projet'!$B$15,Paramètres!$A$1:$I$89,3,0)*0.475*44/12</f>
        <v>15.782415790092632</v>
      </c>
      <c r="EX75" s="21">
        <f>EXP(-LN(2)/2)*EX74+(1-EXP(-LN(2)/2))/(LN(2)/2)*ER75*EU75*VLOOKUP('Données projet'!$B$15,Paramètres!$A$1:$I$89,3,0)*0.475*44/12</f>
        <v>3.528216023744641E-7</v>
      </c>
      <c r="EY75" s="22">
        <f t="shared" si="75"/>
        <v>281.2936751167075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1.7053025658242404E-13</v>
      </c>
      <c r="FF75" s="17">
        <f>FE75*VLOOKUP('Données projet'!$B$16,Paramètres!$A$1:$I$89,3,0)*VLOOKUP('Données projet'!$B$16,Paramètres!$A$1:$I$89,5,0)</f>
        <v>9.7631982498569413E-14</v>
      </c>
      <c r="FG75" s="13">
        <f t="shared" si="101"/>
        <v>1.4708068762530911E-12</v>
      </c>
      <c r="FH75" s="20">
        <f t="shared" si="76"/>
        <v>2.7316976789924749E-12</v>
      </c>
      <c r="FI75" s="59">
        <f t="shared" si="77"/>
        <v>293.33333333333604</v>
      </c>
      <c r="FJ75" s="59">
        <f ca="1">AVERAGE(OFFSET($FI$3,0,0,'Données projet'!$E$16+1,1))-AVERAGE(OFFSET($H$3,0,0,'Données projet'!$E$16+1,1))</f>
        <v>211.14768428403215</v>
      </c>
      <c r="FK75" s="59">
        <f t="shared" si="102"/>
        <v>350.7800157534798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36.150520853299874</v>
      </c>
      <c r="FR75" s="21">
        <f>EXP(-LN(2)/25)*FR74+(1-EXP(-LN(2)/25))/(LN(2)/25)*Calculateur!FM75*Calculateur!FO75*VLOOKUP('Données projet'!$B$16,Paramètres!$A$1:$I$89,3,0)*0.475*44/12</f>
        <v>6.7141851877957146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42.864706041095587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63.77280000000011</v>
      </c>
      <c r="D76" s="11">
        <f t="shared" si="86"/>
        <v>18.118739450759591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632.14521681288181</v>
      </c>
      <c r="H76" s="66">
        <f t="shared" si="56"/>
        <v>435.96109787673976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5</v>
      </c>
      <c r="N76" s="13">
        <f>IF('Données projet'!$A$36&gt;35,N75+M76-V75,IF(A76&lt;'Données projet'!$A$36,$K$205^A76,IF(A76='Données projet'!$A$36,'Données projet'!$B$36,N75+M76-V75)))</f>
        <v>251.00000000000011</v>
      </c>
      <c r="O76" s="13">
        <f>N76*VLOOKUP('Données projet'!$B$9,Paramètres!$A$1:$I$89,3,0)*VLOOKUP('Données projet'!$B$9,Paramètres!$A$1:$I$89,5,0)</f>
        <v>219.27360000000016</v>
      </c>
      <c r="P76" s="13">
        <f t="shared" si="87"/>
        <v>53.956975893220168</v>
      </c>
      <c r="Q76" s="20">
        <f t="shared" si="54"/>
        <v>475.87658634735868</v>
      </c>
      <c r="R76" s="59">
        <f t="shared" si="55"/>
        <v>769.209919680692</v>
      </c>
      <c r="S76" s="59">
        <f ca="1">AVERAGE(OFFSET($R$3,0,0,'Données projet'!$E$9+1,1))-AVERAGE(OFFSET($H$3,0,0,'Données projet'!$E$9+1,1))</f>
        <v>252.49539407921907</v>
      </c>
      <c r="T76" s="59">
        <f t="shared" si="88"/>
        <v>263.36387286233929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58.764864211812075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58.764864211812075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11.009999999999998</v>
      </c>
      <c r="AI76" s="13">
        <f>IF('Données projet'!$A$62&gt;35,AI75+AH76-AQ75,IF(A76&lt;'Données projet'!$A$62,$AF$205^A76,IF(A76='Données projet'!$A$62,'Données projet'!$B$62,AI75+AH76-AQ75)))</f>
        <v>318.63999999999993</v>
      </c>
      <c r="AJ76" s="13">
        <f>AI76*VLOOKUP('Données projet'!$B$10,Paramètres!$A$1:$I$89,3,0)*VLOOKUP('Données projet'!$B$10,Paramètres!$A$1:$I$89,5,0)</f>
        <v>288.30547199999995</v>
      </c>
      <c r="AK76" s="13">
        <f t="shared" si="89"/>
        <v>68.719196733788849</v>
      </c>
      <c r="AL76" s="20">
        <f t="shared" si="58"/>
        <v>621.81796471134874</v>
      </c>
      <c r="AM76" s="59">
        <f t="shared" si="59"/>
        <v>915.15129804468211</v>
      </c>
      <c r="AN76" s="59">
        <f ca="1">AVERAGE(OFFSET($AM$3,0,0,'Données projet'!$E$10+1,1))-AVERAGE(OFFSET($H$3,0,0,'Données projet'!$E$10+1,1))</f>
        <v>370.05613271587413</v>
      </c>
      <c r="AO76" s="59">
        <f t="shared" si="90"/>
        <v>183.24480056442525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99.13206002451291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99.13206002451291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11.009999999999998</v>
      </c>
      <c r="BD76" s="12">
        <f>IF('Données projet'!$A$88&gt;35,BD75+BC76-BL75,IF(A76&lt;'Données projet'!$A$88,$BA$205^A76,IF(A76='Données projet'!$A$88,'Données projet'!$B$88,BD75+BC76-BL75)))</f>
        <v>318.63999999999993</v>
      </c>
      <c r="BE76" s="13">
        <f>BD76*VLOOKUP('Données projet'!$B$11,Paramètres!$A$1:$I$89,3,0)*VLOOKUP('Données projet'!$B$11,Paramètres!$A$1:$I$89,5,0)</f>
        <v>323.10095999999993</v>
      </c>
      <c r="BF76" s="13">
        <f t="shared" si="91"/>
        <v>75.998206110294873</v>
      </c>
      <c r="BG76" s="20">
        <f t="shared" si="61"/>
        <v>695.09771430876344</v>
      </c>
      <c r="BH76" s="59">
        <f t="shared" si="62"/>
        <v>988.4310476420967</v>
      </c>
      <c r="BI76" s="59">
        <f ca="1">AVERAGE(OFFSET($BH$3,0,0,'Données projet'!$E$11+1,1))-AVERAGE(OFFSET($H$3,0,0,'Données projet'!$E$11+1,1))</f>
        <v>428.72181435671394</v>
      </c>
      <c r="BJ76" s="59">
        <f t="shared" si="92"/>
        <v>211.84936043087572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111.09627416540238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111.09627416540238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4.8</v>
      </c>
      <c r="BY76" s="12">
        <f>IF('Données projet'!$A$114&gt;35,BY75+BX76-CG75,IF(A76&lt;'Données projet'!$A$114,$BV$205^A76,IF(A76='Données projet'!$A$114,'Données projet'!$B$114,BY75+BX76-CG75)))</f>
        <v>365.39999999999969</v>
      </c>
      <c r="BZ76" s="13">
        <f>BY76*VLOOKUP('Données projet'!$B$12,Paramètres!$A$1:$I$89,3,0)*VLOOKUP('Données projet'!$B$12,Paramètres!$A$1:$I$89,5,0)</f>
        <v>290.71223999999978</v>
      </c>
      <c r="CA76" s="13">
        <f t="shared" si="93"/>
        <v>69.225842856510994</v>
      </c>
      <c r="CB76" s="20">
        <f t="shared" si="64"/>
        <v>626.89216097508961</v>
      </c>
      <c r="CC76" s="59">
        <f t="shared" si="65"/>
        <v>920.22549430842287</v>
      </c>
      <c r="CD76" s="59">
        <f ca="1">AVERAGE(OFFSET($CC$3,0,0,'Données projet'!$E$12+1,1))-AVERAGE(OFFSET($H$3,0,0,'Données projet'!$E$12+1,1))</f>
        <v>296.737543892524</v>
      </c>
      <c r="CE76" s="59">
        <f t="shared" si="94"/>
        <v>296.38358650317099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57.04678938756696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57.04678938756696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11</v>
      </c>
      <c r="CT76" s="12">
        <f>IF('Données projet'!$A$140&gt;35,CT75+CS76-DB75,IF(A76&lt;'Données projet'!$A$140,$CQ$205^A76,IF(A76='Données projet'!$A$140,'Données projet'!$B$140,CT75+CS76-DB75)))</f>
        <v>385</v>
      </c>
      <c r="CU76" s="17">
        <f>CT76*VLOOKUP('Données projet'!$B$13,Paramètres!$A$1:$I$89,3,0)*VLOOKUP('Données projet'!$B$13,Paramètres!$A$1:$I$89,5,0)</f>
        <v>330.33000000000004</v>
      </c>
      <c r="CV76" s="13">
        <f t="shared" si="95"/>
        <v>77.498720610826084</v>
      </c>
      <c r="CW76" s="20">
        <f t="shared" si="67"/>
        <v>710.30168839718874</v>
      </c>
      <c r="CX76" s="59">
        <f t="shared" si="68"/>
        <v>1003.6350217305221</v>
      </c>
      <c r="CY76" s="59">
        <f ca="1">AVERAGE(OFFSET($CX$3,0,0,'Données projet'!$E$13+1,1))-AVERAGE(OFFSET($H$3,0,0,'Données projet'!$E$13+1,1))</f>
        <v>391.93999504334352</v>
      </c>
      <c r="CZ76" s="59">
        <f t="shared" si="96"/>
        <v>215.4484906985528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96.221042654571136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96.221042654571136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4.8</v>
      </c>
      <c r="DO76" s="12">
        <f>IF('Données projet'!$A$166&gt;35,DO75+DN76-DW75,IF(A76&lt;'Données projet'!$A$166,$DL$205^A76,IF(A76='Données projet'!$A$166,'Données projet'!$B$166,DO75+DN76-DW75)))</f>
        <v>365.39999999999969</v>
      </c>
      <c r="DP76" s="17">
        <f>DO76*VLOOKUP('Données projet'!$B$14,Paramètres!$A$1:$I$89,3,0)*VLOOKUP('Données projet'!$B$14,Paramètres!$A$1:$I$89,5,0)</f>
        <v>267.91127999999981</v>
      </c>
      <c r="DQ76" s="13">
        <f t="shared" si="97"/>
        <v>64.405790031310872</v>
      </c>
      <c r="DR76" s="20">
        <f t="shared" si="70"/>
        <v>578.78556363786606</v>
      </c>
      <c r="DS76" s="59">
        <f t="shared" si="71"/>
        <v>872.11889697119932</v>
      </c>
      <c r="DT76" s="59">
        <f ca="1">AVERAGE(OFFSET($DS$3,0,0,'Données projet'!$E$14+1,1))-AVERAGE(OFFSET($H$3,0,0,'Données projet'!$E$14+1,1))</f>
        <v>267.92147257573157</v>
      </c>
      <c r="DU76" s="59">
        <f t="shared" si="98"/>
        <v>269.06662611892438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42.653185849897469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42.653185849897469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0.8600000000003547</v>
      </c>
      <c r="EK76" s="17">
        <f>EJ76*VLOOKUP('Données projet'!$B$15,Paramètres!$A$1:$I$89,3,0)*VLOOKUP('Données projet'!$B$15,Paramètres!$A$1:$I$89,5,0)</f>
        <v>0.48074000000019829</v>
      </c>
      <c r="EL76" s="13">
        <f t="shared" si="99"/>
        <v>0.24126147010950588</v>
      </c>
      <c r="EM76" s="20">
        <f t="shared" si="73"/>
        <v>1.2574858937744013</v>
      </c>
      <c r="EN76" s="59">
        <f t="shared" si="74"/>
        <v>294.59081922710772</v>
      </c>
      <c r="EO76" s="59">
        <f ca="1">AVERAGE(OFFSET($EN$3,0,0,'Données projet'!$E$15+1,1))-AVERAGE(OFFSET($H$3,0,0,'Données projet'!$E$15+1,1))</f>
        <v>326.29985515186428</v>
      </c>
      <c r="EP76" s="59">
        <f t="shared" si="100"/>
        <v>437.68177084535927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260.30474513119435</v>
      </c>
      <c r="EW76" s="21">
        <f>EXP(-LN(2)/25)*EW75+(1-EXP(-LN(2)/25))/(LN(2)/25)*Calculateur!ER76*Calculateur!ET76*VLOOKUP('Données projet'!$B$15,Paramètres!$A$1:$I$89,3,0)*0.475*44/12</f>
        <v>15.350844800351373</v>
      </c>
      <c r="EX76" s="21">
        <f>EXP(-LN(2)/2)*EX75+(1-EXP(-LN(2)/2))/(LN(2)/2)*ER76*EU76*VLOOKUP('Données projet'!$B$15,Paramètres!$A$1:$I$89,3,0)*0.475*44/12</f>
        <v>2.4948254758808726E-7</v>
      </c>
      <c r="EY76" s="22">
        <f t="shared" si="75"/>
        <v>275.65559018102823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1.7053025658242404E-13</v>
      </c>
      <c r="FF76" s="17">
        <f>FE76*VLOOKUP('Données projet'!$B$16,Paramètres!$A$1:$I$89,3,0)*VLOOKUP('Données projet'!$B$16,Paramètres!$A$1:$I$89,5,0)</f>
        <v>9.7631982498569413E-14</v>
      </c>
      <c r="FG76" s="13">
        <f t="shared" si="101"/>
        <v>1.4708068762530911E-12</v>
      </c>
      <c r="FH76" s="20">
        <f t="shared" si="76"/>
        <v>2.7316976789924749E-12</v>
      </c>
      <c r="FI76" s="59">
        <f t="shared" si="77"/>
        <v>293.33333333333604</v>
      </c>
      <c r="FJ76" s="59">
        <f ca="1">AVERAGE(OFFSET($FI$3,0,0,'Données projet'!$E$16+1,1))-AVERAGE(OFFSET($H$3,0,0,'Données projet'!$E$16+1,1))</f>
        <v>211.14768428403215</v>
      </c>
      <c r="FK76" s="59">
        <f t="shared" si="102"/>
        <v>350.7800157534798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35.441631189007161</v>
      </c>
      <c r="FR76" s="21">
        <f>EXP(-LN(2)/25)*FR75+(1-EXP(-LN(2)/25))/(LN(2)/25)*Calculateur!FM76*Calculateur!FO76*VLOOKUP('Données projet'!$B$16,Paramètres!$A$1:$I$89,3,0)*0.475*44/12</f>
        <v>6.5305854407517874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41.972216629758947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64.646400000000114</v>
      </c>
      <c r="D77" s="11">
        <f t="shared" si="86"/>
        <v>18.337876695493698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640.58038150907498</v>
      </c>
      <c r="H77" s="66">
        <f t="shared" si="56"/>
        <v>437.86428191131836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5</v>
      </c>
      <c r="N77" s="13">
        <f>IF('Données projet'!$A$36&gt;35,N76+M77-V76,IF(A77&lt;'Données projet'!$A$36,$K$205^A77,IF(A77='Données projet'!$A$36,'Données projet'!$B$36,N76+M77-V76)))</f>
        <v>256.00000000000011</v>
      </c>
      <c r="O77" s="13">
        <f>N77*VLOOKUP('Données projet'!$B$9,Paramètres!$A$1:$I$89,3,0)*VLOOKUP('Données projet'!$B$9,Paramètres!$A$1:$I$89,5,0)</f>
        <v>223.64160000000012</v>
      </c>
      <c r="P77" s="13">
        <f t="shared" si="87"/>
        <v>54.905611653539218</v>
      </c>
      <c r="Q77" s="20">
        <f t="shared" si="54"/>
        <v>485.13639362991444</v>
      </c>
      <c r="R77" s="59">
        <f t="shared" si="55"/>
        <v>778.46972696324769</v>
      </c>
      <c r="S77" s="59">
        <f ca="1">AVERAGE(OFFSET($R$3,0,0,'Données projet'!$E$9+1,1))-AVERAGE(OFFSET($H$3,0,0,'Données projet'!$E$9+1,1))</f>
        <v>252.49539407921907</v>
      </c>
      <c r="T77" s="59">
        <f t="shared" si="88"/>
        <v>263.36387286233929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57.612521067646405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57.612521067646405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11.009999999999998</v>
      </c>
      <c r="AI77" s="13">
        <f>IF('Données projet'!$A$62&gt;35,AI76+AH77-AQ76,IF(A77&lt;'Données projet'!$A$62,$AF$205^A77,IF(A77='Données projet'!$A$62,'Données projet'!$B$62,AI76+AH77-AQ76)))</f>
        <v>329.64999999999992</v>
      </c>
      <c r="AJ77" s="13">
        <f>AI77*VLOOKUP('Données projet'!$B$10,Paramètres!$A$1:$I$89,3,0)*VLOOKUP('Données projet'!$B$10,Paramètres!$A$1:$I$89,5,0)</f>
        <v>298.26731999999993</v>
      </c>
      <c r="AK77" s="13">
        <f t="shared" si="89"/>
        <v>70.813104833271126</v>
      </c>
      <c r="AL77" s="20">
        <f t="shared" si="58"/>
        <v>642.81507325128052</v>
      </c>
      <c r="AM77" s="59">
        <f t="shared" si="59"/>
        <v>936.14840658461389</v>
      </c>
      <c r="AN77" s="59">
        <f ca="1">AVERAGE(OFFSET($AM$3,0,0,'Données projet'!$E$10+1,1))-AVERAGE(OFFSET($H$3,0,0,'Données projet'!$E$10+1,1))</f>
        <v>370.05613271587413</v>
      </c>
      <c r="AO77" s="59">
        <f t="shared" si="90"/>
        <v>183.24480056442525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97.188140792018444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97.188140792018444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11.009999999999998</v>
      </c>
      <c r="BD77" s="12">
        <f>IF('Données projet'!$A$88&gt;35,BD76+BC77-BL76,IF(A77&lt;'Données projet'!$A$88,$BA$205^A77,IF(A77='Données projet'!$A$88,'Données projet'!$B$88,BD76+BC77-BL76)))</f>
        <v>329.64999999999992</v>
      </c>
      <c r="BE77" s="13">
        <f>BD77*VLOOKUP('Données projet'!$B$11,Paramètres!$A$1:$I$89,3,0)*VLOOKUP('Données projet'!$B$11,Paramètres!$A$1:$I$89,5,0)</f>
        <v>334.26509999999996</v>
      </c>
      <c r="BF77" s="13">
        <f t="shared" si="91"/>
        <v>78.313909245431049</v>
      </c>
      <c r="BG77" s="20">
        <f t="shared" si="61"/>
        <v>718.57510776912568</v>
      </c>
      <c r="BH77" s="59">
        <f t="shared" si="62"/>
        <v>1011.9084411024589</v>
      </c>
      <c r="BI77" s="59">
        <f ca="1">AVERAGE(OFFSET($BH$3,0,0,'Données projet'!$E$11+1,1))-AVERAGE(OFFSET($H$3,0,0,'Données projet'!$E$11+1,1))</f>
        <v>428.72181435671394</v>
      </c>
      <c r="BJ77" s="59">
        <f t="shared" si="92"/>
        <v>211.84936043087572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108.91774399105513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108.91774399105513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4.8</v>
      </c>
      <c r="BY77" s="12">
        <f>IF('Données projet'!$A$114&gt;35,BY76+BX77-CG76,IF(A77&lt;'Données projet'!$A$114,$BV$205^A77,IF(A77='Données projet'!$A$114,'Données projet'!$B$114,BY76+BX77-CG76)))</f>
        <v>370.1999999999997</v>
      </c>
      <c r="BZ77" s="13">
        <f>BY77*VLOOKUP('Données projet'!$B$12,Paramètres!$A$1:$I$89,3,0)*VLOOKUP('Données projet'!$B$12,Paramètres!$A$1:$I$89,5,0)</f>
        <v>294.53111999999976</v>
      </c>
      <c r="CA77" s="13">
        <f t="shared" si="93"/>
        <v>70.028751453157682</v>
      </c>
      <c r="CB77" s="20">
        <f t="shared" si="64"/>
        <v>634.94177611424914</v>
      </c>
      <c r="CC77" s="59">
        <f t="shared" si="65"/>
        <v>928.27510944758251</v>
      </c>
      <c r="CD77" s="59">
        <f ca="1">AVERAGE(OFFSET($CC$3,0,0,'Données projet'!$E$12+1,1))-AVERAGE(OFFSET($H$3,0,0,'Données projet'!$E$12+1,1))</f>
        <v>296.737543892524</v>
      </c>
      <c r="CE77" s="59">
        <f t="shared" si="94"/>
        <v>296.38358650317099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55.928136642782569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55.928136642782569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11</v>
      </c>
      <c r="CT77" s="12">
        <f>IF('Données projet'!$A$140&gt;35,CT76+CS77-DB76,IF(A77&lt;'Données projet'!$A$140,$CQ$205^A77,IF(A77='Données projet'!$A$140,'Données projet'!$B$140,CT76+CS77-DB76)))</f>
        <v>396</v>
      </c>
      <c r="CU77" s="17">
        <f>CT77*VLOOKUP('Données projet'!$B$13,Paramètres!$A$1:$I$89,3,0)*VLOOKUP('Données projet'!$B$13,Paramètres!$A$1:$I$89,5,0)</f>
        <v>339.76800000000003</v>
      </c>
      <c r="CV77" s="13">
        <f t="shared" si="95"/>
        <v>79.452011848891914</v>
      </c>
      <c r="CW77" s="20">
        <f t="shared" si="67"/>
        <v>730.14152063682013</v>
      </c>
      <c r="CX77" s="59">
        <f t="shared" si="68"/>
        <v>1023.4748539701534</v>
      </c>
      <c r="CY77" s="59">
        <f ca="1">AVERAGE(OFFSET($CX$3,0,0,'Données projet'!$E$13+1,1))-AVERAGE(OFFSET($H$3,0,0,'Données projet'!$E$13+1,1))</f>
        <v>391.93999504334352</v>
      </c>
      <c r="CZ77" s="59">
        <f t="shared" si="96"/>
        <v>215.4484906985528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94.334206697155949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94.334206697155949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4.8</v>
      </c>
      <c r="DO77" s="12">
        <f>IF('Données projet'!$A$166&gt;35,DO76+DN77-DW76,IF(A77&lt;'Données projet'!$A$166,$DL$205^A77,IF(A77='Données projet'!$A$166,'Données projet'!$B$166,DO76+DN77-DW76)))</f>
        <v>370.1999999999997</v>
      </c>
      <c r="DP77" s="17">
        <f>DO77*VLOOKUP('Données projet'!$B$14,Paramètres!$A$1:$I$89,3,0)*VLOOKUP('Données projet'!$B$14,Paramètres!$A$1:$I$89,5,0)</f>
        <v>271.43063999999981</v>
      </c>
      <c r="DQ77" s="13">
        <f t="shared" si="97"/>
        <v>65.152793756453633</v>
      </c>
      <c r="DR77" s="20">
        <f t="shared" si="70"/>
        <v>586.21614712582311</v>
      </c>
      <c r="DS77" s="59">
        <f t="shared" si="71"/>
        <v>879.54948045915648</v>
      </c>
      <c r="DT77" s="59">
        <f ca="1">AVERAGE(OFFSET($DS$3,0,0,'Données projet'!$E$14+1,1))-AVERAGE(OFFSET($H$3,0,0,'Données projet'!$E$14+1,1))</f>
        <v>267.92147257573157</v>
      </c>
      <c r="DU77" s="59">
        <f t="shared" si="98"/>
        <v>269.06662611892438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41.816782891255492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41.816782891255492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0.8600000000003547</v>
      </c>
      <c r="EK77" s="17">
        <f>EJ77*VLOOKUP('Données projet'!$B$15,Paramètres!$A$1:$I$89,3,0)*VLOOKUP('Données projet'!$B$15,Paramètres!$A$1:$I$89,5,0)</f>
        <v>0.48074000000019829</v>
      </c>
      <c r="EL77" s="13">
        <f t="shared" si="99"/>
        <v>0.24126147010950588</v>
      </c>
      <c r="EM77" s="20">
        <f t="shared" si="73"/>
        <v>1.2574858937744013</v>
      </c>
      <c r="EN77" s="59">
        <f t="shared" si="74"/>
        <v>294.59081922710772</v>
      </c>
      <c r="EO77" s="59">
        <f ca="1">AVERAGE(OFFSET($EN$3,0,0,'Données projet'!$E$15+1,1))-AVERAGE(OFFSET($H$3,0,0,'Données projet'!$E$15+1,1))</f>
        <v>326.29985515186428</v>
      </c>
      <c r="EP77" s="59">
        <f t="shared" si="100"/>
        <v>437.68177084535927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255.20032784938891</v>
      </c>
      <c r="EW77" s="21">
        <f>EXP(-LN(2)/25)*EW76+(1-EXP(-LN(2)/25))/(LN(2)/25)*Calculateur!ER77*Calculateur!ET77*VLOOKUP('Données projet'!$B$15,Paramètres!$A$1:$I$89,3,0)*0.475*44/12</f>
        <v>14.931075142019921</v>
      </c>
      <c r="EX77" s="21">
        <f>EXP(-LN(2)/2)*EX76+(1-EXP(-LN(2)/2))/(LN(2)/2)*ER77*EU77*VLOOKUP('Données projet'!$B$15,Paramètres!$A$1:$I$89,3,0)*0.475*44/12</f>
        <v>1.7641080118723205E-7</v>
      </c>
      <c r="EY77" s="22">
        <f t="shared" si="75"/>
        <v>270.13140316781966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1.7053025658242404E-13</v>
      </c>
      <c r="FF77" s="17">
        <f>FE77*VLOOKUP('Données projet'!$B$16,Paramètres!$A$1:$I$89,3,0)*VLOOKUP('Données projet'!$B$16,Paramètres!$A$1:$I$89,5,0)</f>
        <v>9.7631982498569413E-14</v>
      </c>
      <c r="FG77" s="13">
        <f t="shared" si="101"/>
        <v>1.4708068762530911E-12</v>
      </c>
      <c r="FH77" s="20">
        <f t="shared" si="76"/>
        <v>2.7316976789924749E-12</v>
      </c>
      <c r="FI77" s="59">
        <f t="shared" si="77"/>
        <v>293.33333333333604</v>
      </c>
      <c r="FJ77" s="59">
        <f ca="1">AVERAGE(OFFSET($FI$3,0,0,'Données projet'!$E$16+1,1))-AVERAGE(OFFSET($H$3,0,0,'Données projet'!$E$16+1,1))</f>
        <v>211.14768428403215</v>
      </c>
      <c r="FK77" s="59">
        <f t="shared" si="102"/>
        <v>350.7800157534798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34.746642418651227</v>
      </c>
      <c r="FR77" s="21">
        <f>EXP(-LN(2)/25)*FR76+(1-EXP(-LN(2)/25))/(LN(2)/25)*Calculateur!FM77*Calculateur!FO77*VLOOKUP('Données projet'!$B$16,Paramètres!$A$1:$I$89,3,0)*0.475*44/12</f>
        <v>6.3520062384458669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41.098648657097094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65.52000000000011</v>
      </c>
      <c r="D78" s="11">
        <f t="shared" si="86"/>
        <v>18.556669503136749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649.01288739263543</v>
      </c>
      <c r="H78" s="66">
        <f t="shared" si="56"/>
        <v>439.76686605129669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261</v>
      </c>
      <c r="L78" s="12">
        <f>VLOOKUP(A78,'Données projet'!$A$35:$I$55,9,0)</f>
        <v>5</v>
      </c>
      <c r="M78" s="12">
        <f t="array" ref="M78">INDEX(L:L,MIN(IF(ISNUMBER(L78:L274),ROW(L78:L274),"")))</f>
        <v>5</v>
      </c>
      <c r="N78" s="13">
        <f>IF('Données projet'!$A$36&gt;35,N77+M78-V77,IF(A78&lt;'Données projet'!$A$36,$K$205^A78,IF(A78='Données projet'!$A$36,'Données projet'!$B$36,N77+M78-V77)))</f>
        <v>261.00000000000011</v>
      </c>
      <c r="O78" s="13">
        <f>N78*VLOOKUP('Données projet'!$B$9,Paramètres!$A$1:$I$89,3,0)*VLOOKUP('Données projet'!$B$9,Paramètres!$A$1:$I$89,5,0)</f>
        <v>228.00960000000015</v>
      </c>
      <c r="P78" s="13">
        <f t="shared" si="87"/>
        <v>55.852093054619878</v>
      </c>
      <c r="Q78" s="20">
        <f t="shared" si="54"/>
        <v>494.39244873679655</v>
      </c>
      <c r="R78" s="59">
        <f t="shared" si="55"/>
        <v>787.72578207012987</v>
      </c>
      <c r="S78" s="59">
        <f ca="1">AVERAGE(OFFSET($R$3,0,0,'Données projet'!$E$9+1,1))-AVERAGE(OFFSET($H$3,0,0,'Données projet'!$E$9+1,1))</f>
        <v>252.49539407921907</v>
      </c>
      <c r="T78" s="59">
        <f t="shared" si="88"/>
        <v>263.36387286233929</v>
      </c>
      <c r="U78" s="15">
        <f>IF(ISNA(VLOOKUP(A78,'Données projet'!$A$35:$I$55,3,0)),0,VLOOKUP(A78,'Données projet'!$A$35:$I$55,3,0))</f>
        <v>13</v>
      </c>
      <c r="V78" s="15">
        <f>IF(ISNA(VLOOKUP(A78,'Données projet'!$A$35:$I$55,4,0)),0,VLOOKUP(A78,'Données projet'!$A$35:$I$55,4,0))</f>
        <v>19</v>
      </c>
      <c r="W78" s="16">
        <f>IF(ISNA(VLOOKUP(A78,'Données projet'!$A$35:$I$55,5,0)),0%,VLOOKUP(A78,'Données projet'!$A$35:$I$55,5,0)*VLOOKUP('Données projet'!$B$9,Paramètres!$A$1:$I$89,7,0))</f>
        <v>0.43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64.372861675162994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64.372861675162994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11.009999999999998</v>
      </c>
      <c r="AI78" s="13">
        <f>IF('Données projet'!$A$62&gt;35,AI77+AH78-AQ77,IF(A78&lt;'Données projet'!$A$62,$AF$205^A78,IF(A78='Données projet'!$A$62,'Données projet'!$B$62,AI77+AH78-AQ77)))</f>
        <v>340.65999999999991</v>
      </c>
      <c r="AJ78" s="13">
        <f>AI78*VLOOKUP('Données projet'!$B$10,Paramètres!$A$1:$I$89,3,0)*VLOOKUP('Données projet'!$B$10,Paramètres!$A$1:$I$89,5,0)</f>
        <v>308.2291679999999</v>
      </c>
      <c r="AK78" s="13">
        <f t="shared" si="89"/>
        <v>72.898886756758046</v>
      </c>
      <c r="AL78" s="20">
        <f t="shared" si="58"/>
        <v>663.79802870135336</v>
      </c>
      <c r="AM78" s="59">
        <f t="shared" si="59"/>
        <v>957.13136203468662</v>
      </c>
      <c r="AN78" s="59">
        <f ca="1">AVERAGE(OFFSET($AM$3,0,0,'Données projet'!$E$10+1,1))-AVERAGE(OFFSET($H$3,0,0,'Données projet'!$E$10+1,1))</f>
        <v>370.05613271587413</v>
      </c>
      <c r="AO78" s="59">
        <f t="shared" si="90"/>
        <v>183.24480056442525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95.282340629999538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95.282340629999538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11.009999999999998</v>
      </c>
      <c r="BD78" s="12">
        <f>IF('Données projet'!$A$88&gt;35,BD77+BC78-BL77,IF(A78&lt;'Données projet'!$A$88,$BA$205^A78,IF(A78='Données projet'!$A$88,'Données projet'!$B$88,BD77+BC78-BL77)))</f>
        <v>340.65999999999991</v>
      </c>
      <c r="BE78" s="13">
        <f>BD78*VLOOKUP('Données projet'!$B$11,Paramètres!$A$1:$I$89,3,0)*VLOOKUP('Données projet'!$B$11,Paramètres!$A$1:$I$89,5,0)</f>
        <v>345.42923999999994</v>
      </c>
      <c r="BF78" s="13">
        <f t="shared" si="91"/>
        <v>80.620625447838862</v>
      </c>
      <c r="BG78" s="20">
        <f t="shared" si="61"/>
        <v>742.03684898831909</v>
      </c>
      <c r="BH78" s="59">
        <f t="shared" si="62"/>
        <v>1035.3701823216525</v>
      </c>
      <c r="BI78" s="59">
        <f ca="1">AVERAGE(OFFSET($BH$3,0,0,'Données projet'!$E$11+1,1))-AVERAGE(OFFSET($H$3,0,0,'Données projet'!$E$11+1,1))</f>
        <v>428.72181435671394</v>
      </c>
      <c r="BJ78" s="59">
        <f t="shared" si="92"/>
        <v>211.84936043087572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106.78193346465464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106.78193346465464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375</v>
      </c>
      <c r="BW78" s="12">
        <f>VLOOKUP(A78,'Données projet'!$A$113:$I$133,9,0)</f>
        <v>4.8</v>
      </c>
      <c r="BX78" s="12">
        <f t="array" ref="BX78">INDEX(BW:BW,MIN(IF(ISNUMBER(BW78:BW274),ROW(BW78:BW274),"")))</f>
        <v>4.8</v>
      </c>
      <c r="BY78" s="12">
        <f>IF('Données projet'!$A$114&gt;35,BY77+BX78-CG77,IF(A78&lt;'Données projet'!$A$114,$BV$205^A78,IF(A78='Données projet'!$A$114,'Données projet'!$B$114,BY77+BX78-CG77)))</f>
        <v>374.99999999999972</v>
      </c>
      <c r="BZ78" s="13">
        <f>BY78*VLOOKUP('Données projet'!$B$12,Paramètres!$A$1:$I$89,3,0)*VLOOKUP('Données projet'!$B$12,Paramètres!$A$1:$I$89,5,0)</f>
        <v>298.3499999999998</v>
      </c>
      <c r="CA78" s="13">
        <f t="shared" si="93"/>
        <v>70.83044914753448</v>
      </c>
      <c r="CB78" s="20">
        <f t="shared" si="64"/>
        <v>642.98928226528881</v>
      </c>
      <c r="CC78" s="59">
        <f t="shared" si="65"/>
        <v>936.32261559862218</v>
      </c>
      <c r="CD78" s="59">
        <f ca="1">AVERAGE(OFFSET($CC$3,0,0,'Données projet'!$E$12+1,1))-AVERAGE(OFFSET($H$3,0,0,'Données projet'!$E$12+1,1))</f>
        <v>296.737543892524</v>
      </c>
      <c r="CE78" s="59">
        <f t="shared" si="94"/>
        <v>296.38358650317099</v>
      </c>
      <c r="CF78" s="15">
        <f>IF(ISNA(VLOOKUP(A78,'Données projet'!$A$113:$I$133,3,0)),0,VLOOKUP(A78,'Données projet'!$A$113:$I$133,3,0))</f>
        <v>14</v>
      </c>
      <c r="CG78" s="15">
        <f>IF(ISNA(VLOOKUP(A78,'Données projet'!$A$113:$I$133,4,0)),0,VLOOKUP(A78,'Données projet'!$A$113:$I$133,4,0))</f>
        <v>14</v>
      </c>
      <c r="CH78" s="16">
        <f>IF(ISNA(VLOOKUP(A78,'Données projet'!$A$113:$I$133,5,0)),0%,VLOOKUP(A78,'Données projet'!$A$113:$I$133,5,0)*VLOOKUP('Données projet'!$B$12,Paramètres!$A$1:$I$89,7,0))</f>
        <v>0.53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61.357400771969196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61.357400771969196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407</v>
      </c>
      <c r="CR78" s="12">
        <f>VLOOKUP(A78,'Données projet'!$A$139:$I$159,9,0)</f>
        <v>11</v>
      </c>
      <c r="CS78" s="12">
        <f t="array" ref="CS78">INDEX(CR:CR,MIN(IF(ISNUMBER(CR78:CR274),ROW(CR78:CR274),"")))</f>
        <v>11</v>
      </c>
      <c r="CT78" s="12">
        <f>IF('Données projet'!$A$140&gt;35,CT77+CS78-DB77,IF(A78&lt;'Données projet'!$A$140,$CQ$205^A78,IF(A78='Données projet'!$A$140,'Données projet'!$B$140,CT77+CS78-DB77)))</f>
        <v>407</v>
      </c>
      <c r="CU78" s="17">
        <f>CT78*VLOOKUP('Données projet'!$B$13,Paramètres!$A$1:$I$89,3,0)*VLOOKUP('Données projet'!$B$13,Paramètres!$A$1:$I$89,5,0)</f>
        <v>349.20600000000007</v>
      </c>
      <c r="CV78" s="13">
        <f t="shared" si="95"/>
        <v>81.398996787610969</v>
      </c>
      <c r="CW78" s="20">
        <f t="shared" si="67"/>
        <v>749.97036940508917</v>
      </c>
      <c r="CX78" s="59">
        <f t="shared" si="68"/>
        <v>1043.3037027384225</v>
      </c>
      <c r="CY78" s="59">
        <f ca="1">AVERAGE(OFFSET($CX$3,0,0,'Données projet'!$E$13+1,1))-AVERAGE(OFFSET($H$3,0,0,'Données projet'!$E$13+1,1))</f>
        <v>391.93999504334352</v>
      </c>
      <c r="CZ78" s="59">
        <f t="shared" si="96"/>
        <v>215.4484906985528</v>
      </c>
      <c r="DA78" s="15">
        <f>IF(ISNA(VLOOKUP(A78,'Données projet'!$A$139:$I$159,3,0)),0,VLOOKUP(A78,'Données projet'!$A$139:$I$159,3,0))</f>
        <v>11</v>
      </c>
      <c r="DB78" s="15">
        <f>IF(ISNA(VLOOKUP(A78,'Données projet'!$A$139:$I$159,4,0)),0,VLOOKUP(A78,'Données projet'!$A$139:$I$159,4,0))</f>
        <v>35</v>
      </c>
      <c r="DC78" s="16">
        <f>IF(ISNA(VLOOKUP(A78,'Données projet'!$A$139:$I$159,5,0)),0%,VLOOKUP(A78,'Données projet'!$A$139:$I$159,5,0)*VLOOKUP('Données projet'!$B$13,Paramètres!$A$1:$I$89,7,0))</f>
        <v>0.53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110.07892645561786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110.07892645561786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375</v>
      </c>
      <c r="DM78" s="12">
        <f>VLOOKUP(A78,'Données projet'!$A$165:$I$185,9,0)</f>
        <v>4.8</v>
      </c>
      <c r="DN78" s="12">
        <f t="array" ref="DN78">INDEX(DM:DM,MIN(IF(ISNUMBER(DM78:DM274),ROW(DM78:DM274),"")))</f>
        <v>4.8</v>
      </c>
      <c r="DO78" s="12">
        <f>IF('Données projet'!$A$166&gt;35,DO77+DN78-DW77,IF(A78&lt;'Données projet'!$A$166,$DL$205^A78,IF(A78='Données projet'!$A$166,'Données projet'!$B$166,DO77+DN78-DW77)))</f>
        <v>374.99999999999972</v>
      </c>
      <c r="DP78" s="17">
        <f>DO78*VLOOKUP('Données projet'!$B$14,Paramètres!$A$1:$I$89,3,0)*VLOOKUP('Données projet'!$B$14,Paramètres!$A$1:$I$89,5,0)</f>
        <v>274.94999999999976</v>
      </c>
      <c r="DQ78" s="13">
        <f t="shared" si="97"/>
        <v>65.898670891956897</v>
      </c>
      <c r="DR78" s="20">
        <f t="shared" si="70"/>
        <v>593.64476847015783</v>
      </c>
      <c r="DS78" s="59">
        <f t="shared" si="71"/>
        <v>886.9781018034912</v>
      </c>
      <c r="DT78" s="59">
        <f ca="1">AVERAGE(OFFSET($DS$3,0,0,'Données projet'!$E$14+1,1))-AVERAGE(OFFSET($H$3,0,0,'Données projet'!$E$14+1,1))</f>
        <v>267.92147257573157</v>
      </c>
      <c r="DU78" s="59">
        <f t="shared" si="98"/>
        <v>269.06662611892438</v>
      </c>
      <c r="DV78" s="15">
        <f>IF(ISNA(VLOOKUP(A78,'Données projet'!$A$165:$I$185,3,0)),0,VLOOKUP(A78,'Données projet'!$A$165:$I$185,3,0))</f>
        <v>14</v>
      </c>
      <c r="DW78" s="15">
        <f>IF(ISNA(VLOOKUP(A78,'Données projet'!$A$165:$I$185,4,0)),0,VLOOKUP(A78,'Données projet'!$A$165:$I$185,4,0))</f>
        <v>14</v>
      </c>
      <c r="DX78" s="16">
        <f>IF(ISNA(VLOOKUP(A78,'Données projet'!$A$165:$I$185,5,0)),0%,VLOOKUP(A78,'Données projet'!$A$165:$I$185,5,0)*VLOOKUP('Données projet'!$B$14,Paramètres!$A$1:$I$89,7,0))</f>
        <v>0.43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45.87617719576388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45.87617719576388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0.8600000000003547</v>
      </c>
      <c r="EK78" s="17">
        <f>EJ78*VLOOKUP('Données projet'!$B$15,Paramètres!$A$1:$I$89,3,0)*VLOOKUP('Données projet'!$B$15,Paramètres!$A$1:$I$89,5,0)</f>
        <v>0.48074000000019829</v>
      </c>
      <c r="EL78" s="13">
        <f t="shared" si="99"/>
        <v>0.24126147010950588</v>
      </c>
      <c r="EM78" s="20">
        <f t="shared" si="73"/>
        <v>1.2574858937744013</v>
      </c>
      <c r="EN78" s="59">
        <f t="shared" si="74"/>
        <v>294.59081922710772</v>
      </c>
      <c r="EO78" s="59">
        <f ca="1">AVERAGE(OFFSET($EN$3,0,0,'Données projet'!$E$15+1,1))-AVERAGE(OFFSET($H$3,0,0,'Données projet'!$E$15+1,1))</f>
        <v>326.29985515186428</v>
      </c>
      <c r="EP78" s="59">
        <f t="shared" si="100"/>
        <v>437.68177084535927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250.19600507709254</v>
      </c>
      <c r="EW78" s="21">
        <f>EXP(-LN(2)/25)*EW77+(1-EXP(-LN(2)/25))/(LN(2)/25)*Calculateur!ER78*Calculateur!ET78*VLOOKUP('Données projet'!$B$15,Paramètres!$A$1:$I$89,3,0)*0.475*44/12</f>
        <v>14.522784107070271</v>
      </c>
      <c r="EX78" s="21">
        <f>EXP(-LN(2)/2)*EX77+(1-EXP(-LN(2)/2))/(LN(2)/2)*ER78*EU78*VLOOKUP('Données projet'!$B$15,Paramètres!$A$1:$I$89,3,0)*0.475*44/12</f>
        <v>1.2474127379404363E-7</v>
      </c>
      <c r="EY78" s="22">
        <f t="shared" si="75"/>
        <v>264.71878930890409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1.7053025658242404E-13</v>
      </c>
      <c r="FF78" s="17">
        <f>FE78*VLOOKUP('Données projet'!$B$16,Paramètres!$A$1:$I$89,3,0)*VLOOKUP('Données projet'!$B$16,Paramètres!$A$1:$I$89,5,0)</f>
        <v>9.7631982498569413E-14</v>
      </c>
      <c r="FG78" s="13">
        <f t="shared" si="101"/>
        <v>1.4708068762530911E-12</v>
      </c>
      <c r="FH78" s="20">
        <f t="shared" si="76"/>
        <v>2.7316976789924749E-12</v>
      </c>
      <c r="FI78" s="59">
        <f t="shared" si="77"/>
        <v>293.33333333333604</v>
      </c>
      <c r="FJ78" s="59">
        <f ca="1">AVERAGE(OFFSET($FI$3,0,0,'Données projet'!$E$16+1,1))-AVERAGE(OFFSET($H$3,0,0,'Données projet'!$E$16+1,1))</f>
        <v>211.14768428403215</v>
      </c>
      <c r="FK78" s="59">
        <f t="shared" si="102"/>
        <v>350.7800157534798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34.065281954180683</v>
      </c>
      <c r="FR78" s="21">
        <f>EXP(-LN(2)/25)*FR77+(1-EXP(-LN(2)/25))/(LN(2)/25)*Calculateur!FM78*Calculateur!FO78*VLOOKUP('Données projet'!$B$16,Paramètres!$A$1:$I$89,3,0)*0.475*44/12</f>
        <v>6.1783102938180745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40.243592247998755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66.393600000000106</v>
      </c>
      <c r="D79" s="11">
        <f t="shared" si="86"/>
        <v>18.775122997078551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657.44277401253714</v>
      </c>
      <c r="H79" s="66">
        <f t="shared" si="56"/>
        <v>441.66885921991195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4.4000000000000004</v>
      </c>
      <c r="N79" s="13">
        <f>IF('Données projet'!$A$36&gt;35,N78+M79-V78,IF(A79&lt;'Données projet'!$A$36,$K$205^A79,IF(A79='Données projet'!$A$36,'Données projet'!$B$36,N78+M79-V78)))</f>
        <v>246.40000000000009</v>
      </c>
      <c r="O79" s="13">
        <f>N79*VLOOKUP('Données projet'!$B$9,Paramètres!$A$1:$I$89,3,0)*VLOOKUP('Données projet'!$B$9,Paramètres!$A$1:$I$89,5,0)</f>
        <v>215.25504000000012</v>
      </c>
      <c r="P79" s="13">
        <f t="shared" si="87"/>
        <v>53.082287058997267</v>
      </c>
      <c r="Q79" s="20">
        <f t="shared" si="54"/>
        <v>467.35417796108709</v>
      </c>
      <c r="R79" s="59">
        <f t="shared" si="55"/>
        <v>760.68751129442035</v>
      </c>
      <c r="S79" s="59">
        <f ca="1">AVERAGE(OFFSET($R$3,0,0,'Données projet'!$E$9+1,1))-AVERAGE(OFFSET($H$3,0,0,'Données projet'!$E$9+1,1))</f>
        <v>252.49539407921907</v>
      </c>
      <c r="T79" s="59">
        <f t="shared" si="88"/>
        <v>263.36387286233929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63.110549121281714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63.110549121281714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11.009999999999998</v>
      </c>
      <c r="AI79" s="13">
        <f>IF('Données projet'!$A$62&gt;35,AI78+AH79-AQ78,IF(A79&lt;'Données projet'!$A$62,$AF$205^A79,IF(A79='Données projet'!$A$62,'Données projet'!$B$62,AI78+AH79-AQ78)))</f>
        <v>351.6699999999999</v>
      </c>
      <c r="AJ79" s="13">
        <f>AI79*VLOOKUP('Données projet'!$B$10,Paramètres!$A$1:$I$89,3,0)*VLOOKUP('Données projet'!$B$10,Paramètres!$A$1:$I$89,5,0)</f>
        <v>318.19101599999988</v>
      </c>
      <c r="AK79" s="13">
        <f t="shared" si="89"/>
        <v>74.976835262469876</v>
      </c>
      <c r="AL79" s="20">
        <f t="shared" si="58"/>
        <v>684.76734094880146</v>
      </c>
      <c r="AM79" s="59">
        <f t="shared" si="59"/>
        <v>978.10067428213483</v>
      </c>
      <c r="AN79" s="59">
        <f ca="1">AVERAGE(OFFSET($AM$3,0,0,'Données projet'!$E$10+1,1))-AVERAGE(OFFSET($H$3,0,0,'Données projet'!$E$10+1,1))</f>
        <v>370.05613271587413</v>
      </c>
      <c r="AO79" s="59">
        <f t="shared" si="90"/>
        <v>183.24480056442525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93.413912046734509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93.413912046734509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11.009999999999998</v>
      </c>
      <c r="BD79" s="12">
        <f>IF('Données projet'!$A$88&gt;35,BD78+BC79-BL78,IF(A79&lt;'Données projet'!$A$88,$BA$205^A79,IF(A79='Données projet'!$A$88,'Données projet'!$B$88,BD78+BC79-BL78)))</f>
        <v>351.6699999999999</v>
      </c>
      <c r="BE79" s="13">
        <f>BD79*VLOOKUP('Données projet'!$B$11,Paramètres!$A$1:$I$89,3,0)*VLOOKUP('Données projet'!$B$11,Paramètres!$A$1:$I$89,5,0)</f>
        <v>356.59337999999991</v>
      </c>
      <c r="BF79" s="13">
        <f t="shared" si="91"/>
        <v>82.918678485848602</v>
      </c>
      <c r="BG79" s="20">
        <f t="shared" si="61"/>
        <v>765.48350186285279</v>
      </c>
      <c r="BH79" s="59">
        <f t="shared" si="62"/>
        <v>1058.816835196186</v>
      </c>
      <c r="BI79" s="59">
        <f ca="1">AVERAGE(OFFSET($BH$3,0,0,'Données projet'!$E$11+1,1))-AVERAGE(OFFSET($H$3,0,0,'Données projet'!$E$11+1,1))</f>
        <v>428.72181435671394</v>
      </c>
      <c r="BJ79" s="59">
        <f t="shared" si="92"/>
        <v>211.84936043087572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104.68800487996107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104.68800487996107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</v>
      </c>
      <c r="BY79" s="12">
        <f>IF('Données projet'!$A$114&gt;35,BY78+BX79-CG78,IF(A79&lt;'Données projet'!$A$114,$BV$205^A79,IF(A79='Données projet'!$A$114,'Données projet'!$B$114,BY78+BX79-CG78)))</f>
        <v>364.99999999999972</v>
      </c>
      <c r="BZ79" s="13">
        <f>BY79*VLOOKUP('Données projet'!$B$12,Paramètres!$A$1:$I$89,3,0)*VLOOKUP('Données projet'!$B$12,Paramètres!$A$1:$I$89,5,0)</f>
        <v>290.39399999999978</v>
      </c>
      <c r="CA79" s="13">
        <f t="shared" si="93"/>
        <v>69.158878594433091</v>
      </c>
      <c r="CB79" s="20">
        <f t="shared" si="64"/>
        <v>626.22126355197054</v>
      </c>
      <c r="CC79" s="59">
        <f t="shared" si="65"/>
        <v>919.55459688530391</v>
      </c>
      <c r="CD79" s="59">
        <f ca="1">AVERAGE(OFFSET($CC$3,0,0,'Données projet'!$E$12+1,1))-AVERAGE(OFFSET($H$3,0,0,'Données projet'!$E$12+1,1))</f>
        <v>296.737543892524</v>
      </c>
      <c r="CE79" s="59">
        <f t="shared" si="94"/>
        <v>296.38358650317099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60.154219567150008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60.154219567150008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10.4</v>
      </c>
      <c r="CT79" s="12">
        <f>IF('Données projet'!$A$140&gt;35,CT78+CS79-DB78,IF(A79&lt;'Données projet'!$A$140,$CQ$205^A79,IF(A79='Données projet'!$A$140,'Données projet'!$B$140,CT78+CS79-DB78)))</f>
        <v>382.4</v>
      </c>
      <c r="CU79" s="17">
        <f>CT79*VLOOKUP('Données projet'!$B$13,Paramètres!$A$1:$I$89,3,0)*VLOOKUP('Données projet'!$B$13,Paramètres!$A$1:$I$89,5,0)</f>
        <v>328.0992</v>
      </c>
      <c r="CV79" s="13">
        <f t="shared" si="95"/>
        <v>77.036090442258086</v>
      </c>
      <c r="CW79" s="20">
        <f t="shared" si="67"/>
        <v>705.61063085359956</v>
      </c>
      <c r="CX79" s="59">
        <f t="shared" si="68"/>
        <v>998.94396418693282</v>
      </c>
      <c r="CY79" s="59">
        <f ca="1">AVERAGE(OFFSET($CX$3,0,0,'Données projet'!$E$13+1,1))-AVERAGE(OFFSET($H$3,0,0,'Données projet'!$E$13+1,1))</f>
        <v>391.93999504334352</v>
      </c>
      <c r="CZ79" s="59">
        <f t="shared" si="96"/>
        <v>215.4484906985528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107.92034584933866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107.92034584933866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4</v>
      </c>
      <c r="DO79" s="12">
        <f>IF('Données projet'!$A$166&gt;35,DO78+DN79-DW78,IF(A79&lt;'Données projet'!$A$166,$DL$205^A79,IF(A79='Données projet'!$A$166,'Données projet'!$B$166,DO78+DN79-DW78)))</f>
        <v>364.99999999999972</v>
      </c>
      <c r="DP79" s="17">
        <f>DO79*VLOOKUP('Données projet'!$B$14,Paramètres!$A$1:$I$89,3,0)*VLOOKUP('Données projet'!$B$14,Paramètres!$A$1:$I$89,5,0)</f>
        <v>267.61799999999982</v>
      </c>
      <c r="DQ79" s="13">
        <f t="shared" si="97"/>
        <v>64.343488352847658</v>
      </c>
      <c r="DR79" s="20">
        <f t="shared" si="70"/>
        <v>578.16625888120927</v>
      </c>
      <c r="DS79" s="59">
        <f t="shared" si="71"/>
        <v>871.49959221454264</v>
      </c>
      <c r="DT79" s="59">
        <f ca="1">AVERAGE(OFFSET($DS$3,0,0,'Données projet'!$E$14+1,1))-AVERAGE(OFFSET($H$3,0,0,'Données projet'!$E$14+1,1))</f>
        <v>267.92147257573157</v>
      </c>
      <c r="DU79" s="59">
        <f t="shared" si="98"/>
        <v>269.06662611892438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44.976573342660075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44.976573342660075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0.8600000000003547</v>
      </c>
      <c r="EK79" s="17">
        <f>EJ79*VLOOKUP('Données projet'!$B$15,Paramètres!$A$1:$I$89,3,0)*VLOOKUP('Données projet'!$B$15,Paramètres!$A$1:$I$89,5,0)</f>
        <v>0.48074000000019829</v>
      </c>
      <c r="EL79" s="13">
        <f t="shared" si="99"/>
        <v>0.24126147010950588</v>
      </c>
      <c r="EM79" s="20">
        <f t="shared" si="73"/>
        <v>1.2574858937744013</v>
      </c>
      <c r="EN79" s="59">
        <f t="shared" si="74"/>
        <v>294.59081922710772</v>
      </c>
      <c r="EO79" s="59">
        <f ca="1">AVERAGE(OFFSET($EN$3,0,0,'Données projet'!$E$15+1,1))-AVERAGE(OFFSET($H$3,0,0,'Données projet'!$E$15+1,1))</f>
        <v>326.29985515186428</v>
      </c>
      <c r="EP79" s="59">
        <f t="shared" si="100"/>
        <v>437.68177084535927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245.28981402202541</v>
      </c>
      <c r="EW79" s="21">
        <f>EXP(-LN(2)/25)*EW78+(1-EXP(-LN(2)/25))/(LN(2)/25)*Calculateur!ER79*Calculateur!ET79*VLOOKUP('Données projet'!$B$15,Paramètres!$A$1:$I$89,3,0)*0.475*44/12</f>
        <v>14.125657811942411</v>
      </c>
      <c r="EX79" s="21">
        <f>EXP(-LN(2)/2)*EX78+(1-EXP(-LN(2)/2))/(LN(2)/2)*ER79*EU79*VLOOKUP('Données projet'!$B$15,Paramètres!$A$1:$I$89,3,0)*0.475*44/12</f>
        <v>8.8205400593616025E-8</v>
      </c>
      <c r="EY79" s="22">
        <f t="shared" si="75"/>
        <v>259.41547192217325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1.7053025658242404E-13</v>
      </c>
      <c r="FF79" s="17">
        <f>FE79*VLOOKUP('Données projet'!$B$16,Paramètres!$A$1:$I$89,3,0)*VLOOKUP('Données projet'!$B$16,Paramètres!$A$1:$I$89,5,0)</f>
        <v>9.7631982498569413E-14</v>
      </c>
      <c r="FG79" s="13">
        <f t="shared" si="101"/>
        <v>1.4708068762530911E-12</v>
      </c>
      <c r="FH79" s="20">
        <f t="shared" si="76"/>
        <v>2.7316976789924749E-12</v>
      </c>
      <c r="FI79" s="59">
        <f t="shared" si="77"/>
        <v>293.33333333333604</v>
      </c>
      <c r="FJ79" s="59">
        <f ca="1">AVERAGE(OFFSET($FI$3,0,0,'Données projet'!$E$16+1,1))-AVERAGE(OFFSET($H$3,0,0,'Données projet'!$E$16+1,1))</f>
        <v>211.14768428403215</v>
      </c>
      <c r="FK79" s="59">
        <f t="shared" si="102"/>
        <v>350.7800157534798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33.397282552829559</v>
      </c>
      <c r="FR79" s="21">
        <f>EXP(-LN(2)/25)*FR78+(1-EXP(-LN(2)/25))/(LN(2)/25)*Calculateur!FM79*Calculateur!FO79*VLOOKUP('Données projet'!$B$16,Paramètres!$A$1:$I$89,3,0)*0.475*44/12</f>
        <v>6.009364073930402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39.406646626759958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67.267200000000102</v>
      </c>
      <c r="D80" s="11">
        <f t="shared" si="86"/>
        <v>18.993242158132951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665.87007981716749</v>
      </c>
      <c r="H80" s="66">
        <f t="shared" si="56"/>
        <v>443.57027009208173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4.4000000000000004</v>
      </c>
      <c r="N80" s="13">
        <f>IF('Données projet'!$A$36&gt;35,N79+M80-V79,IF(A80&lt;'Données projet'!$A$36,$K$205^A80,IF(A80='Données projet'!$A$36,'Données projet'!$B$36,N79+M80-V79)))</f>
        <v>250.8000000000001</v>
      </c>
      <c r="O80" s="13">
        <f>N80*VLOOKUP('Données projet'!$B$9,Paramètres!$A$1:$I$89,3,0)*VLOOKUP('Données projet'!$B$9,Paramètres!$A$1:$I$89,5,0)</f>
        <v>219.09888000000012</v>
      </c>
      <c r="P80" s="13">
        <f t="shared" si="87"/>
        <v>53.918984980452286</v>
      </c>
      <c r="Q80" s="20">
        <f t="shared" si="54"/>
        <v>475.50611484095458</v>
      </c>
      <c r="R80" s="59">
        <f t="shared" si="55"/>
        <v>768.8394481742879</v>
      </c>
      <c r="S80" s="59">
        <f ca="1">AVERAGE(OFFSET($R$3,0,0,'Données projet'!$E$9+1,1))-AVERAGE(OFFSET($H$3,0,0,'Données projet'!$E$9+1,1))</f>
        <v>252.49539407921907</v>
      </c>
      <c r="T80" s="59">
        <f t="shared" si="88"/>
        <v>263.36387286233929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61.872989746647413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61.872989746647413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11.009999999999998</v>
      </c>
      <c r="AI80" s="13">
        <f>IF('Données projet'!$A$62&gt;35,AI79+AH80-AQ79,IF(A80&lt;'Données projet'!$A$62,$AF$205^A80,IF(A80='Données projet'!$A$62,'Données projet'!$B$62,AI79+AH80-AQ79)))</f>
        <v>362.67999999999989</v>
      </c>
      <c r="AJ80" s="13">
        <f>AI80*VLOOKUP('Données projet'!$B$10,Paramètres!$A$1:$I$89,3,0)*VLOOKUP('Données projet'!$B$10,Paramètres!$A$1:$I$89,5,0)</f>
        <v>328.15286399999985</v>
      </c>
      <c r="AK80" s="13">
        <f t="shared" si="89"/>
        <v>77.047223736242046</v>
      </c>
      <c r="AL80" s="20">
        <f t="shared" si="58"/>
        <v>705.72348614062139</v>
      </c>
      <c r="AM80" s="59">
        <f t="shared" si="59"/>
        <v>999.05681947395465</v>
      </c>
      <c r="AN80" s="59">
        <f ca="1">AVERAGE(OFFSET($AM$3,0,0,'Données projet'!$E$10+1,1))-AVERAGE(OFFSET($H$3,0,0,'Données projet'!$E$10+1,1))</f>
        <v>370.05613271587413</v>
      </c>
      <c r="AO80" s="59">
        <f t="shared" si="90"/>
        <v>183.24480056442525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91.582122208358399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91.582122208358399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11.009999999999998</v>
      </c>
      <c r="BD80" s="12">
        <f>IF('Données projet'!$A$88&gt;35,BD79+BC80-BL79,IF(A80&lt;'Données projet'!$A$88,$BA$205^A80,IF(A80='Données projet'!$A$88,'Données projet'!$B$88,BD79+BC80-BL79)))</f>
        <v>362.67999999999989</v>
      </c>
      <c r="BE80" s="13">
        <f>BD80*VLOOKUP('Données projet'!$B$11,Paramètres!$A$1:$I$89,3,0)*VLOOKUP('Données projet'!$B$11,Paramètres!$A$1:$I$89,5,0)</f>
        <v>367.75751999999989</v>
      </c>
      <c r="BF80" s="13">
        <f t="shared" si="91"/>
        <v>85.208370703405464</v>
      </c>
      <c r="BG80" s="20">
        <f t="shared" si="61"/>
        <v>788.91559297509764</v>
      </c>
      <c r="BH80" s="59">
        <f t="shared" si="62"/>
        <v>1082.248926308431</v>
      </c>
      <c r="BI80" s="59">
        <f ca="1">AVERAGE(OFFSET($BH$3,0,0,'Données projet'!$E$11+1,1))-AVERAGE(OFFSET($H$3,0,0,'Données projet'!$E$11+1,1))</f>
        <v>428.72181435671394</v>
      </c>
      <c r="BJ80" s="59">
        <f t="shared" si="92"/>
        <v>211.84936043087572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102.63513695764301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102.63513695764301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</v>
      </c>
      <c r="BY80" s="12">
        <f>IF('Données projet'!$A$114&gt;35,BY79+BX80-CG79,IF(A80&lt;'Données projet'!$A$114,$BV$205^A80,IF(A80='Données projet'!$A$114,'Données projet'!$B$114,BY79+BX80-CG79)))</f>
        <v>368.99999999999972</v>
      </c>
      <c r="BZ80" s="13">
        <f>BY80*VLOOKUP('Données projet'!$B$12,Paramètres!$A$1:$I$89,3,0)*VLOOKUP('Données projet'!$B$12,Paramètres!$A$1:$I$89,5,0)</f>
        <v>293.57639999999981</v>
      </c>
      <c r="CA80" s="13">
        <f t="shared" si="93"/>
        <v>69.828138511965548</v>
      </c>
      <c r="CB80" s="20">
        <f t="shared" si="64"/>
        <v>632.92957124167299</v>
      </c>
      <c r="CC80" s="59">
        <f t="shared" si="65"/>
        <v>926.26290457500636</v>
      </c>
      <c r="CD80" s="59">
        <f ca="1">AVERAGE(OFFSET($CC$3,0,0,'Données projet'!$E$12+1,1))-AVERAGE(OFFSET($H$3,0,0,'Données projet'!$E$12+1,1))</f>
        <v>296.737543892524</v>
      </c>
      <c r="CE80" s="59">
        <f t="shared" si="94"/>
        <v>296.38358650317099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58.974632011889248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58.974632011889248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10.4</v>
      </c>
      <c r="CT80" s="12">
        <f>IF('Données projet'!$A$140&gt;35,CT79+CS80-DB79,IF(A80&lt;'Données projet'!$A$140,$CQ$205^A80,IF(A80='Données projet'!$A$140,'Données projet'!$B$140,CT79+CS80-DB79)))</f>
        <v>392.79999999999995</v>
      </c>
      <c r="CU80" s="17">
        <f>CT80*VLOOKUP('Données projet'!$B$13,Paramètres!$A$1:$I$89,3,0)*VLOOKUP('Données projet'!$B$13,Paramètres!$A$1:$I$89,5,0)</f>
        <v>337.0224</v>
      </c>
      <c r="CV80" s="13">
        <f t="shared" si="95"/>
        <v>78.884440823098231</v>
      </c>
      <c r="CW80" s="20">
        <f t="shared" si="67"/>
        <v>724.37108110022939</v>
      </c>
      <c r="CX80" s="59">
        <f t="shared" si="68"/>
        <v>1017.7044144335628</v>
      </c>
      <c r="CY80" s="59">
        <f ca="1">AVERAGE(OFFSET($CX$3,0,0,'Données projet'!$E$13+1,1))-AVERAGE(OFFSET($H$3,0,0,'Données projet'!$E$13+1,1))</f>
        <v>391.93999504334352</v>
      </c>
      <c r="CZ80" s="59">
        <f t="shared" si="96"/>
        <v>215.4484906985528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105.80409369214442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105.80409369214442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4</v>
      </c>
      <c r="DO80" s="12">
        <f>IF('Données projet'!$A$166&gt;35,DO79+DN80-DW79,IF(A80&lt;'Données projet'!$A$166,$DL$205^A80,IF(A80='Données projet'!$A$166,'Données projet'!$B$166,DO79+DN80-DW79)))</f>
        <v>368.99999999999972</v>
      </c>
      <c r="DP80" s="17">
        <f>DO80*VLOOKUP('Données projet'!$B$14,Paramètres!$A$1:$I$89,3,0)*VLOOKUP('Données projet'!$B$14,Paramètres!$A$1:$I$89,5,0)</f>
        <v>270.55079999999981</v>
      </c>
      <c r="DQ80" s="13">
        <f t="shared" si="97"/>
        <v>64.966149081071777</v>
      </c>
      <c r="DR80" s="20">
        <f t="shared" si="70"/>
        <v>584.35868631619962</v>
      </c>
      <c r="DS80" s="59">
        <f t="shared" si="71"/>
        <v>877.69201964953299</v>
      </c>
      <c r="DT80" s="59">
        <f ca="1">AVERAGE(OFFSET($DS$3,0,0,'Données projet'!$E$14+1,1))-AVERAGE(OFFSET($H$3,0,0,'Données projet'!$E$14+1,1))</f>
        <v>267.92147257573157</v>
      </c>
      <c r="DU80" s="59">
        <f t="shared" si="98"/>
        <v>269.06662611892438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44.094610172411464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44.094610172411464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0.8600000000003547</v>
      </c>
      <c r="EK80" s="17">
        <f>EJ80*VLOOKUP('Données projet'!$B$15,Paramètres!$A$1:$I$89,3,0)*VLOOKUP('Données projet'!$B$15,Paramètres!$A$1:$I$89,5,0)</f>
        <v>0.48074000000019829</v>
      </c>
      <c r="EL80" s="13">
        <f t="shared" si="99"/>
        <v>0.24126147010950588</v>
      </c>
      <c r="EM80" s="20">
        <f t="shared" si="73"/>
        <v>1.2574858937744013</v>
      </c>
      <c r="EN80" s="59">
        <f t="shared" si="74"/>
        <v>294.59081922710772</v>
      </c>
      <c r="EO80" s="59">
        <f ca="1">AVERAGE(OFFSET($EN$3,0,0,'Données projet'!$E$15+1,1))-AVERAGE(OFFSET($H$3,0,0,'Données projet'!$E$15+1,1))</f>
        <v>326.29985515186428</v>
      </c>
      <c r="EP80" s="59">
        <f t="shared" si="100"/>
        <v>437.68177084535927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240.47983038106707</v>
      </c>
      <c r="EW80" s="21">
        <f>EXP(-LN(2)/25)*EW79+(1-EXP(-LN(2)/25))/(LN(2)/25)*Calculateur!ER80*Calculateur!ET80*VLOOKUP('Données projet'!$B$15,Paramètres!$A$1:$I$89,3,0)*0.475*44/12</f>
        <v>13.739390956238786</v>
      </c>
      <c r="EX80" s="21">
        <f>EXP(-LN(2)/2)*EX79+(1-EXP(-LN(2)/2))/(LN(2)/2)*ER80*EU80*VLOOKUP('Données projet'!$B$15,Paramètres!$A$1:$I$89,3,0)*0.475*44/12</f>
        <v>6.2370636897021814E-8</v>
      </c>
      <c r="EY80" s="22">
        <f t="shared" si="75"/>
        <v>254.21922139967651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1.7053025658242404E-13</v>
      </c>
      <c r="FF80" s="17">
        <f>FE80*VLOOKUP('Données projet'!$B$16,Paramètres!$A$1:$I$89,3,0)*VLOOKUP('Données projet'!$B$16,Paramètres!$A$1:$I$89,5,0)</f>
        <v>9.7631982498569413E-14</v>
      </c>
      <c r="FG80" s="13">
        <f t="shared" si="101"/>
        <v>1.4708068762530911E-12</v>
      </c>
      <c r="FH80" s="20">
        <f t="shared" si="76"/>
        <v>2.7316976789924749E-12</v>
      </c>
      <c r="FI80" s="59">
        <f t="shared" si="77"/>
        <v>293.33333333333604</v>
      </c>
      <c r="FJ80" s="59">
        <f ca="1">AVERAGE(OFFSET($FI$3,0,0,'Données projet'!$E$16+1,1))-AVERAGE(OFFSET($H$3,0,0,'Données projet'!$E$16+1,1))</f>
        <v>211.14768428403215</v>
      </c>
      <c r="FK80" s="59">
        <f t="shared" si="102"/>
        <v>350.7800157534798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32.742382212299525</v>
      </c>
      <c r="FR80" s="21">
        <f>EXP(-LN(2)/25)*FR79+(1-EXP(-LN(2)/25))/(LN(2)/25)*Calculateur!FM80*Calculateur!FO80*VLOOKUP('Données projet'!$B$16,Paramètres!$A$1:$I$89,3,0)*0.475*44/12</f>
        <v>5.8450376973100528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38.587419909609579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68.140800000000098</v>
      </c>
      <c r="D81" s="11">
        <f t="shared" si="86"/>
        <v>19.211031830304485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674.29484219884239</v>
      </c>
      <c r="H81" s="66">
        <f t="shared" si="56"/>
        <v>445.47110710444713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4.4000000000000004</v>
      </c>
      <c r="N81" s="13">
        <f>IF('Données projet'!$A$36&gt;35,N80+M81-V80,IF(A81&lt;'Données projet'!$A$36,$K$205^A81,IF(A81='Données projet'!$A$36,'Données projet'!$B$36,N80+M81-V80)))</f>
        <v>255.2000000000001</v>
      </c>
      <c r="O81" s="13">
        <f>N81*VLOOKUP('Données projet'!$B$9,Paramètres!$A$1:$I$89,3,0)*VLOOKUP('Données projet'!$B$9,Paramètres!$A$1:$I$89,5,0)</f>
        <v>222.94272000000009</v>
      </c>
      <c r="P81" s="13">
        <f t="shared" si="87"/>
        <v>54.753975927514929</v>
      </c>
      <c r="Q81" s="20">
        <f t="shared" si="54"/>
        <v>483.65507874042197</v>
      </c>
      <c r="R81" s="59">
        <f t="shared" si="55"/>
        <v>776.98841207375528</v>
      </c>
      <c r="S81" s="59">
        <f ca="1">AVERAGE(OFFSET($R$3,0,0,'Données projet'!$E$9+1,1))-AVERAGE(OFFSET($H$3,0,0,'Données projet'!$E$9+1,1))</f>
        <v>252.49539407921907</v>
      </c>
      <c r="T81" s="59">
        <f t="shared" si="88"/>
        <v>263.36387286233929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60.659698156513002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60.659698156513002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11.009999999999998</v>
      </c>
      <c r="AI81" s="13">
        <f>IF('Données projet'!$A$62&gt;35,AI80+AH81-AQ80,IF(A81&lt;'Données projet'!$A$62,$AF$205^A81,IF(A81='Données projet'!$A$62,'Données projet'!$B$62,AI80+AH81-AQ80)))</f>
        <v>373.68999999999988</v>
      </c>
      <c r="AJ81" s="13">
        <f>AI81*VLOOKUP('Données projet'!$B$10,Paramètres!$A$1:$I$89,3,0)*VLOOKUP('Données projet'!$B$10,Paramètres!$A$1:$I$89,5,0)</f>
        <v>338.11471199999988</v>
      </c>
      <c r="AK81" s="13">
        <f t="shared" si="89"/>
        <v>79.110308022170997</v>
      </c>
      <c r="AL81" s="20">
        <f t="shared" si="58"/>
        <v>726.66690987194761</v>
      </c>
      <c r="AM81" s="59">
        <f t="shared" si="59"/>
        <v>1020.0002432052809</v>
      </c>
      <c r="AN81" s="59">
        <f ca="1">AVERAGE(OFFSET($AM$3,0,0,'Données projet'!$E$10+1,1))-AVERAGE(OFFSET($H$3,0,0,'Données projet'!$E$10+1,1))</f>
        <v>370.05613271587413</v>
      </c>
      <c r="AO81" s="59">
        <f t="shared" si="90"/>
        <v>183.24480056442525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89.786252651431369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89.786252651431369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11.009999999999998</v>
      </c>
      <c r="BD81" s="12">
        <f>IF('Données projet'!$A$88&gt;35,BD80+BC81-BL80,IF(A81&lt;'Données projet'!$A$88,$BA$205^A81,IF(A81='Données projet'!$A$88,'Données projet'!$B$88,BD80+BC81-BL80)))</f>
        <v>373.68999999999988</v>
      </c>
      <c r="BE81" s="13">
        <f>BD81*VLOOKUP('Données projet'!$B$11,Paramètres!$A$1:$I$89,3,0)*VLOOKUP('Données projet'!$B$11,Paramètres!$A$1:$I$89,5,0)</f>
        <v>378.92165999999992</v>
      </c>
      <c r="BF81" s="13">
        <f t="shared" si="91"/>
        <v>87.489985044625499</v>
      </c>
      <c r="BG81" s="20">
        <f t="shared" si="61"/>
        <v>812.33361511938926</v>
      </c>
      <c r="BH81" s="59">
        <f t="shared" si="62"/>
        <v>1105.6669484527226</v>
      </c>
      <c r="BI81" s="59">
        <f ca="1">AVERAGE(OFFSET($BH$3,0,0,'Données projet'!$E$11+1,1))-AVERAGE(OFFSET($H$3,0,0,'Données projet'!$E$11+1,1))</f>
        <v>428.72181435671394</v>
      </c>
      <c r="BJ81" s="59">
        <f t="shared" si="92"/>
        <v>211.84936043087572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100.62252452315582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100.62252452315582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</v>
      </c>
      <c r="BY81" s="12">
        <f>IF('Données projet'!$A$114&gt;35,BY80+BX81-CG80,IF(A81&lt;'Données projet'!$A$114,$BV$205^A81,IF(A81='Données projet'!$A$114,'Données projet'!$B$114,BY80+BX81-CG80)))</f>
        <v>372.99999999999972</v>
      </c>
      <c r="BZ81" s="13">
        <f>BY81*VLOOKUP('Données projet'!$B$12,Paramètres!$A$1:$I$89,3,0)*VLOOKUP('Données projet'!$B$12,Paramètres!$A$1:$I$89,5,0)</f>
        <v>296.75879999999978</v>
      </c>
      <c r="CA81" s="13">
        <f t="shared" si="93"/>
        <v>70.496554480015604</v>
      </c>
      <c r="CB81" s="20">
        <f t="shared" si="64"/>
        <v>639.63640905269347</v>
      </c>
      <c r="CC81" s="59">
        <f t="shared" si="65"/>
        <v>932.96974238602684</v>
      </c>
      <c r="CD81" s="59">
        <f ca="1">AVERAGE(OFFSET($CC$3,0,0,'Données projet'!$E$12+1,1))-AVERAGE(OFFSET($H$3,0,0,'Données projet'!$E$12+1,1))</f>
        <v>296.737543892524</v>
      </c>
      <c r="CE81" s="59">
        <f t="shared" si="94"/>
        <v>296.38358650317099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57.818175449109788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57.818175449109788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10.4</v>
      </c>
      <c r="CT81" s="12">
        <f>IF('Données projet'!$A$140&gt;35,CT80+CS81-DB80,IF(A81&lt;'Données projet'!$A$140,$CQ$205^A81,IF(A81='Données projet'!$A$140,'Données projet'!$B$140,CT80+CS81-DB80)))</f>
        <v>403.19999999999993</v>
      </c>
      <c r="CU81" s="17">
        <f>CT81*VLOOKUP('Données projet'!$B$13,Paramètres!$A$1:$I$89,3,0)*VLOOKUP('Données projet'!$B$13,Paramètres!$A$1:$I$89,5,0)</f>
        <v>345.94560000000001</v>
      </c>
      <c r="CV81" s="13">
        <f t="shared" si="95"/>
        <v>80.727102887907222</v>
      </c>
      <c r="CW81" s="20">
        <f t="shared" si="67"/>
        <v>743.12162419643846</v>
      </c>
      <c r="CX81" s="59">
        <f t="shared" si="68"/>
        <v>1036.4549575297717</v>
      </c>
      <c r="CY81" s="59">
        <f ca="1">AVERAGE(OFFSET($CX$3,0,0,'Données projet'!$E$13+1,1))-AVERAGE(OFFSET($H$3,0,0,'Données projet'!$E$13+1,1))</f>
        <v>391.93999504334352</v>
      </c>
      <c r="CZ81" s="59">
        <f t="shared" si="96"/>
        <v>215.4484906985528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103.7293399489664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103.7293399489664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4</v>
      </c>
      <c r="DO81" s="12">
        <f>IF('Données projet'!$A$166&gt;35,DO80+DN81-DW80,IF(A81&lt;'Données projet'!$A$166,$DL$205^A81,IF(A81='Données projet'!$A$166,'Données projet'!$B$166,DO80+DN81-DW80)))</f>
        <v>372.99999999999972</v>
      </c>
      <c r="DP81" s="17">
        <f>DO81*VLOOKUP('Données projet'!$B$14,Paramètres!$A$1:$I$89,3,0)*VLOOKUP('Données projet'!$B$14,Paramètres!$A$1:$I$89,5,0)</f>
        <v>273.4835999999998</v>
      </c>
      <c r="DQ81" s="13">
        <f t="shared" si="97"/>
        <v>65.588024622277445</v>
      </c>
      <c r="DR81" s="20">
        <f t="shared" si="70"/>
        <v>590.54974621713279</v>
      </c>
      <c r="DS81" s="59">
        <f t="shared" si="71"/>
        <v>883.88307955046616</v>
      </c>
      <c r="DT81" s="59">
        <f ca="1">AVERAGE(OFFSET($DS$3,0,0,'Données projet'!$E$14+1,1))-AVERAGE(OFFSET($H$3,0,0,'Données projet'!$E$14+1,1))</f>
        <v>267.92147257573157</v>
      </c>
      <c r="DU81" s="59">
        <f t="shared" si="98"/>
        <v>269.06662611892438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43.229941761987014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43.229941761987014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0.8600000000003547</v>
      </c>
      <c r="EK81" s="17">
        <f>EJ81*VLOOKUP('Données projet'!$B$15,Paramètres!$A$1:$I$89,3,0)*VLOOKUP('Données projet'!$B$15,Paramètres!$A$1:$I$89,5,0)</f>
        <v>0.48074000000019829</v>
      </c>
      <c r="EL81" s="13">
        <f t="shared" si="99"/>
        <v>0.24126147010950588</v>
      </c>
      <c r="EM81" s="20">
        <f t="shared" si="73"/>
        <v>1.2574858937744013</v>
      </c>
      <c r="EN81" s="59">
        <f t="shared" si="74"/>
        <v>294.59081922710772</v>
      </c>
      <c r="EO81" s="59">
        <f ca="1">AVERAGE(OFFSET($EN$3,0,0,'Données projet'!$E$15+1,1))-AVERAGE(OFFSET($H$3,0,0,'Données projet'!$E$15+1,1))</f>
        <v>326.29985515186428</v>
      </c>
      <c r="EP81" s="59">
        <f t="shared" si="100"/>
        <v>437.68177084535927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235.76416758550761</v>
      </c>
      <c r="EW81" s="21">
        <f>EXP(-LN(2)/25)*EW80+(1-EXP(-LN(2)/25))/(LN(2)/25)*Calculateur!ER81*Calculateur!ET81*VLOOKUP('Données projet'!$B$15,Paramètres!$A$1:$I$89,3,0)*0.475*44/12</f>
        <v>13.363686588017268</v>
      </c>
      <c r="EX81" s="21">
        <f>EXP(-LN(2)/2)*EX80+(1-EXP(-LN(2)/2))/(LN(2)/2)*ER81*EU81*VLOOKUP('Données projet'!$B$15,Paramètres!$A$1:$I$89,3,0)*0.475*44/12</f>
        <v>4.4102700296808013E-8</v>
      </c>
      <c r="EY81" s="22">
        <f t="shared" si="75"/>
        <v>249.12785421762757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1.7053025658242404E-13</v>
      </c>
      <c r="FF81" s="17">
        <f>FE81*VLOOKUP('Données projet'!$B$16,Paramètres!$A$1:$I$89,3,0)*VLOOKUP('Données projet'!$B$16,Paramètres!$A$1:$I$89,5,0)</f>
        <v>9.7631982498569413E-14</v>
      </c>
      <c r="FG81" s="13">
        <f t="shared" si="101"/>
        <v>1.4708068762530911E-12</v>
      </c>
      <c r="FH81" s="20">
        <f t="shared" si="76"/>
        <v>2.7316976789924749E-12</v>
      </c>
      <c r="FI81" s="59">
        <f t="shared" si="77"/>
        <v>293.33333333333604</v>
      </c>
      <c r="FJ81" s="59">
        <f ca="1">AVERAGE(OFFSET($FI$3,0,0,'Données projet'!$E$16+1,1))-AVERAGE(OFFSET($H$3,0,0,'Données projet'!$E$16+1,1))</f>
        <v>211.14768428403215</v>
      </c>
      <c r="FK81" s="59">
        <f t="shared" si="102"/>
        <v>350.7800157534798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32.100324067997519</v>
      </c>
      <c r="FR81" s="21">
        <f>EXP(-LN(2)/25)*FR80+(1-EXP(-LN(2)/25))/(LN(2)/25)*Calculateur!FM81*Calculateur!FO81*VLOOKUP('Données projet'!$B$16,Paramètres!$A$1:$I$89,3,0)*0.475*44/12</f>
        <v>5.6852048340999364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37.785528902097454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69.014400000000094</v>
      </c>
      <c r="D82" s="11">
        <f t="shared" si="86"/>
        <v>19.428496726251062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682.71709753597372</v>
      </c>
      <c r="H82" s="66">
        <f t="shared" si="56"/>
        <v>447.37137846488741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4.4000000000000004</v>
      </c>
      <c r="N82" s="13">
        <f>IF('Données projet'!$A$36&gt;35,N81+M82-V81,IF(A82&lt;'Données projet'!$A$36,$K$205^A82,IF(A82='Données projet'!$A$36,'Données projet'!$B$36,N81+M82-V81)))</f>
        <v>259.60000000000008</v>
      </c>
      <c r="O82" s="13">
        <f>N82*VLOOKUP('Données projet'!$B$9,Paramètres!$A$1:$I$89,3,0)*VLOOKUP('Données projet'!$B$9,Paramètres!$A$1:$I$89,5,0)</f>
        <v>226.78656000000009</v>
      </c>
      <c r="P82" s="13">
        <f t="shared" si="87"/>
        <v>55.587292726829872</v>
      </c>
      <c r="Q82" s="20">
        <f t="shared" si="54"/>
        <v>491.8011268325622</v>
      </c>
      <c r="R82" s="59">
        <f t="shared" si="55"/>
        <v>785.13446016589546</v>
      </c>
      <c r="S82" s="59">
        <f ca="1">AVERAGE(OFFSET($R$3,0,0,'Données projet'!$E$9+1,1))-AVERAGE(OFFSET($H$3,0,0,'Données projet'!$E$9+1,1))</f>
        <v>252.49539407921907</v>
      </c>
      <c r="T82" s="59">
        <f t="shared" si="88"/>
        <v>263.36387286233929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59.470198474426333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59.470198474426333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11.009999999999998</v>
      </c>
      <c r="AI82" s="13">
        <f>IF('Données projet'!$A$62&gt;35,AI81+AH82-AQ81,IF(A82&lt;'Données projet'!$A$62,$AF$205^A82,IF(A82='Données projet'!$A$62,'Données projet'!$B$62,AI81+AH82-AQ81)))</f>
        <v>384.69999999999987</v>
      </c>
      <c r="AJ82" s="13">
        <f>AI82*VLOOKUP('Données projet'!$B$10,Paramètres!$A$1:$I$89,3,0)*VLOOKUP('Données projet'!$B$10,Paramètres!$A$1:$I$89,5,0)</f>
        <v>348.07655999999986</v>
      </c>
      <c r="AK82" s="13">
        <f t="shared" si="89"/>
        <v>81.166328031452807</v>
      </c>
      <c r="AL82" s="20">
        <f t="shared" si="58"/>
        <v>747.59802998811335</v>
      </c>
      <c r="AM82" s="59">
        <f t="shared" si="59"/>
        <v>1040.9313633214467</v>
      </c>
      <c r="AN82" s="59">
        <f ca="1">AVERAGE(OFFSET($AM$3,0,0,'Données projet'!$E$10+1,1))-AVERAGE(OFFSET($H$3,0,0,'Données projet'!$E$10+1,1))</f>
        <v>370.05613271587413</v>
      </c>
      <c r="AO82" s="59">
        <f t="shared" si="90"/>
        <v>183.24480056442525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88.025599001143405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88.025599001143405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11.009999999999998</v>
      </c>
      <c r="BD82" s="12">
        <f>IF('Données projet'!$A$88&gt;35,BD81+BC82-BL81,IF(A82&lt;'Données projet'!$A$88,$BA$205^A82,IF(A82='Données projet'!$A$88,'Données projet'!$B$88,BD81+BC82-BL81)))</f>
        <v>384.69999999999987</v>
      </c>
      <c r="BE82" s="13">
        <f>BD82*VLOOKUP('Données projet'!$B$11,Paramètres!$A$1:$I$89,3,0)*VLOOKUP('Données projet'!$B$11,Paramètres!$A$1:$I$89,5,0)</f>
        <v>390.08579999999989</v>
      </c>
      <c r="BF82" s="13">
        <f t="shared" si="91"/>
        <v>89.763786833048727</v>
      </c>
      <c r="BG82" s="20">
        <f t="shared" si="61"/>
        <v>835.73803040089308</v>
      </c>
      <c r="BH82" s="59">
        <f t="shared" si="62"/>
        <v>1129.0713637342265</v>
      </c>
      <c r="BI82" s="59">
        <f ca="1">AVERAGE(OFFSET($BH$3,0,0,'Données projet'!$E$11+1,1))-AVERAGE(OFFSET($H$3,0,0,'Données projet'!$E$11+1,1))</f>
        <v>428.72181435671394</v>
      </c>
      <c r="BJ82" s="59">
        <f t="shared" si="92"/>
        <v>211.84936043087572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98.649378190936545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98.649378190936545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</v>
      </c>
      <c r="BY82" s="12">
        <f>IF('Données projet'!$A$114&gt;35,BY81+BX82-CG81,IF(A82&lt;'Données projet'!$A$114,$BV$205^A82,IF(A82='Données projet'!$A$114,'Données projet'!$B$114,BY81+BX82-CG81)))</f>
        <v>376.99999999999972</v>
      </c>
      <c r="BZ82" s="13">
        <f>BY82*VLOOKUP('Données projet'!$B$12,Paramètres!$A$1:$I$89,3,0)*VLOOKUP('Données projet'!$B$12,Paramètres!$A$1:$I$89,5,0)</f>
        <v>299.94119999999981</v>
      </c>
      <c r="CA82" s="13">
        <f t="shared" si="93"/>
        <v>71.164136596531506</v>
      </c>
      <c r="CB82" s="20">
        <f t="shared" si="64"/>
        <v>646.34179457229197</v>
      </c>
      <c r="CC82" s="59">
        <f t="shared" si="65"/>
        <v>939.67512790562523</v>
      </c>
      <c r="CD82" s="59">
        <f ca="1">AVERAGE(OFFSET($CC$3,0,0,'Données projet'!$E$12+1,1))-AVERAGE(OFFSET($H$3,0,0,'Données projet'!$E$12+1,1))</f>
        <v>296.737543892524</v>
      </c>
      <c r="CE82" s="59">
        <f t="shared" si="94"/>
        <v>296.38358650317099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56.68439629415758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56.68439629415758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10.4</v>
      </c>
      <c r="CT82" s="12">
        <f>IF('Données projet'!$A$140&gt;35,CT81+CS82-DB81,IF(A82&lt;'Données projet'!$A$140,$CQ$205^A82,IF(A82='Données projet'!$A$140,'Données projet'!$B$140,CT81+CS82-DB81)))</f>
        <v>413.59999999999991</v>
      </c>
      <c r="CU82" s="17">
        <f>CT82*VLOOKUP('Données projet'!$B$13,Paramètres!$A$1:$I$89,3,0)*VLOOKUP('Données projet'!$B$13,Paramètres!$A$1:$I$89,5,0)</f>
        <v>354.86879999999996</v>
      </c>
      <c r="CV82" s="13">
        <f t="shared" si="95"/>
        <v>82.564240228675203</v>
      </c>
      <c r="CW82" s="20">
        <f t="shared" si="67"/>
        <v>761.86254506494254</v>
      </c>
      <c r="CX82" s="59">
        <f t="shared" si="68"/>
        <v>1055.1958783982759</v>
      </c>
      <c r="CY82" s="59">
        <f ca="1">AVERAGE(OFFSET($CX$3,0,0,'Données projet'!$E$13+1,1))-AVERAGE(OFFSET($H$3,0,0,'Données projet'!$E$13+1,1))</f>
        <v>391.93999504334352</v>
      </c>
      <c r="CZ82" s="59">
        <f t="shared" si="96"/>
        <v>215.4484906985528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101.69527086121728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101.69527086121728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4</v>
      </c>
      <c r="DO82" s="12">
        <f>IF('Données projet'!$A$166&gt;35,DO81+DN82-DW81,IF(A82&lt;'Données projet'!$A$166,$DL$205^A82,IF(A82='Données projet'!$A$166,'Données projet'!$B$166,DO81+DN82-DW81)))</f>
        <v>376.99999999999972</v>
      </c>
      <c r="DP82" s="17">
        <f>DO82*VLOOKUP('Données projet'!$B$14,Paramètres!$A$1:$I$89,3,0)*VLOOKUP('Données projet'!$B$14,Paramètres!$A$1:$I$89,5,0)</f>
        <v>276.41639999999978</v>
      </c>
      <c r="DQ82" s="13">
        <f t="shared" si="97"/>
        <v>66.209124371313351</v>
      </c>
      <c r="DR82" s="20">
        <f t="shared" si="70"/>
        <v>596.73945494670363</v>
      </c>
      <c r="DS82" s="59">
        <f t="shared" si="71"/>
        <v>890.072788280037</v>
      </c>
      <c r="DT82" s="59">
        <f ca="1">AVERAGE(OFFSET($DS$3,0,0,'Données projet'!$E$14+1,1))-AVERAGE(OFFSET($H$3,0,0,'Données projet'!$E$14+1,1))</f>
        <v>267.92147257573157</v>
      </c>
      <c r="DU82" s="59">
        <f t="shared" si="98"/>
        <v>269.06662611892438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42.382228971695334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42.382228971695334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0.8600000000003547</v>
      </c>
      <c r="EK82" s="17">
        <f>EJ82*VLOOKUP('Données projet'!$B$15,Paramètres!$A$1:$I$89,3,0)*VLOOKUP('Données projet'!$B$15,Paramètres!$A$1:$I$89,5,0)</f>
        <v>0.48074000000019829</v>
      </c>
      <c r="EL82" s="13">
        <f t="shared" si="99"/>
        <v>0.24126147010950588</v>
      </c>
      <c r="EM82" s="20">
        <f t="shared" si="73"/>
        <v>1.2574858937744013</v>
      </c>
      <c r="EN82" s="59">
        <f t="shared" si="74"/>
        <v>294.59081922710772</v>
      </c>
      <c r="EO82" s="59">
        <f ca="1">AVERAGE(OFFSET($EN$3,0,0,'Données projet'!$E$15+1,1))-AVERAGE(OFFSET($H$3,0,0,'Données projet'!$E$15+1,1))</f>
        <v>326.29985515186428</v>
      </c>
      <c r="EP82" s="59">
        <f t="shared" si="100"/>
        <v>437.68177084535927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231.14097606109877</v>
      </c>
      <c r="EW82" s="21">
        <f>EXP(-LN(2)/25)*EW81+(1-EXP(-LN(2)/25))/(LN(2)/25)*Calculateur!ER82*Calculateur!ET82*VLOOKUP('Données projet'!$B$15,Paramètres!$A$1:$I$89,3,0)*0.475*44/12</f>
        <v>12.998255875502201</v>
      </c>
      <c r="EX82" s="21">
        <f>EXP(-LN(2)/2)*EX81+(1-EXP(-LN(2)/2))/(LN(2)/2)*ER82*EU82*VLOOKUP('Données projet'!$B$15,Paramètres!$A$1:$I$89,3,0)*0.475*44/12</f>
        <v>3.1185318448510907E-8</v>
      </c>
      <c r="EY82" s="22">
        <f t="shared" si="75"/>
        <v>244.13923196778629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1.7053025658242404E-13</v>
      </c>
      <c r="FF82" s="17">
        <f>FE82*VLOOKUP('Données projet'!$B$16,Paramètres!$A$1:$I$89,3,0)*VLOOKUP('Données projet'!$B$16,Paramètres!$A$1:$I$89,5,0)</f>
        <v>9.7631982498569413E-14</v>
      </c>
      <c r="FG82" s="13">
        <f t="shared" si="101"/>
        <v>1.4708068762530911E-12</v>
      </c>
      <c r="FH82" s="20">
        <f t="shared" si="76"/>
        <v>2.7316976789924749E-12</v>
      </c>
      <c r="FI82" s="59">
        <f t="shared" si="77"/>
        <v>293.33333333333604</v>
      </c>
      <c r="FJ82" s="59">
        <f ca="1">AVERAGE(OFFSET($FI$3,0,0,'Données projet'!$E$16+1,1))-AVERAGE(OFFSET($H$3,0,0,'Données projet'!$E$16+1,1))</f>
        <v>211.14768428403215</v>
      </c>
      <c r="FK82" s="59">
        <f t="shared" si="102"/>
        <v>350.7800157534798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31.470856292288477</v>
      </c>
      <c r="FR82" s="21">
        <f>EXP(-LN(2)/25)*FR81+(1-EXP(-LN(2)/25))/(LN(2)/25)*Calculateur!FM82*Calculateur!FO82*VLOOKUP('Données projet'!$B$16,Paramètres!$A$1:$I$89,3,0)*0.475*44/12</f>
        <v>5.5297426089395447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37.000598901228024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69.88800000000009</v>
      </c>
      <c r="D83" s="11">
        <f t="shared" si="86"/>
        <v>19.645641432461971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691.13688123304053</v>
      </c>
      <c r="H83" s="66">
        <f t="shared" si="56"/>
        <v>449.27109216153804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264</v>
      </c>
      <c r="L83" s="12">
        <f>VLOOKUP(A83,'Données projet'!$A$35:$I$55,9,0)</f>
        <v>4.4000000000000004</v>
      </c>
      <c r="M83" s="12">
        <f t="array" ref="M83">INDEX(L:L,MIN(IF(ISNUMBER(L83:L279),ROW(L83:L279),"")))</f>
        <v>4.4000000000000004</v>
      </c>
      <c r="N83" s="13">
        <f>IF('Données projet'!$A$36&gt;35,N82+M83-V82,IF(A83&lt;'Données projet'!$A$36,$K$205^A83,IF(A83='Données projet'!$A$36,'Données projet'!$B$36,N82+M83-V82)))</f>
        <v>264.00000000000006</v>
      </c>
      <c r="O83" s="13">
        <f>N83*VLOOKUP('Données projet'!$B$9,Paramètres!$A$1:$I$89,3,0)*VLOOKUP('Données projet'!$B$9,Paramètres!$A$1:$I$89,5,0)</f>
        <v>230.63040000000007</v>
      </c>
      <c r="P83" s="13">
        <f t="shared" si="87"/>
        <v>56.418967028503253</v>
      </c>
      <c r="Q83" s="20">
        <f t="shared" si="54"/>
        <v>499.94431424130994</v>
      </c>
      <c r="R83" s="59">
        <f t="shared" si="55"/>
        <v>793.2776475746432</v>
      </c>
      <c r="S83" s="59">
        <f ca="1">AVERAGE(OFFSET($R$3,0,0,'Données projet'!$E$9+1,1))-AVERAGE(OFFSET($H$3,0,0,'Données projet'!$E$9+1,1))</f>
        <v>252.49539407921907</v>
      </c>
      <c r="T83" s="59">
        <f t="shared" si="88"/>
        <v>263.36387286233929</v>
      </c>
      <c r="U83" s="15">
        <f>IF(ISNA(VLOOKUP(A83,'Données projet'!$A$35:$I$55,3,0)),0,VLOOKUP(A83,'Données projet'!$A$35:$I$55,3,0))</f>
        <v>14</v>
      </c>
      <c r="V83" s="15">
        <f>IF(ISNA(VLOOKUP(A83,'Données projet'!$A$35:$I$55,4,0)),0,VLOOKUP(A83,'Données projet'!$A$35:$I$55,4,0))</f>
        <v>17</v>
      </c>
      <c r="W83" s="16">
        <f>IF(ISNA(VLOOKUP(A83,'Données projet'!$A$35:$I$55,5,0)),0%,VLOOKUP(A83,'Données projet'!$A$35:$I$55,5,0)*VLOOKUP('Données projet'!$B$9,Paramètres!$A$1:$I$89,7,0))</f>
        <v>0.43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65.363575686805717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65.363575686805717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395.71</v>
      </c>
      <c r="AG83" s="12">
        <f>VLOOKUP(A83,'Données projet'!$A$61:$I$81,9,0)</f>
        <v>11.009999999999998</v>
      </c>
      <c r="AH83" s="12">
        <f t="array" ref="AH83">INDEX(AG:AG,MIN(IF(ISNUMBER(AG83:AG279),ROW(AG83:AG279),"")))</f>
        <v>11.009999999999998</v>
      </c>
      <c r="AI83" s="13">
        <f>IF('Données projet'!$A$62&gt;35,AI82+AH83-AQ82,IF(A83&lt;'Données projet'!$A$62,$AF$205^A83,IF(A83='Données projet'!$A$62,'Données projet'!$B$62,AI82+AH83-AQ82)))</f>
        <v>395.70999999999987</v>
      </c>
      <c r="AJ83" s="13">
        <f>AI83*VLOOKUP('Données projet'!$B$10,Paramètres!$A$1:$I$89,3,0)*VLOOKUP('Données projet'!$B$10,Paramètres!$A$1:$I$89,5,0)</f>
        <v>358.03840799999989</v>
      </c>
      <c r="AK83" s="13">
        <f t="shared" si="89"/>
        <v>83.215509161867502</v>
      </c>
      <c r="AL83" s="20">
        <f t="shared" si="58"/>
        <v>768.51723905691904</v>
      </c>
      <c r="AM83" s="59">
        <f t="shared" si="59"/>
        <v>1061.8505723902524</v>
      </c>
      <c r="AN83" s="59">
        <f ca="1">AVERAGE(OFFSET($AM$3,0,0,'Données projet'!$E$10+1,1))-AVERAGE(OFFSET($H$3,0,0,'Données projet'!$E$10+1,1))</f>
        <v>370.05613271587413</v>
      </c>
      <c r="AO83" s="59">
        <f t="shared" si="90"/>
        <v>183.24480056442525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59.57</v>
      </c>
      <c r="AR83" s="16">
        <f>IF(ISNA(VLOOKUP(A83,'Données projet'!$A$61:$I$81,5,0)),0%,VLOOKUP(A83,'Données projet'!$A$61:$I$81,5,0)*VLOOKUP('Données projet'!$B$10,Paramètres!$A$1:$I$89,7,0))</f>
        <v>0.43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111.92045190667203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111.92045190667203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395.71</v>
      </c>
      <c r="BB83" s="12">
        <f>VLOOKUP(A83,'Données projet'!$A$87:$I$107,9,0)</f>
        <v>11.009999999999998</v>
      </c>
      <c r="BC83" s="12">
        <f t="array" ref="BC83">INDEX(BB:BB,MIN(IF(ISNUMBER(BB83:BB279),ROW(BB83:BB279),"")))</f>
        <v>11.009999999999998</v>
      </c>
      <c r="BD83" s="12">
        <f>IF('Données projet'!$A$88&gt;35,BD82+BC83-BL82,IF(A83&lt;'Données projet'!$A$88,$BA$205^A83,IF(A83='Données projet'!$A$88,'Données projet'!$B$88,BD82+BC83-BL82)))</f>
        <v>395.70999999999987</v>
      </c>
      <c r="BE83" s="13">
        <f>BD83*VLOOKUP('Données projet'!$B$11,Paramètres!$A$1:$I$89,3,0)*VLOOKUP('Données projet'!$B$11,Paramètres!$A$1:$I$89,5,0)</f>
        <v>401.24993999999992</v>
      </c>
      <c r="BF83" s="13">
        <f t="shared" si="91"/>
        <v>92.030025341479998</v>
      </c>
      <c r="BG83" s="20">
        <f t="shared" si="61"/>
        <v>859.12927296974419</v>
      </c>
      <c r="BH83" s="59">
        <f t="shared" si="62"/>
        <v>1152.4626063030776</v>
      </c>
      <c r="BI83" s="59">
        <f ca="1">AVERAGE(OFFSET($BH$3,0,0,'Données projet'!$E$11+1,1))-AVERAGE(OFFSET($H$3,0,0,'Données projet'!$E$11+1,1))</f>
        <v>428.72181435671394</v>
      </c>
      <c r="BJ83" s="59">
        <f t="shared" si="92"/>
        <v>211.84936043087572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59.57</v>
      </c>
      <c r="BM83" s="16">
        <f>IF(ISNA(VLOOKUP(A83,'Données projet'!$A$87:$I$107,5,0)),0%,VLOOKUP(A83,'Données projet'!$A$87:$I$107,5,0)*VLOOKUP('Données projet'!$B$11,Paramètres!$A$1:$I$89,7,0))</f>
        <v>0.43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125.42809265402899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125.42809265402899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381</v>
      </c>
      <c r="BW83" s="12">
        <f>VLOOKUP(A83,'Données projet'!$A$113:$I$133,9,0)</f>
        <v>4</v>
      </c>
      <c r="BX83" s="12">
        <f t="array" ref="BX83">INDEX(BW:BW,MIN(IF(ISNUMBER(BW83:BW279),ROW(BW83:BW279),"")))</f>
        <v>4</v>
      </c>
      <c r="BY83" s="12">
        <f>IF('Données projet'!$A$114&gt;35,BY82+BX83-CG82,IF(A83&lt;'Données projet'!$A$114,$BV$205^A83,IF(A83='Données projet'!$A$114,'Données projet'!$B$114,BY82+BX83-CG82)))</f>
        <v>380.99999999999972</v>
      </c>
      <c r="BZ83" s="13">
        <f>BY83*VLOOKUP('Données projet'!$B$12,Paramètres!$A$1:$I$89,3,0)*VLOOKUP('Données projet'!$B$12,Paramètres!$A$1:$I$89,5,0)</f>
        <v>303.12359999999978</v>
      </c>
      <c r="CA83" s="13">
        <f t="shared" si="93"/>
        <v>71.830894732837621</v>
      </c>
      <c r="CB83" s="20">
        <f t="shared" si="64"/>
        <v>653.0457449930251</v>
      </c>
      <c r="CC83" s="59">
        <f t="shared" si="65"/>
        <v>946.37907832635847</v>
      </c>
      <c r="CD83" s="59">
        <f ca="1">AVERAGE(OFFSET($CC$3,0,0,'Données projet'!$E$12+1,1))-AVERAGE(OFFSET($H$3,0,0,'Données projet'!$E$12+1,1))</f>
        <v>296.737543892524</v>
      </c>
      <c r="CE83" s="59">
        <f t="shared" si="94"/>
        <v>296.38358650317099</v>
      </c>
      <c r="CF83" s="15">
        <f>IF(ISNA(VLOOKUP(A83,'Données projet'!$A$113:$I$133,3,0)),0,VLOOKUP(A83,'Données projet'!$A$113:$I$133,3,0))</f>
        <v>15</v>
      </c>
      <c r="CG83" s="15">
        <f>IF(ISNA(VLOOKUP(A83,'Données projet'!$A$113:$I$133,4,0)),0,VLOOKUP(A83,'Données projet'!$A$113:$I$133,4,0))</f>
        <v>13</v>
      </c>
      <c r="CH83" s="16">
        <f>IF(ISNA(VLOOKUP(A83,'Données projet'!$A$113:$I$133,5,0)),0%,VLOOKUP(A83,'Données projet'!$A$113:$I$133,5,0)*VLOOKUP('Données projet'!$B$12,Paramètres!$A$1:$I$89,7,0))</f>
        <v>0.53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61.632689148856684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61.632689148856684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424</v>
      </c>
      <c r="CR83" s="12">
        <f>VLOOKUP(A83,'Données projet'!$A$139:$I$159,9,0)</f>
        <v>10.4</v>
      </c>
      <c r="CS83" s="12">
        <f t="array" ref="CS83">INDEX(CR:CR,MIN(IF(ISNUMBER(CR83:CR279),ROW(CR83:CR279),"")))</f>
        <v>10.4</v>
      </c>
      <c r="CT83" s="12">
        <f>IF('Données projet'!$A$140&gt;35,CT82+CS83-DB82,IF(A83&lt;'Données projet'!$A$140,$CQ$205^A83,IF(A83='Données projet'!$A$140,'Données projet'!$B$140,CT82+CS83-DB82)))</f>
        <v>423.99999999999989</v>
      </c>
      <c r="CU83" s="17">
        <f>CT83*VLOOKUP('Données projet'!$B$13,Paramètres!$A$1:$I$89,3,0)*VLOOKUP('Données projet'!$B$13,Paramètres!$A$1:$I$89,5,0)</f>
        <v>363.79199999999997</v>
      </c>
      <c r="CV83" s="13">
        <f t="shared" si="95"/>
        <v>84.396007741478684</v>
      </c>
      <c r="CW83" s="20">
        <f t="shared" si="67"/>
        <v>780.59411348307538</v>
      </c>
      <c r="CX83" s="59">
        <f t="shared" si="68"/>
        <v>1073.9274468164087</v>
      </c>
      <c r="CY83" s="59">
        <f ca="1">AVERAGE(OFFSET($CX$3,0,0,'Données projet'!$E$13+1,1))-AVERAGE(OFFSET($H$3,0,0,'Données projet'!$E$13+1,1))</f>
        <v>391.93999504334352</v>
      </c>
      <c r="CZ83" s="59">
        <f t="shared" si="96"/>
        <v>215.4484906985528</v>
      </c>
      <c r="DA83" s="15">
        <f>IF(ISNA(VLOOKUP(A83,'Données projet'!$A$139:$I$159,3,0)),0,VLOOKUP(A83,'Données projet'!$A$139:$I$159,3,0))</f>
        <v>12</v>
      </c>
      <c r="DB83" s="15">
        <f>IF(ISNA(VLOOKUP(A83,'Données projet'!$A$139:$I$159,4,0)),0,VLOOKUP(A83,'Données projet'!$A$139:$I$159,4,0))</f>
        <v>34</v>
      </c>
      <c r="DC83" s="16">
        <f>IF(ISNA(VLOOKUP(A83,'Données projet'!$A$139:$I$159,5,0)),0%,VLOOKUP(A83,'Données projet'!$A$139:$I$159,5,0)*VLOOKUP('Données projet'!$B$13,Paramètres!$A$1:$I$89,7,0))</f>
        <v>0.53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116.79294304083895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116.79294304083895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381</v>
      </c>
      <c r="DM83" s="12">
        <f>VLOOKUP(A83,'Données projet'!$A$165:$I$185,9,0)</f>
        <v>4</v>
      </c>
      <c r="DN83" s="12">
        <f t="array" ref="DN83">INDEX(DM:DM,MIN(IF(ISNUMBER(DM83:DM279),ROW(DM83:DM279),"")))</f>
        <v>4</v>
      </c>
      <c r="DO83" s="12">
        <f>IF('Données projet'!$A$166&gt;35,DO82+DN83-DW82,IF(A83&lt;'Données projet'!$A$166,$DL$205^A83,IF(A83='Données projet'!$A$166,'Données projet'!$B$166,DO82+DN83-DW82)))</f>
        <v>380.99999999999972</v>
      </c>
      <c r="DP83" s="17">
        <f>DO83*VLOOKUP('Données projet'!$B$14,Paramètres!$A$1:$I$89,3,0)*VLOOKUP('Données projet'!$B$14,Paramètres!$A$1:$I$89,5,0)</f>
        <v>279.34919999999977</v>
      </c>
      <c r="DQ83" s="13">
        <f t="shared" si="97"/>
        <v>66.829457512184078</v>
      </c>
      <c r="DR83" s="20">
        <f t="shared" si="70"/>
        <v>602.92782850038679</v>
      </c>
      <c r="DS83" s="59">
        <f t="shared" si="71"/>
        <v>896.26116183372005</v>
      </c>
      <c r="DT83" s="59">
        <f ca="1">AVERAGE(OFFSET($DS$3,0,0,'Données projet'!$E$14+1,1))-AVERAGE(OFFSET($H$3,0,0,'Données projet'!$E$14+1,1))</f>
        <v>267.92147257573157</v>
      </c>
      <c r="DU83" s="59">
        <f t="shared" si="98"/>
        <v>269.06662611892438</v>
      </c>
      <c r="DV83" s="15">
        <f>IF(ISNA(VLOOKUP(A83,'Données projet'!$A$165:$I$185,3,0)),0,VLOOKUP(A83,'Données projet'!$A$165:$I$185,3,0))</f>
        <v>15</v>
      </c>
      <c r="DW83" s="15">
        <f>IF(ISNA(VLOOKUP(A83,'Données projet'!$A$165:$I$185,4,0)),0,VLOOKUP(A83,'Données projet'!$A$165:$I$185,4,0))</f>
        <v>13</v>
      </c>
      <c r="DX83" s="16">
        <f>IF(ISNA(VLOOKUP(A83,'Données projet'!$A$165:$I$185,5,0)),0%,VLOOKUP(A83,'Données projet'!$A$165:$I$185,5,0)*VLOOKUP('Données projet'!$B$14,Paramètres!$A$1:$I$89,7,0))</f>
        <v>0.43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46.082006944076724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46.082006944076724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0.8600000000003547</v>
      </c>
      <c r="EK83" s="17">
        <f>EJ83*VLOOKUP('Données projet'!$B$15,Paramètres!$A$1:$I$89,3,0)*VLOOKUP('Données projet'!$B$15,Paramètres!$A$1:$I$89,5,0)</f>
        <v>0.48074000000019829</v>
      </c>
      <c r="EL83" s="13">
        <f t="shared" si="99"/>
        <v>0.24126147010950588</v>
      </c>
      <c r="EM83" s="20">
        <f t="shared" si="73"/>
        <v>1.2574858937744013</v>
      </c>
      <c r="EN83" s="59">
        <f t="shared" si="74"/>
        <v>294.59081922710772</v>
      </c>
      <c r="EO83" s="59">
        <f ca="1">AVERAGE(OFFSET($EN$3,0,0,'Données projet'!$E$15+1,1))-AVERAGE(OFFSET($H$3,0,0,'Données projet'!$E$15+1,1))</f>
        <v>326.29985515186428</v>
      </c>
      <c r="EP83" s="59">
        <f t="shared" si="100"/>
        <v>437.68177084535927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226.60844250261519</v>
      </c>
      <c r="EW83" s="21">
        <f>EXP(-LN(2)/25)*EW82+(1-EXP(-LN(2)/25))/(LN(2)/25)*Calculateur!ER83*Calculateur!ET83*VLOOKUP('Données projet'!$B$15,Paramètres!$A$1:$I$89,3,0)*0.475*44/12</f>
        <v>12.642817885038024</v>
      </c>
      <c r="EX83" s="21">
        <f>EXP(-LN(2)/2)*EX82+(1-EXP(-LN(2)/2))/(LN(2)/2)*ER83*EU83*VLOOKUP('Données projet'!$B$15,Paramètres!$A$1:$I$89,3,0)*0.475*44/12</f>
        <v>2.2051350148404006E-8</v>
      </c>
      <c r="EY83" s="22">
        <f t="shared" si="75"/>
        <v>239.25126040970457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1.7053025658242404E-13</v>
      </c>
      <c r="FF83" s="17">
        <f>FE83*VLOOKUP('Données projet'!$B$16,Paramètres!$A$1:$I$89,3,0)*VLOOKUP('Données projet'!$B$16,Paramètres!$A$1:$I$89,5,0)</f>
        <v>9.7631982498569413E-14</v>
      </c>
      <c r="FG83" s="13">
        <f t="shared" si="101"/>
        <v>1.4708068762530911E-12</v>
      </c>
      <c r="FH83" s="20">
        <f t="shared" si="76"/>
        <v>2.7316976789924749E-12</v>
      </c>
      <c r="FI83" s="59">
        <f t="shared" si="77"/>
        <v>293.33333333333604</v>
      </c>
      <c r="FJ83" s="59">
        <f ca="1">AVERAGE(OFFSET($FI$3,0,0,'Données projet'!$E$16+1,1))-AVERAGE(OFFSET($H$3,0,0,'Données projet'!$E$16+1,1))</f>
        <v>211.14768428403215</v>
      </c>
      <c r="FK83" s="59">
        <f t="shared" si="102"/>
        <v>350.7800157534798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30.853731995723656</v>
      </c>
      <c r="FR83" s="21">
        <f>EXP(-LN(2)/25)*FR82+(1-EXP(-LN(2)/25))/(LN(2)/25)*Calculateur!FM83*Calculateur!FO83*VLOOKUP('Données projet'!$B$16,Paramètres!$A$1:$I$89,3,0)*0.475*44/12</f>
        <v>5.3785315065015675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36.232263502225223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70.761600000000087</v>
      </c>
      <c r="D84" s="11">
        <f t="shared" si="86"/>
        <v>19.862470414169785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699.55422775850423</v>
      </c>
      <c r="H84" s="66">
        <f t="shared" si="56"/>
        <v>451.1702559713458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4</v>
      </c>
      <c r="N84" s="13">
        <f>IF('Données projet'!$A$36&gt;35,N83+M84-V83,IF(A84&lt;'Données projet'!$A$36,$K$205^A84,IF(A84='Données projet'!$A$36,'Données projet'!$B$36,N83+M84-V83)))</f>
        <v>251.00000000000006</v>
      </c>
      <c r="O84" s="13">
        <f>N84*VLOOKUP('Données projet'!$B$9,Paramètres!$A$1:$I$89,3,0)*VLOOKUP('Données projet'!$B$9,Paramètres!$A$1:$I$89,5,0)</f>
        <v>219.2736000000001</v>
      </c>
      <c r="P84" s="13">
        <f t="shared" si="87"/>
        <v>53.956975893220125</v>
      </c>
      <c r="Q84" s="20">
        <f t="shared" si="54"/>
        <v>475.87658634735857</v>
      </c>
      <c r="R84" s="59">
        <f t="shared" si="55"/>
        <v>769.20991968069188</v>
      </c>
      <c r="S84" s="59">
        <f ca="1">AVERAGE(OFFSET($R$3,0,0,'Données projet'!$E$9+1,1))-AVERAGE(OFFSET($H$3,0,0,'Données projet'!$E$9+1,1))</f>
        <v>252.49539407921907</v>
      </c>
      <c r="T84" s="59">
        <f t="shared" si="88"/>
        <v>263.36387286233929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64.081835835432003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64.081835835432003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10.41</v>
      </c>
      <c r="AI84" s="13">
        <f>IF('Données projet'!$A$62&gt;35,AI83+AH84-AQ83,IF(A84&lt;'Données projet'!$A$62,$AF$205^A84,IF(A84='Données projet'!$A$62,'Données projet'!$B$62,AI83+AH84-AQ83)))</f>
        <v>346.5499999999999</v>
      </c>
      <c r="AJ84" s="13">
        <f>AI84*VLOOKUP('Données projet'!$B$10,Paramètres!$A$1:$I$89,3,0)*VLOOKUP('Données projet'!$B$10,Paramètres!$A$1:$I$89,5,0)</f>
        <v>313.55843999999991</v>
      </c>
      <c r="AK84" s="13">
        <f t="shared" si="89"/>
        <v>74.011479710591601</v>
      </c>
      <c r="AL84" s="20">
        <f t="shared" si="58"/>
        <v>675.01761016261355</v>
      </c>
      <c r="AM84" s="59">
        <f t="shared" si="59"/>
        <v>968.35094349594692</v>
      </c>
      <c r="AN84" s="59">
        <f ca="1">AVERAGE(OFFSET($AM$3,0,0,'Données projet'!$E$10+1,1))-AVERAGE(OFFSET($H$3,0,0,'Données projet'!$E$10+1,1))</f>
        <v>370.05613271587413</v>
      </c>
      <c r="AO84" s="59">
        <f t="shared" si="90"/>
        <v>183.24480056442525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109.72576010951727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109.72576010951727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10.41</v>
      </c>
      <c r="BD84" s="12">
        <f>IF('Données projet'!$A$88&gt;35,BD83+BC84-BL83,IF(A84&lt;'Données projet'!$A$88,$BA$205^A84,IF(A84='Données projet'!$A$88,'Données projet'!$B$88,BD83+BC84-BL83)))</f>
        <v>346.5499999999999</v>
      </c>
      <c r="BE84" s="13">
        <f>BD84*VLOOKUP('Données projet'!$B$11,Paramètres!$A$1:$I$89,3,0)*VLOOKUP('Données projet'!$B$11,Paramètres!$A$1:$I$89,5,0)</f>
        <v>351.40169999999989</v>
      </c>
      <c r="BF84" s="13">
        <f t="shared" si="91"/>
        <v>81.851068652084436</v>
      </c>
      <c r="BG84" s="20">
        <f t="shared" si="61"/>
        <v>754.58190540238013</v>
      </c>
      <c r="BH84" s="59">
        <f t="shared" si="62"/>
        <v>1047.9152387357135</v>
      </c>
      <c r="BI84" s="59">
        <f ca="1">AVERAGE(OFFSET($BH$3,0,0,'Données projet'!$E$11+1,1))-AVERAGE(OFFSET($H$3,0,0,'Données projet'!$E$11+1,1))</f>
        <v>428.72181435671394</v>
      </c>
      <c r="BJ84" s="59">
        <f t="shared" si="92"/>
        <v>211.84936043087572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122.9685242606659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122.9685242606659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367.99999999999972</v>
      </c>
      <c r="BZ84" s="13">
        <f>BY84*VLOOKUP('Données projet'!$B$12,Paramètres!$A$1:$I$89,3,0)*VLOOKUP('Données projet'!$B$12,Paramètres!$A$1:$I$89,5,0)</f>
        <v>292.78079999999977</v>
      </c>
      <c r="CA84" s="13">
        <f t="shared" si="93"/>
        <v>69.660903052386217</v>
      </c>
      <c r="CB84" s="20">
        <f t="shared" si="64"/>
        <v>631.25263281623893</v>
      </c>
      <c r="CC84" s="59">
        <f t="shared" si="65"/>
        <v>924.58596614957219</v>
      </c>
      <c r="CD84" s="59">
        <f ca="1">AVERAGE(OFFSET($CC$3,0,0,'Données projet'!$E$12+1,1))-AVERAGE(OFFSET($H$3,0,0,'Données projet'!$E$12+1,1))</f>
        <v>296.737543892524</v>
      </c>
      <c r="CE84" s="59">
        <f t="shared" si="94"/>
        <v>296.38358650317099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60.42410970687606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60.42410970687606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9.6</v>
      </c>
      <c r="CT84" s="12">
        <f>IF('Données projet'!$A$140&gt;35,CT83+CS84-DB83,IF(A84&lt;'Données projet'!$A$140,$CQ$205^A84,IF(A84='Données projet'!$A$140,'Données projet'!$B$140,CT83+CS84-DB83)))</f>
        <v>399.59999999999991</v>
      </c>
      <c r="CU84" s="17">
        <f>CT84*VLOOKUP('Données projet'!$B$13,Paramètres!$A$1:$I$89,3,0)*VLOOKUP('Données projet'!$B$13,Paramètres!$A$1:$I$89,5,0)</f>
        <v>342.85679999999996</v>
      </c>
      <c r="CV84" s="13">
        <f t="shared" si="95"/>
        <v>80.089891653777826</v>
      </c>
      <c r="CW84" s="20">
        <f t="shared" si="67"/>
        <v>736.63215463032964</v>
      </c>
      <c r="CX84" s="59">
        <f t="shared" si="68"/>
        <v>1029.965487963663</v>
      </c>
      <c r="CY84" s="59">
        <f ca="1">AVERAGE(OFFSET($CX$3,0,0,'Données projet'!$E$13+1,1))-AVERAGE(OFFSET($H$3,0,0,'Données projet'!$E$13+1,1))</f>
        <v>391.93999504334352</v>
      </c>
      <c r="CZ84" s="59">
        <f t="shared" si="96"/>
        <v>215.4484906985528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114.50270466446932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114.50270466446932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367.99999999999972</v>
      </c>
      <c r="DP84" s="17">
        <f>DO84*VLOOKUP('Données projet'!$B$14,Paramètres!$A$1:$I$89,3,0)*VLOOKUP('Données projet'!$B$14,Paramètres!$A$1:$I$89,5,0)</f>
        <v>269.8175999999998</v>
      </c>
      <c r="DQ84" s="13">
        <f t="shared" si="97"/>
        <v>64.810557882019467</v>
      </c>
      <c r="DR84" s="20">
        <f t="shared" si="70"/>
        <v>582.81070831118348</v>
      </c>
      <c r="DS84" s="59">
        <f t="shared" si="71"/>
        <v>876.14404164451685</v>
      </c>
      <c r="DT84" s="59">
        <f ca="1">AVERAGE(OFFSET($DS$3,0,0,'Données projet'!$E$14+1,1))-AVERAGE(OFFSET($H$3,0,0,'Données projet'!$E$14+1,1))</f>
        <v>267.92147257573157</v>
      </c>
      <c r="DU84" s="59">
        <f t="shared" si="98"/>
        <v>269.06662611892438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45.178366895152259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45.178366895152259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0.8600000000003547</v>
      </c>
      <c r="EK84" s="17">
        <f>EJ84*VLOOKUP('Données projet'!$B$15,Paramètres!$A$1:$I$89,3,0)*VLOOKUP('Données projet'!$B$15,Paramètres!$A$1:$I$89,5,0)</f>
        <v>0.48074000000019829</v>
      </c>
      <c r="EL84" s="13">
        <f t="shared" si="99"/>
        <v>0.24126147010950588</v>
      </c>
      <c r="EM84" s="20">
        <f t="shared" si="73"/>
        <v>1.2574858937744013</v>
      </c>
      <c r="EN84" s="59">
        <f t="shared" si="74"/>
        <v>294.59081922710772</v>
      </c>
      <c r="EO84" s="59">
        <f ca="1">AVERAGE(OFFSET($EN$3,0,0,'Données projet'!$E$15+1,1))-AVERAGE(OFFSET($H$3,0,0,'Données projet'!$E$15+1,1))</f>
        <v>326.29985515186428</v>
      </c>
      <c r="EP84" s="59">
        <f t="shared" si="100"/>
        <v>437.68177084535927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222.164789162641</v>
      </c>
      <c r="EW84" s="21">
        <f>EXP(-LN(2)/25)*EW83+(1-EXP(-LN(2)/25))/(LN(2)/25)*Calculateur!ER84*Calculateur!ET84*VLOOKUP('Données projet'!$B$15,Paramètres!$A$1:$I$89,3,0)*0.475*44/12</f>
        <v>12.297099365114763</v>
      </c>
      <c r="EX84" s="21">
        <f>EXP(-LN(2)/2)*EX83+(1-EXP(-LN(2)/2))/(LN(2)/2)*ER84*EU84*VLOOKUP('Données projet'!$B$15,Paramètres!$A$1:$I$89,3,0)*0.475*44/12</f>
        <v>1.5592659224255453E-8</v>
      </c>
      <c r="EY84" s="22">
        <f t="shared" si="75"/>
        <v>234.46188854334844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1.7053025658242404E-13</v>
      </c>
      <c r="FF84" s="17">
        <f>FE84*VLOOKUP('Données projet'!$B$16,Paramètres!$A$1:$I$89,3,0)*VLOOKUP('Données projet'!$B$16,Paramètres!$A$1:$I$89,5,0)</f>
        <v>9.7631982498569413E-14</v>
      </c>
      <c r="FG84" s="13">
        <f t="shared" si="101"/>
        <v>1.4708068762530911E-12</v>
      </c>
      <c r="FH84" s="20">
        <f t="shared" si="76"/>
        <v>2.7316976789924749E-12</v>
      </c>
      <c r="FI84" s="59">
        <f t="shared" si="77"/>
        <v>293.33333333333604</v>
      </c>
      <c r="FJ84" s="59">
        <f ca="1">AVERAGE(OFFSET($FI$3,0,0,'Données projet'!$E$16+1,1))-AVERAGE(OFFSET($H$3,0,0,'Données projet'!$E$16+1,1))</f>
        <v>211.14768428403215</v>
      </c>
      <c r="FK84" s="59">
        <f t="shared" si="102"/>
        <v>350.7800157534798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30.248709130205818</v>
      </c>
      <c r="FR84" s="21">
        <f>EXP(-LN(2)/25)*FR83+(1-EXP(-LN(2)/25))/(LN(2)/25)*Calculateur!FM84*Calculateur!FO84*VLOOKUP('Données projet'!$B$16,Paramètres!$A$1:$I$89,3,0)*0.475*44/12</f>
        <v>5.2314552796116027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35.480164409817419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71.635200000000083</v>
      </c>
      <c r="D85" s="11">
        <f t="shared" si="86"/>
        <v>20.078988020012666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707.96917068080029</v>
      </c>
      <c r="H85" s="66">
        <f t="shared" si="56"/>
        <v>453.06887746818882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4</v>
      </c>
      <c r="N85" s="13">
        <f>IF('Données projet'!$A$36&gt;35,N84+M85-V84,IF(A85&lt;'Données projet'!$A$36,$K$205^A85,IF(A85='Données projet'!$A$36,'Données projet'!$B$36,N84+M85-V84)))</f>
        <v>255.00000000000006</v>
      </c>
      <c r="O85" s="13">
        <f>N85*VLOOKUP('Données projet'!$B$9,Paramètres!$A$1:$I$89,3,0)*VLOOKUP('Données projet'!$B$9,Paramètres!$A$1:$I$89,5,0)</f>
        <v>222.76800000000006</v>
      </c>
      <c r="P85" s="13">
        <f t="shared" si="87"/>
        <v>54.716058356609508</v>
      </c>
      <c r="Q85" s="20">
        <f t="shared" si="54"/>
        <v>483.28473497109502</v>
      </c>
      <c r="R85" s="59">
        <f t="shared" si="55"/>
        <v>776.61806830442833</v>
      </c>
      <c r="S85" s="59">
        <f ca="1">AVERAGE(OFFSET($R$3,0,0,'Données projet'!$E$9+1,1))-AVERAGE(OFFSET($H$3,0,0,'Données projet'!$E$9+1,1))</f>
        <v>252.49539407921907</v>
      </c>
      <c r="T85" s="59">
        <f t="shared" si="88"/>
        <v>263.36387286233929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62.825230120759613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62.825230120759613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10.41</v>
      </c>
      <c r="AI85" s="13">
        <f>IF('Données projet'!$A$62&gt;35,AI84+AH85-AQ84,IF(A85&lt;'Données projet'!$A$62,$AF$205^A85,IF(A85='Données projet'!$A$62,'Données projet'!$B$62,AI84+AH85-AQ84)))</f>
        <v>356.95999999999992</v>
      </c>
      <c r="AJ85" s="13">
        <f>AI85*VLOOKUP('Données projet'!$B$10,Paramètres!$A$1:$I$89,3,0)*VLOOKUP('Données projet'!$B$10,Paramètres!$A$1:$I$89,5,0)</f>
        <v>322.97740799999991</v>
      </c>
      <c r="AK85" s="13">
        <f t="shared" si="89"/>
        <v>75.9725269838044</v>
      </c>
      <c r="AL85" s="20">
        <f t="shared" si="58"/>
        <v>694.83780343012586</v>
      </c>
      <c r="AM85" s="59">
        <f t="shared" si="59"/>
        <v>988.17113676345912</v>
      </c>
      <c r="AN85" s="59">
        <f ca="1">AVERAGE(OFFSET($AM$3,0,0,'Données projet'!$E$10+1,1))-AVERAGE(OFFSET($H$3,0,0,'Données projet'!$E$10+1,1))</f>
        <v>370.05613271587413</v>
      </c>
      <c r="AO85" s="59">
        <f t="shared" si="90"/>
        <v>183.24480056442525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107.57410487987489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107.57410487987489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10.41</v>
      </c>
      <c r="BD85" s="12">
        <f>IF('Données projet'!$A$88&gt;35,BD84+BC85-BL84,IF(A85&lt;'Données projet'!$A$88,$BA$205^A85,IF(A85='Données projet'!$A$88,'Données projet'!$B$88,BD84+BC85-BL84)))</f>
        <v>356.95999999999992</v>
      </c>
      <c r="BE85" s="13">
        <f>BD85*VLOOKUP('Données projet'!$B$11,Paramètres!$A$1:$I$89,3,0)*VLOOKUP('Données projet'!$B$11,Paramètres!$A$1:$I$89,5,0)</f>
        <v>361.95743999999991</v>
      </c>
      <c r="BF85" s="13">
        <f t="shared" si="91"/>
        <v>84.01983781623828</v>
      </c>
      <c r="BG85" s="20">
        <f t="shared" si="61"/>
        <v>776.74375886328153</v>
      </c>
      <c r="BH85" s="59">
        <f t="shared" si="62"/>
        <v>1070.0770921966148</v>
      </c>
      <c r="BI85" s="59">
        <f ca="1">AVERAGE(OFFSET($BH$3,0,0,'Données projet'!$E$11+1,1))-AVERAGE(OFFSET($H$3,0,0,'Données projet'!$E$11+1,1))</f>
        <v>428.72181435671394</v>
      </c>
      <c r="BJ85" s="59">
        <f t="shared" si="92"/>
        <v>211.84936043087572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120.55718650330807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120.55718650330807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367.99999999999972</v>
      </c>
      <c r="BZ85" s="13">
        <f>BY85*VLOOKUP('Données projet'!$B$12,Paramètres!$A$1:$I$89,3,0)*VLOOKUP('Données projet'!$B$12,Paramètres!$A$1:$I$89,5,0)</f>
        <v>292.78079999999977</v>
      </c>
      <c r="CA85" s="13">
        <f t="shared" si="93"/>
        <v>69.660903052386217</v>
      </c>
      <c r="CB85" s="20">
        <f t="shared" si="64"/>
        <v>631.25263281623893</v>
      </c>
      <c r="CC85" s="59">
        <f t="shared" si="65"/>
        <v>924.58596614957219</v>
      </c>
      <c r="CD85" s="59">
        <f ca="1">AVERAGE(OFFSET($CC$3,0,0,'Données projet'!$E$12+1,1))-AVERAGE(OFFSET($H$3,0,0,'Données projet'!$E$12+1,1))</f>
        <v>296.737543892524</v>
      </c>
      <c r="CE85" s="59">
        <f t="shared" si="94"/>
        <v>296.38358650317099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59.239229770592004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59.239229770592004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9.6</v>
      </c>
      <c r="CT85" s="12">
        <f>IF('Données projet'!$A$140&gt;35,CT84+CS85-DB84,IF(A85&lt;'Données projet'!$A$140,$CQ$205^A85,IF(A85='Données projet'!$A$140,'Données projet'!$B$140,CT84+CS85-DB84)))</f>
        <v>409.19999999999993</v>
      </c>
      <c r="CU85" s="17">
        <f>CT85*VLOOKUP('Données projet'!$B$13,Paramètres!$A$1:$I$89,3,0)*VLOOKUP('Données projet'!$B$13,Paramètres!$A$1:$I$89,5,0)</f>
        <v>351.09359999999998</v>
      </c>
      <c r="CV85" s="13">
        <f t="shared" si="95"/>
        <v>81.787653933539033</v>
      </c>
      <c r="CW85" s="20">
        <f t="shared" si="67"/>
        <v>753.93485060091371</v>
      </c>
      <c r="CX85" s="59">
        <f t="shared" si="68"/>
        <v>1047.268183934247</v>
      </c>
      <c r="CY85" s="59">
        <f ca="1">AVERAGE(OFFSET($CX$3,0,0,'Données projet'!$E$13+1,1))-AVERAGE(OFFSET($H$3,0,0,'Données projet'!$E$13+1,1))</f>
        <v>391.93999504334352</v>
      </c>
      <c r="CZ85" s="59">
        <f t="shared" si="96"/>
        <v>215.4484906985528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112.25737646575281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112.25737646575281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367.99999999999972</v>
      </c>
      <c r="DP85" s="17">
        <f>DO85*VLOOKUP('Données projet'!$B$14,Paramètres!$A$1:$I$89,3,0)*VLOOKUP('Données projet'!$B$14,Paramètres!$A$1:$I$89,5,0)</f>
        <v>269.8175999999998</v>
      </c>
      <c r="DQ85" s="13">
        <f t="shared" si="97"/>
        <v>64.810557882019467</v>
      </c>
      <c r="DR85" s="20">
        <f t="shared" si="70"/>
        <v>582.81070831118348</v>
      </c>
      <c r="DS85" s="59">
        <f t="shared" si="71"/>
        <v>876.14404164451685</v>
      </c>
      <c r="DT85" s="59">
        <f ca="1">AVERAGE(OFFSET($DS$3,0,0,'Données projet'!$E$14+1,1))-AVERAGE(OFFSET($H$3,0,0,'Données projet'!$E$14+1,1))</f>
        <v>267.92147257573157</v>
      </c>
      <c r="DU85" s="59">
        <f t="shared" si="98"/>
        <v>269.06662611892438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44.292446676421193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44.292446676421193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0.8600000000003547</v>
      </c>
      <c r="EK85" s="17">
        <f>EJ85*VLOOKUP('Données projet'!$B$15,Paramètres!$A$1:$I$89,3,0)*VLOOKUP('Données projet'!$B$15,Paramètres!$A$1:$I$89,5,0)</f>
        <v>0.48074000000019829</v>
      </c>
      <c r="EL85" s="13">
        <f t="shared" si="99"/>
        <v>0.24126147010950588</v>
      </c>
      <c r="EM85" s="20">
        <f t="shared" si="73"/>
        <v>1.2574858937744013</v>
      </c>
      <c r="EN85" s="59">
        <f t="shared" si="74"/>
        <v>294.59081922710772</v>
      </c>
      <c r="EO85" s="59">
        <f ca="1">AVERAGE(OFFSET($EN$3,0,0,'Données projet'!$E$15+1,1))-AVERAGE(OFFSET($H$3,0,0,'Données projet'!$E$15+1,1))</f>
        <v>326.29985515186428</v>
      </c>
      <c r="EP85" s="59">
        <f t="shared" si="100"/>
        <v>437.68177084535927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217.80827315430278</v>
      </c>
      <c r="EW85" s="21">
        <f>EXP(-LN(2)/25)*EW84+(1-EXP(-LN(2)/25))/(LN(2)/25)*Calculateur!ER85*Calculateur!ET85*VLOOKUP('Données projet'!$B$15,Paramètres!$A$1:$I$89,3,0)*0.475*44/12</f>
        <v>11.96083453629935</v>
      </c>
      <c r="EX85" s="21">
        <f>EXP(-LN(2)/2)*EX84+(1-EXP(-LN(2)/2))/(LN(2)/2)*ER85*EU85*VLOOKUP('Données projet'!$B$15,Paramètres!$A$1:$I$89,3,0)*0.475*44/12</f>
        <v>1.1025675074202003E-8</v>
      </c>
      <c r="EY85" s="22">
        <f t="shared" si="75"/>
        <v>229.7691077016278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1.7053025658242404E-13</v>
      </c>
      <c r="FF85" s="17">
        <f>FE85*VLOOKUP('Données projet'!$B$16,Paramètres!$A$1:$I$89,3,0)*VLOOKUP('Données projet'!$B$16,Paramètres!$A$1:$I$89,5,0)</f>
        <v>9.7631982498569413E-14</v>
      </c>
      <c r="FG85" s="13">
        <f t="shared" si="101"/>
        <v>1.4708068762530911E-12</v>
      </c>
      <c r="FH85" s="20">
        <f t="shared" si="76"/>
        <v>2.7316976789924749E-12</v>
      </c>
      <c r="FI85" s="59">
        <f t="shared" si="77"/>
        <v>293.33333333333604</v>
      </c>
      <c r="FJ85" s="59">
        <f ca="1">AVERAGE(OFFSET($FI$3,0,0,'Données projet'!$E$16+1,1))-AVERAGE(OFFSET($H$3,0,0,'Données projet'!$E$16+1,1))</f>
        <v>211.14768428403215</v>
      </c>
      <c r="FK85" s="59">
        <f t="shared" si="102"/>
        <v>350.7800157534798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29.655550394053275</v>
      </c>
      <c r="FR85" s="21">
        <f>EXP(-LN(2)/25)*FR84+(1-EXP(-LN(2)/25))/(LN(2)/25)*Calculateur!FM85*Calculateur!FO85*VLOOKUP('Données projet'!$B$16,Paramètres!$A$1:$I$89,3,0)*0.475*44/12</f>
        <v>5.0884008598803465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34.743951253933623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72.508800000000079</v>
      </c>
      <c r="D86" s="11">
        <f t="shared" si="86"/>
        <v>20.295198486462844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716.38174270252091</v>
      </c>
      <c r="H86" s="66">
        <f t="shared" si="56"/>
        <v>454.96696403058957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4</v>
      </c>
      <c r="N86" s="13">
        <f>IF('Données projet'!$A$36&gt;35,N85+M86-V85,IF(A86&lt;'Données projet'!$A$36,$K$205^A86,IF(A86='Données projet'!$A$36,'Données projet'!$B$36,N85+M86-V85)))</f>
        <v>259.00000000000006</v>
      </c>
      <c r="O86" s="13">
        <f>N86*VLOOKUP('Données projet'!$B$9,Paramètres!$A$1:$I$89,3,0)*VLOOKUP('Données projet'!$B$9,Paramètres!$A$1:$I$89,5,0)</f>
        <v>226.26240000000007</v>
      </c>
      <c r="P86" s="13">
        <f t="shared" si="87"/>
        <v>55.473756029242935</v>
      </c>
      <c r="Q86" s="20">
        <f t="shared" si="54"/>
        <v>490.69047175093164</v>
      </c>
      <c r="R86" s="59">
        <f t="shared" si="55"/>
        <v>784.02380508426495</v>
      </c>
      <c r="S86" s="59">
        <f ca="1">AVERAGE(OFFSET($R$3,0,0,'Données projet'!$E$9+1,1))-AVERAGE(OFFSET($H$3,0,0,'Données projet'!$E$9+1,1))</f>
        <v>252.49539407921907</v>
      </c>
      <c r="T86" s="59">
        <f t="shared" si="88"/>
        <v>263.36387286233929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61.593265677698142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61.593265677698142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10.41</v>
      </c>
      <c r="AI86" s="13">
        <f>IF('Données projet'!$A$62&gt;35,AI85+AH86-AQ85,IF(A86&lt;'Données projet'!$A$62,$AF$205^A86,IF(A86='Données projet'!$A$62,'Données projet'!$B$62,AI85+AH86-AQ85)))</f>
        <v>367.36999999999995</v>
      </c>
      <c r="AJ86" s="13">
        <f>AI86*VLOOKUP('Données projet'!$B$10,Paramètres!$A$1:$I$89,3,0)*VLOOKUP('Données projet'!$B$10,Paramètres!$A$1:$I$89,5,0)</f>
        <v>332.39637599999992</v>
      </c>
      <c r="AK86" s="13">
        <f t="shared" si="89"/>
        <v>77.926927644548115</v>
      </c>
      <c r="AL86" s="20">
        <f t="shared" si="58"/>
        <v>714.64642051425437</v>
      </c>
      <c r="AM86" s="59">
        <f t="shared" si="59"/>
        <v>1007.9797538475877</v>
      </c>
      <c r="AN86" s="59">
        <f ca="1">AVERAGE(OFFSET($AM$3,0,0,'Données projet'!$E$10+1,1))-AVERAGE(OFFSET($H$3,0,0,'Données projet'!$E$10+1,1))</f>
        <v>370.05613271587413</v>
      </c>
      <c r="AO86" s="59">
        <f t="shared" si="90"/>
        <v>183.24480056442525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105.46464229690571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105.46464229690571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10.41</v>
      </c>
      <c r="BD86" s="12">
        <f>IF('Données projet'!$A$88&gt;35,BD85+BC86-BL85,IF(A86&lt;'Données projet'!$A$88,$BA$205^A86,IF(A86='Données projet'!$A$88,'Données projet'!$B$88,BD85+BC86-BL85)))</f>
        <v>367.36999999999995</v>
      </c>
      <c r="BE86" s="13">
        <f>BD86*VLOOKUP('Données projet'!$B$11,Paramètres!$A$1:$I$89,3,0)*VLOOKUP('Données projet'!$B$11,Paramètres!$A$1:$I$89,5,0)</f>
        <v>372.51317999999998</v>
      </c>
      <c r="BF86" s="13">
        <f t="shared" si="91"/>
        <v>86.181256332416311</v>
      </c>
      <c r="BG86" s="20">
        <f t="shared" si="61"/>
        <v>798.89280994562489</v>
      </c>
      <c r="BH86" s="59">
        <f t="shared" si="62"/>
        <v>1092.2261432789583</v>
      </c>
      <c r="BI86" s="59">
        <f ca="1">AVERAGE(OFFSET($BH$3,0,0,'Données projet'!$E$11+1,1))-AVERAGE(OFFSET($H$3,0,0,'Données projet'!$E$11+1,1))</f>
        <v>428.72181435671394</v>
      </c>
      <c r="BJ86" s="59">
        <f t="shared" si="92"/>
        <v>211.84936043087572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118.19313360860123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118.19313360860123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367.99999999999972</v>
      </c>
      <c r="BZ86" s="13">
        <f>BY86*VLOOKUP('Données projet'!$B$12,Paramètres!$A$1:$I$89,3,0)*VLOOKUP('Données projet'!$B$12,Paramètres!$A$1:$I$89,5,0)</f>
        <v>292.78079999999977</v>
      </c>
      <c r="CA86" s="13">
        <f t="shared" si="93"/>
        <v>69.660903052386217</v>
      </c>
      <c r="CB86" s="20">
        <f t="shared" si="64"/>
        <v>631.25263281623893</v>
      </c>
      <c r="CC86" s="59">
        <f t="shared" si="65"/>
        <v>924.58596614957219</v>
      </c>
      <c r="CD86" s="59">
        <f ca="1">AVERAGE(OFFSET($CC$3,0,0,'Données projet'!$E$12+1,1))-AVERAGE(OFFSET($H$3,0,0,'Données projet'!$E$12+1,1))</f>
        <v>296.737543892524</v>
      </c>
      <c r="CE86" s="59">
        <f t="shared" si="94"/>
        <v>296.38358650317099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58.077584607153078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58.077584607153078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9.6</v>
      </c>
      <c r="CT86" s="12">
        <f>IF('Données projet'!$A$140&gt;35,CT85+CS86-DB85,IF(A86&lt;'Données projet'!$A$140,$CQ$205^A86,IF(A86='Données projet'!$A$140,'Données projet'!$B$140,CT85+CS86-DB85)))</f>
        <v>418.79999999999995</v>
      </c>
      <c r="CU86" s="17">
        <f>CT86*VLOOKUP('Données projet'!$B$13,Paramètres!$A$1:$I$89,3,0)*VLOOKUP('Données projet'!$B$13,Paramètres!$A$1:$I$89,5,0)</f>
        <v>359.3304</v>
      </c>
      <c r="CV86" s="13">
        <f t="shared" si="95"/>
        <v>83.48078585362731</v>
      </c>
      <c r="CW86" s="20">
        <f t="shared" si="67"/>
        <v>771.22948202840087</v>
      </c>
      <c r="CX86" s="59">
        <f t="shared" si="68"/>
        <v>1064.5628153617342</v>
      </c>
      <c r="CY86" s="59">
        <f ca="1">AVERAGE(OFFSET($CX$3,0,0,'Données projet'!$E$13+1,1))-AVERAGE(OFFSET($H$3,0,0,'Données projet'!$E$13+1,1))</f>
        <v>391.93999504334352</v>
      </c>
      <c r="CZ86" s="59">
        <f t="shared" si="96"/>
        <v>215.4484906985528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110.05607778349817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110.05607778349817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367.99999999999972</v>
      </c>
      <c r="DP86" s="17">
        <f>DO86*VLOOKUP('Données projet'!$B$14,Paramètres!$A$1:$I$89,3,0)*VLOOKUP('Données projet'!$B$14,Paramètres!$A$1:$I$89,5,0)</f>
        <v>269.8175999999998</v>
      </c>
      <c r="DQ86" s="13">
        <f t="shared" si="97"/>
        <v>64.810557882019467</v>
      </c>
      <c r="DR86" s="20">
        <f t="shared" si="70"/>
        <v>582.81070831118348</v>
      </c>
      <c r="DS86" s="59">
        <f t="shared" si="71"/>
        <v>876.14404164451685</v>
      </c>
      <c r="DT86" s="59">
        <f ca="1">AVERAGE(OFFSET($DS$3,0,0,'Données projet'!$E$14+1,1))-AVERAGE(OFFSET($H$3,0,0,'Données projet'!$E$14+1,1))</f>
        <v>267.92147257573157</v>
      </c>
      <c r="DU86" s="59">
        <f t="shared" si="98"/>
        <v>269.06662611892438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43.423898812821463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43.423898812821463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0.8600000000003547</v>
      </c>
      <c r="EK86" s="17">
        <f>EJ86*VLOOKUP('Données projet'!$B$15,Paramètres!$A$1:$I$89,3,0)*VLOOKUP('Données projet'!$B$15,Paramètres!$A$1:$I$89,5,0)</f>
        <v>0.48074000000019829</v>
      </c>
      <c r="EL86" s="13">
        <f t="shared" si="99"/>
        <v>0.24126147010950588</v>
      </c>
      <c r="EM86" s="20">
        <f t="shared" si="73"/>
        <v>1.2574858937744013</v>
      </c>
      <c r="EN86" s="59">
        <f t="shared" si="74"/>
        <v>294.59081922710772</v>
      </c>
      <c r="EO86" s="59">
        <f ca="1">AVERAGE(OFFSET($EN$3,0,0,'Données projet'!$E$15+1,1))-AVERAGE(OFFSET($H$3,0,0,'Données projet'!$E$15+1,1))</f>
        <v>326.29985515186428</v>
      </c>
      <c r="EP86" s="59">
        <f t="shared" si="100"/>
        <v>437.68177084535927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213.53718576767568</v>
      </c>
      <c r="EW86" s="21">
        <f>EXP(-LN(2)/25)*EW85+(1-EXP(-LN(2)/25))/(LN(2)/25)*Calculateur!ER86*Calculateur!ET86*VLOOKUP('Données projet'!$B$15,Paramètres!$A$1:$I$89,3,0)*0.475*44/12</f>
        <v>11.633764886911292</v>
      </c>
      <c r="EX86" s="21">
        <f>EXP(-LN(2)/2)*EX85+(1-EXP(-LN(2)/2))/(LN(2)/2)*ER86*EU86*VLOOKUP('Données projet'!$B$15,Paramètres!$A$1:$I$89,3,0)*0.475*44/12</f>
        <v>7.7963296121277267E-9</v>
      </c>
      <c r="EY86" s="22">
        <f t="shared" si="75"/>
        <v>225.17095066238329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1.7053025658242404E-13</v>
      </c>
      <c r="FF86" s="17">
        <f>FE86*VLOOKUP('Données projet'!$B$16,Paramètres!$A$1:$I$89,3,0)*VLOOKUP('Données projet'!$B$16,Paramètres!$A$1:$I$89,5,0)</f>
        <v>9.7631982498569413E-14</v>
      </c>
      <c r="FG86" s="13">
        <f t="shared" si="101"/>
        <v>1.4708068762530911E-12</v>
      </c>
      <c r="FH86" s="20">
        <f t="shared" si="76"/>
        <v>2.7316976789924749E-12</v>
      </c>
      <c r="FI86" s="59">
        <f t="shared" si="77"/>
        <v>293.33333333333604</v>
      </c>
      <c r="FJ86" s="59">
        <f ca="1">AVERAGE(OFFSET($FI$3,0,0,'Données projet'!$E$16+1,1))-AVERAGE(OFFSET($H$3,0,0,'Données projet'!$E$16+1,1))</f>
        <v>211.14768428403215</v>
      </c>
      <c r="FK86" s="59">
        <f t="shared" si="102"/>
        <v>350.7800157534798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29.074023138925579</v>
      </c>
      <c r="FR86" s="21">
        <f>EXP(-LN(2)/25)*FR85+(1-EXP(-LN(2)/25))/(LN(2)/25)*Calculateur!FM86*Calculateur!FO86*VLOOKUP('Données projet'!$B$16,Paramètres!$A$1:$I$89,3,0)*0.475*44/12</f>
        <v>4.9492582707795467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34.023281409705127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73.382400000000075</v>
      </c>
      <c r="D87" s="11">
        <f t="shared" si="86"/>
        <v>20.511105942035563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724.7919756929067</v>
      </c>
      <c r="H87" s="66">
        <f t="shared" si="56"/>
        <v>456.86452284904533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4</v>
      </c>
      <c r="N87" s="13">
        <f>IF('Données projet'!$A$36&gt;35,N86+M87-V86,IF(A87&lt;'Données projet'!$A$36,$K$205^A87,IF(A87='Données projet'!$A$36,'Données projet'!$B$36,N86+M87-V86)))</f>
        <v>263.00000000000006</v>
      </c>
      <c r="O87" s="13">
        <f>N87*VLOOKUP('Données projet'!$B$9,Paramètres!$A$1:$I$89,3,0)*VLOOKUP('Données projet'!$B$9,Paramètres!$A$1:$I$89,5,0)</f>
        <v>229.75680000000011</v>
      </c>
      <c r="P87" s="13">
        <f t="shared" si="87"/>
        <v>56.230092767727569</v>
      </c>
      <c r="Q87" s="20">
        <f t="shared" si="54"/>
        <v>498.09383823712568</v>
      </c>
      <c r="R87" s="59">
        <f t="shared" si="55"/>
        <v>791.427171570459</v>
      </c>
      <c r="S87" s="59">
        <f ca="1">AVERAGE(OFFSET($R$3,0,0,'Données projet'!$E$9+1,1))-AVERAGE(OFFSET($H$3,0,0,'Données projet'!$E$9+1,1))</f>
        <v>252.49539407921907</v>
      </c>
      <c r="T87" s="59">
        <f t="shared" si="88"/>
        <v>263.36387286233929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60.385459305940998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60.385459305940998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10.41</v>
      </c>
      <c r="AI87" s="13">
        <f>IF('Données projet'!$A$62&gt;35,AI86+AH87-AQ86,IF(A87&lt;'Données projet'!$A$62,$AF$205^A87,IF(A87='Données projet'!$A$62,'Données projet'!$B$62,AI86+AH87-AQ86)))</f>
        <v>377.78</v>
      </c>
      <c r="AJ87" s="13">
        <f>AI87*VLOOKUP('Données projet'!$B$10,Paramètres!$A$1:$I$89,3,0)*VLOOKUP('Données projet'!$B$10,Paramètres!$A$1:$I$89,5,0)</f>
        <v>341.81534399999998</v>
      </c>
      <c r="AK87" s="13">
        <f t="shared" si="89"/>
        <v>79.874891668491202</v>
      </c>
      <c r="AL87" s="20">
        <f t="shared" si="58"/>
        <v>734.44382712262211</v>
      </c>
      <c r="AM87" s="59">
        <f t="shared" si="59"/>
        <v>1027.7771604559555</v>
      </c>
      <c r="AN87" s="59">
        <f ca="1">AVERAGE(OFFSET($AM$3,0,0,'Données projet'!$E$10+1,1))-AVERAGE(OFFSET($H$3,0,0,'Données projet'!$E$10+1,1))</f>
        <v>370.05613271587413</v>
      </c>
      <c r="AO87" s="59">
        <f t="shared" si="90"/>
        <v>183.24480056442525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103.39654498854341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103.39654498854341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10.41</v>
      </c>
      <c r="BD87" s="12">
        <f>IF('Données projet'!$A$88&gt;35,BD86+BC87-BL86,IF(A87&lt;'Données projet'!$A$88,$BA$205^A87,IF(A87='Données projet'!$A$88,'Données projet'!$B$88,BD86+BC87-BL86)))</f>
        <v>377.78</v>
      </c>
      <c r="BE87" s="13">
        <f>BD87*VLOOKUP('Données projet'!$B$11,Paramètres!$A$1:$I$89,3,0)*VLOOKUP('Données projet'!$B$11,Paramètres!$A$1:$I$89,5,0)</f>
        <v>383.06891999999999</v>
      </c>
      <c r="BF87" s="13">
        <f t="shared" si="91"/>
        <v>88.335556417741373</v>
      </c>
      <c r="BG87" s="20">
        <f t="shared" si="61"/>
        <v>821.02946309423294</v>
      </c>
      <c r="BH87" s="59">
        <f t="shared" si="62"/>
        <v>1114.3627964275663</v>
      </c>
      <c r="BI87" s="59">
        <f ca="1">AVERAGE(OFFSET($BH$3,0,0,'Données projet'!$E$11+1,1))-AVERAGE(OFFSET($H$3,0,0,'Données projet'!$E$11+1,1))</f>
        <v>428.72181435671394</v>
      </c>
      <c r="BJ87" s="59">
        <f t="shared" si="92"/>
        <v>211.84936043087572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115.8754383492297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115.8754383492297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367.99999999999972</v>
      </c>
      <c r="BZ87" s="13">
        <f>BY87*VLOOKUP('Données projet'!$B$12,Paramètres!$A$1:$I$89,3,0)*VLOOKUP('Données projet'!$B$12,Paramètres!$A$1:$I$89,5,0)</f>
        <v>292.78079999999977</v>
      </c>
      <c r="CA87" s="13">
        <f t="shared" si="93"/>
        <v>69.660903052386217</v>
      </c>
      <c r="CB87" s="20">
        <f t="shared" si="64"/>
        <v>631.25263281623893</v>
      </c>
      <c r="CC87" s="59">
        <f t="shared" si="65"/>
        <v>924.58596614957219</v>
      </c>
      <c r="CD87" s="59">
        <f ca="1">AVERAGE(OFFSET($CC$3,0,0,'Données projet'!$E$12+1,1))-AVERAGE(OFFSET($H$3,0,0,'Données projet'!$E$12+1,1))</f>
        <v>296.737543892524</v>
      </c>
      <c r="CE87" s="59">
        <f t="shared" si="94"/>
        <v>296.38358650317099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56.938718596835606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56.938718596835606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9.6</v>
      </c>
      <c r="CT87" s="12">
        <f>IF('Données projet'!$A$140&gt;35,CT86+CS87-DB86,IF(A87&lt;'Données projet'!$A$140,$CQ$205^A87,IF(A87='Données projet'!$A$140,'Données projet'!$B$140,CT86+CS87-DB86)))</f>
        <v>428.4</v>
      </c>
      <c r="CU87" s="17">
        <f>CT87*VLOOKUP('Données projet'!$B$13,Paramètres!$A$1:$I$89,3,0)*VLOOKUP('Données projet'!$B$13,Paramètres!$A$1:$I$89,5,0)</f>
        <v>367.56720000000001</v>
      </c>
      <c r="CV87" s="13">
        <f t="shared" si="95"/>
        <v>85.169405771799362</v>
      </c>
      <c r="CW87" s="20">
        <f t="shared" si="67"/>
        <v>788.5162550525506</v>
      </c>
      <c r="CX87" s="59">
        <f t="shared" si="68"/>
        <v>1081.8495883858839</v>
      </c>
      <c r="CY87" s="59">
        <f ca="1">AVERAGE(OFFSET($CX$3,0,0,'Données projet'!$E$13+1,1))-AVERAGE(OFFSET($H$3,0,0,'Données projet'!$E$13+1,1))</f>
        <v>391.93999504334352</v>
      </c>
      <c r="CZ87" s="59">
        <f t="shared" si="96"/>
        <v>215.4484906985528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107.89794522574292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107.89794522574292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367.99999999999972</v>
      </c>
      <c r="DP87" s="17">
        <f>DO87*VLOOKUP('Données projet'!$B$14,Paramètres!$A$1:$I$89,3,0)*VLOOKUP('Données projet'!$B$14,Paramètres!$A$1:$I$89,5,0)</f>
        <v>269.8175999999998</v>
      </c>
      <c r="DQ87" s="13">
        <f t="shared" si="97"/>
        <v>64.810557882019467</v>
      </c>
      <c r="DR87" s="20">
        <f t="shared" si="70"/>
        <v>582.81070831118348</v>
      </c>
      <c r="DS87" s="59">
        <f t="shared" si="71"/>
        <v>876.14404164451685</v>
      </c>
      <c r="DT87" s="59">
        <f ca="1">AVERAGE(OFFSET($DS$3,0,0,'Données projet'!$E$14+1,1))-AVERAGE(OFFSET($H$3,0,0,'Données projet'!$E$14+1,1))</f>
        <v>267.92147257573157</v>
      </c>
      <c r="DU87" s="59">
        <f t="shared" si="98"/>
        <v>269.06662611892438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42.57238264306504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42.57238264306504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0.8600000000003547</v>
      </c>
      <c r="EK87" s="17">
        <f>EJ87*VLOOKUP('Données projet'!$B$15,Paramètres!$A$1:$I$89,3,0)*VLOOKUP('Données projet'!$B$15,Paramètres!$A$1:$I$89,5,0)</f>
        <v>0.48074000000019829</v>
      </c>
      <c r="EL87" s="13">
        <f t="shared" si="99"/>
        <v>0.24126147010950588</v>
      </c>
      <c r="EM87" s="20">
        <f t="shared" si="73"/>
        <v>1.2574858937744013</v>
      </c>
      <c r="EN87" s="59">
        <f t="shared" si="74"/>
        <v>294.59081922710772</v>
      </c>
      <c r="EO87" s="59">
        <f ca="1">AVERAGE(OFFSET($EN$3,0,0,'Données projet'!$E$15+1,1))-AVERAGE(OFFSET($H$3,0,0,'Données projet'!$E$15+1,1))</f>
        <v>326.29985515186428</v>
      </c>
      <c r="EP87" s="59">
        <f t="shared" si="100"/>
        <v>437.68177084535927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209.34985179959426</v>
      </c>
      <c r="EW87" s="21">
        <f>EXP(-LN(2)/25)*EW86+(1-EXP(-LN(2)/25))/(LN(2)/25)*Calculateur!ER87*Calculateur!ET87*VLOOKUP('Données projet'!$B$15,Paramètres!$A$1:$I$89,3,0)*0.475*44/12</f>
        <v>11.315638974285596</v>
      </c>
      <c r="EX87" s="21">
        <f>EXP(-LN(2)/2)*EX86+(1-EXP(-LN(2)/2))/(LN(2)/2)*ER87*EU87*VLOOKUP('Données projet'!$B$15,Paramètres!$A$1:$I$89,3,0)*0.475*44/12</f>
        <v>5.5128375371010016E-9</v>
      </c>
      <c r="EY87" s="22">
        <f t="shared" si="75"/>
        <v>220.66549077939271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1.7053025658242404E-13</v>
      </c>
      <c r="FF87" s="17">
        <f>FE87*VLOOKUP('Données projet'!$B$16,Paramètres!$A$1:$I$89,3,0)*VLOOKUP('Données projet'!$B$16,Paramètres!$A$1:$I$89,5,0)</f>
        <v>9.7631982498569413E-14</v>
      </c>
      <c r="FG87" s="13">
        <f t="shared" si="101"/>
        <v>1.4708068762530911E-12</v>
      </c>
      <c r="FH87" s="20">
        <f t="shared" si="76"/>
        <v>2.7316976789924749E-12</v>
      </c>
      <c r="FI87" s="59">
        <f t="shared" si="77"/>
        <v>293.33333333333604</v>
      </c>
      <c r="FJ87" s="59">
        <f ca="1">AVERAGE(OFFSET($FI$3,0,0,'Données projet'!$E$16+1,1))-AVERAGE(OFFSET($H$3,0,0,'Données projet'!$E$16+1,1))</f>
        <v>211.14768428403215</v>
      </c>
      <c r="FK87" s="59">
        <f t="shared" si="102"/>
        <v>350.7800157534798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28.503899278574334</v>
      </c>
      <c r="FR87" s="21">
        <f>EXP(-LN(2)/25)*FR86+(1-EXP(-LN(2)/25))/(LN(2)/25)*Calculateur!FM87*Calculateur!FO87*VLOOKUP('Données projet'!$B$16,Paramètres!$A$1:$I$89,3,0)*0.475*44/12</f>
        <v>4.8139205430948993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33.317819821669232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74.256000000000071</v>
      </c>
      <c r="D88" s="11">
        <f t="shared" si="86"/>
        <v>20.726714411291841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733.19990071874463</v>
      </c>
      <c r="H88" s="66">
        <f t="shared" si="56"/>
        <v>458.76156093300006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267</v>
      </c>
      <c r="L88" s="12">
        <f>VLOOKUP(A88,'Données projet'!$A$35:$I$55,9,0)</f>
        <v>4</v>
      </c>
      <c r="M88" s="12">
        <f t="array" ref="M88">INDEX(L:L,MIN(IF(ISNUMBER(L88:L284),ROW(L88:L284),"")))</f>
        <v>4</v>
      </c>
      <c r="N88" s="13">
        <f>IF('Données projet'!$A$36&gt;35,N87+M88-V87,IF(A88&lt;'Données projet'!$A$36,$K$205^A88,IF(A88='Données projet'!$A$36,'Données projet'!$B$36,N87+M88-V87)))</f>
        <v>267.00000000000006</v>
      </c>
      <c r="O88" s="13">
        <f>N88*VLOOKUP('Données projet'!$B$9,Paramètres!$A$1:$I$89,3,0)*VLOOKUP('Données projet'!$B$9,Paramètres!$A$1:$I$89,5,0)</f>
        <v>233.25120000000007</v>
      </c>
      <c r="P88" s="13">
        <f t="shared" si="87"/>
        <v>56.985091661350914</v>
      </c>
      <c r="Q88" s="20">
        <f t="shared" si="54"/>
        <v>505.49487464351961</v>
      </c>
      <c r="R88" s="59">
        <f t="shared" si="55"/>
        <v>798.82820797685292</v>
      </c>
      <c r="S88" s="59">
        <f ca="1">AVERAGE(OFFSET($R$3,0,0,'Données projet'!$E$9+1,1))-AVERAGE(OFFSET($H$3,0,0,'Données projet'!$E$9+1,1))</f>
        <v>252.49539407921907</v>
      </c>
      <c r="T88" s="59">
        <f t="shared" si="88"/>
        <v>263.36387286233929</v>
      </c>
      <c r="U88" s="15">
        <f>IF(ISNA(VLOOKUP(A88,'Données projet'!$A$35:$I$55,3,0)),0,VLOOKUP(A88,'Données projet'!$A$35:$I$55,3,0))</f>
        <v>15</v>
      </c>
      <c r="V88" s="15">
        <f>IF(ISNA(VLOOKUP(A88,'Données projet'!$A$35:$I$55,4,0)),0,VLOOKUP(A88,'Données projet'!$A$35:$I$55,4,0))</f>
        <v>16</v>
      </c>
      <c r="W88" s="16">
        <f>IF(ISNA(VLOOKUP(A88,'Données projet'!$A$35:$I$55,5,0)),0%,VLOOKUP(A88,'Données projet'!$A$35:$I$55,5,0)*VLOOKUP('Données projet'!$B$9,Paramètres!$A$1:$I$89,7,0))</f>
        <v>0.43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65.845621074537561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65.845621074537561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10.41</v>
      </c>
      <c r="AI88" s="13">
        <f>IF('Données projet'!$A$62&gt;35,AI87+AH88-AQ87,IF(A88&lt;'Données projet'!$A$62,$AF$205^A88,IF(A88='Données projet'!$A$62,'Données projet'!$B$62,AI87+AH88-AQ87)))</f>
        <v>388.19</v>
      </c>
      <c r="AJ88" s="13">
        <f>AI88*VLOOKUP('Données projet'!$B$10,Paramètres!$A$1:$I$89,3,0)*VLOOKUP('Données projet'!$B$10,Paramètres!$A$1:$I$89,5,0)</f>
        <v>351.23431199999999</v>
      </c>
      <c r="AK88" s="13">
        <f t="shared" si="89"/>
        <v>81.816616800686063</v>
      </c>
      <c r="AL88" s="20">
        <f t="shared" si="58"/>
        <v>754.23036766119492</v>
      </c>
      <c r="AM88" s="59">
        <f t="shared" si="59"/>
        <v>1047.5637009945283</v>
      </c>
      <c r="AN88" s="59">
        <f ca="1">AVERAGE(OFFSET($AM$3,0,0,'Données projet'!$E$10+1,1))-AVERAGE(OFFSET($H$3,0,0,'Données projet'!$E$10+1,1))</f>
        <v>370.05613271587413</v>
      </c>
      <c r="AO88" s="59">
        <f t="shared" si="90"/>
        <v>183.24480056442525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101.36900180698331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101.36900180698331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10.41</v>
      </c>
      <c r="BD88" s="12">
        <f>IF('Données projet'!$A$88&gt;35,BD87+BC88-BL87,IF(A88&lt;'Données projet'!$A$88,$BA$205^A88,IF(A88='Données projet'!$A$88,'Données projet'!$B$88,BD87+BC88-BL87)))</f>
        <v>388.19</v>
      </c>
      <c r="BE88" s="13">
        <f>BD88*VLOOKUP('Données projet'!$B$11,Paramètres!$A$1:$I$89,3,0)*VLOOKUP('Données projet'!$B$11,Paramètres!$A$1:$I$89,5,0)</f>
        <v>393.62466000000001</v>
      </c>
      <c r="BF88" s="13">
        <f t="shared" si="91"/>
        <v>90.482956763204399</v>
      </c>
      <c r="BG88" s="20">
        <f t="shared" si="61"/>
        <v>843.15409919591423</v>
      </c>
      <c r="BH88" s="59">
        <f t="shared" si="62"/>
        <v>1136.4874325292476</v>
      </c>
      <c r="BI88" s="59">
        <f ca="1">AVERAGE(OFFSET($BH$3,0,0,'Données projet'!$E$11+1,1))-AVERAGE(OFFSET($H$3,0,0,'Données projet'!$E$11+1,1))</f>
        <v>428.72181435671394</v>
      </c>
      <c r="BJ88" s="59">
        <f t="shared" si="92"/>
        <v>211.84936043087572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113.60319168023992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113.60319168023992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367.99999999999972</v>
      </c>
      <c r="BZ88" s="13">
        <f>BY88*VLOOKUP('Données projet'!$B$12,Paramètres!$A$1:$I$89,3,0)*VLOOKUP('Données projet'!$B$12,Paramètres!$A$1:$I$89,5,0)</f>
        <v>292.78079999999977</v>
      </c>
      <c r="CA88" s="13">
        <f t="shared" si="93"/>
        <v>69.660903052386217</v>
      </c>
      <c r="CB88" s="20">
        <f t="shared" si="64"/>
        <v>631.25263281623893</v>
      </c>
      <c r="CC88" s="59">
        <f t="shared" si="65"/>
        <v>924.58596614957219</v>
      </c>
      <c r="CD88" s="59">
        <f ca="1">AVERAGE(OFFSET($CC$3,0,0,'Données projet'!$E$12+1,1))-AVERAGE(OFFSET($H$3,0,0,'Données projet'!$E$12+1,1))</f>
        <v>296.737543892524</v>
      </c>
      <c r="CE88" s="59">
        <f t="shared" si="94"/>
        <v>296.38358650317099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55.822185054340778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55.822185054340778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>
        <f>VLOOKUP(A88,'Données projet'!$A$139:$I$159,2,0)</f>
        <v>438</v>
      </c>
      <c r="CR88" s="12">
        <f>VLOOKUP(A88,'Données projet'!$A$139:$I$159,9,0)</f>
        <v>9.6</v>
      </c>
      <c r="CS88" s="12">
        <f t="array" ref="CS88">INDEX(CR:CR,MIN(IF(ISNUMBER(CR88:CR284),ROW(CR88:CR284),"")))</f>
        <v>9.6</v>
      </c>
      <c r="CT88" s="12">
        <f>IF('Données projet'!$A$140&gt;35,CT87+CS88-DB87,IF(A88&lt;'Données projet'!$A$140,$CQ$205^A88,IF(A88='Données projet'!$A$140,'Données projet'!$B$140,CT87+CS88-DB87)))</f>
        <v>438</v>
      </c>
      <c r="CU88" s="17">
        <f>CT88*VLOOKUP('Données projet'!$B$13,Paramètres!$A$1:$I$89,3,0)*VLOOKUP('Données projet'!$B$13,Paramètres!$A$1:$I$89,5,0)</f>
        <v>375.80400000000003</v>
      </c>
      <c r="CV88" s="13">
        <f t="shared" si="95"/>
        <v>86.853626438441253</v>
      </c>
      <c r="CW88" s="20">
        <f t="shared" si="67"/>
        <v>805.79536604695193</v>
      </c>
      <c r="CX88" s="59">
        <f t="shared" si="68"/>
        <v>1099.1286993802853</v>
      </c>
      <c r="CY88" s="59">
        <f ca="1">AVERAGE(OFFSET($CX$3,0,0,'Données projet'!$E$13+1,1))-AVERAGE(OFFSET($H$3,0,0,'Données projet'!$E$13+1,1))</f>
        <v>391.93999504334352</v>
      </c>
      <c r="CZ88" s="59">
        <f t="shared" si="96"/>
        <v>215.4484906985528</v>
      </c>
      <c r="DA88" s="15">
        <f>IF(ISNA(VLOOKUP(A88,'Données projet'!$A$139:$I$159,3,0)),0,VLOOKUP(A88,'Données projet'!$A$139:$I$159,3,0))</f>
        <v>13</v>
      </c>
      <c r="DB88" s="15">
        <f>IF(ISNA(VLOOKUP(A88,'Données projet'!$A$139:$I$159,4,0)),0,VLOOKUP(A88,'Données projet'!$A$139:$I$159,4,0))</f>
        <v>33</v>
      </c>
      <c r="DC88" s="16">
        <f>IF(ISNA(VLOOKUP(A88,'Données projet'!$A$139:$I$159,5,0)),0%,VLOOKUP(A88,'Données projet'!$A$139:$I$159,5,0)*VLOOKUP('Données projet'!$B$13,Paramètres!$A$1:$I$89,7,0))</f>
        <v>0.53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122.37128514394523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122.37128514394523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367.99999999999972</v>
      </c>
      <c r="DP88" s="17">
        <f>DO88*VLOOKUP('Données projet'!$B$14,Paramètres!$A$1:$I$89,3,0)*VLOOKUP('Données projet'!$B$14,Paramètres!$A$1:$I$89,5,0)</f>
        <v>269.8175999999998</v>
      </c>
      <c r="DQ88" s="13">
        <f t="shared" si="97"/>
        <v>64.810557882019467</v>
      </c>
      <c r="DR88" s="20">
        <f t="shared" si="70"/>
        <v>582.81070831118348</v>
      </c>
      <c r="DS88" s="59">
        <f t="shared" si="71"/>
        <v>876.14404164451685</v>
      </c>
      <c r="DT88" s="59">
        <f ca="1">AVERAGE(OFFSET($DS$3,0,0,'Données projet'!$E$14+1,1))-AVERAGE(OFFSET($H$3,0,0,'Données projet'!$E$14+1,1))</f>
        <v>267.92147257573157</v>
      </c>
      <c r="DU88" s="59">
        <f t="shared" si="98"/>
        <v>269.06662611892438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41.73756418602396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41.73756418602396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0.8600000000003547</v>
      </c>
      <c r="EK88" s="17">
        <f>EJ88*VLOOKUP('Données projet'!$B$15,Paramètres!$A$1:$I$89,3,0)*VLOOKUP('Données projet'!$B$15,Paramètres!$A$1:$I$89,5,0)</f>
        <v>0.48074000000019829</v>
      </c>
      <c r="EL88" s="13">
        <f t="shared" si="99"/>
        <v>0.24126147010950588</v>
      </c>
      <c r="EM88" s="20">
        <f t="shared" si="73"/>
        <v>1.2574858937744013</v>
      </c>
      <c r="EN88" s="59">
        <f t="shared" si="74"/>
        <v>294.59081922710772</v>
      </c>
      <c r="EO88" s="59">
        <f ca="1">AVERAGE(OFFSET($EN$3,0,0,'Données projet'!$E$15+1,1))-AVERAGE(OFFSET($H$3,0,0,'Données projet'!$E$15+1,1))</f>
        <v>326.29985515186428</v>
      </c>
      <c r="EP88" s="59">
        <f t="shared" si="100"/>
        <v>437.68177084535927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205.24462889660541</v>
      </c>
      <c r="EW88" s="21">
        <f>EXP(-LN(2)/25)*EW87+(1-EXP(-LN(2)/25))/(LN(2)/25)*Calculateur!ER88*Calculateur!ET88*VLOOKUP('Données projet'!$B$15,Paramètres!$A$1:$I$89,3,0)*0.475*44/12</f>
        <v>11.006212231470165</v>
      </c>
      <c r="EX88" s="21">
        <f>EXP(-LN(2)/2)*EX87+(1-EXP(-LN(2)/2))/(LN(2)/2)*ER88*EU88*VLOOKUP('Données projet'!$B$15,Paramètres!$A$1:$I$89,3,0)*0.475*44/12</f>
        <v>3.8981648060638634E-9</v>
      </c>
      <c r="EY88" s="22">
        <f t="shared" si="75"/>
        <v>216.25084113197371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1.7053025658242404E-13</v>
      </c>
      <c r="FF88" s="17">
        <f>FE88*VLOOKUP('Données projet'!$B$16,Paramètres!$A$1:$I$89,3,0)*VLOOKUP('Données projet'!$B$16,Paramètres!$A$1:$I$89,5,0)</f>
        <v>9.7631982498569413E-14</v>
      </c>
      <c r="FG88" s="13">
        <f t="shared" si="101"/>
        <v>1.4708068762530911E-12</v>
      </c>
      <c r="FH88" s="20">
        <f t="shared" si="76"/>
        <v>2.7316976789924749E-12</v>
      </c>
      <c r="FI88" s="59">
        <f t="shared" si="77"/>
        <v>293.33333333333604</v>
      </c>
      <c r="FJ88" s="59">
        <f ca="1">AVERAGE(OFFSET($FI$3,0,0,'Données projet'!$E$16+1,1))-AVERAGE(OFFSET($H$3,0,0,'Données projet'!$E$16+1,1))</f>
        <v>211.14768428403215</v>
      </c>
      <c r="FK88" s="59">
        <f t="shared" si="102"/>
        <v>350.7800157534798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27.944955199383358</v>
      </c>
      <c r="FR88" s="21">
        <f>EXP(-LN(2)/25)*FR87+(1-EXP(-LN(2)/25))/(LN(2)/25)*Calculateur!FM88*Calculateur!FO88*VLOOKUP('Données projet'!$B$16,Paramètres!$A$1:$I$89,3,0)*0.475*44/12</f>
        <v>4.6822836326908899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32.627238832074248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75.129600000000067</v>
      </c>
      <c r="D89" s="11">
        <f t="shared" si="86"/>
        <v>20.942027818647599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741.6055480737715</v>
      </c>
      <c r="H89" s="66">
        <f t="shared" si="56"/>
        <v>460.65808511747798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3.4</v>
      </c>
      <c r="N89" s="13">
        <f>IF('Données projet'!$A$36&gt;35,N88+M89-V88,IF(A89&lt;'Données projet'!$A$36,$K$205^A89,IF(A89='Données projet'!$A$36,'Données projet'!$B$36,N88+M89-V88)))</f>
        <v>254.40000000000003</v>
      </c>
      <c r="O89" s="13">
        <f>N89*VLOOKUP('Données projet'!$B$9,Paramètres!$A$1:$I$89,3,0)*VLOOKUP('Données projet'!$B$9,Paramètres!$A$1:$I$89,5,0)</f>
        <v>222.24384000000006</v>
      </c>
      <c r="P89" s="13">
        <f t="shared" si="87"/>
        <v>54.602284860895942</v>
      </c>
      <c r="Q89" s="20">
        <f t="shared" si="54"/>
        <v>482.17366746606058</v>
      </c>
      <c r="R89" s="59">
        <f t="shared" si="55"/>
        <v>775.50700079939384</v>
      </c>
      <c r="S89" s="59">
        <f ca="1">AVERAGE(OFFSET($R$3,0,0,'Données projet'!$E$9+1,1))-AVERAGE(OFFSET($H$3,0,0,'Données projet'!$E$9+1,1))</f>
        <v>252.49539407921907</v>
      </c>
      <c r="T89" s="59">
        <f t="shared" si="88"/>
        <v>263.36387286233929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64.554428607129083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64.554428607129083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10.41</v>
      </c>
      <c r="AI89" s="13">
        <f>IF('Données projet'!$A$62&gt;35,AI88+AH89-AQ88,IF(A89&lt;'Données projet'!$A$62,$AF$205^A89,IF(A89='Données projet'!$A$62,'Données projet'!$B$62,AI88+AH89-AQ88)))</f>
        <v>398.6</v>
      </c>
      <c r="AJ89" s="13">
        <f>AI89*VLOOKUP('Données projet'!$B$10,Paramètres!$A$1:$I$89,3,0)*VLOOKUP('Données projet'!$B$10,Paramètres!$A$1:$I$89,5,0)</f>
        <v>360.65328</v>
      </c>
      <c r="AK89" s="13">
        <f t="shared" si="89"/>
        <v>83.752289576604468</v>
      </c>
      <c r="AL89" s="20">
        <f t="shared" si="58"/>
        <v>774.006367012586</v>
      </c>
      <c r="AM89" s="59">
        <f t="shared" si="59"/>
        <v>1067.3397003459193</v>
      </c>
      <c r="AN89" s="59">
        <f ca="1">AVERAGE(OFFSET($AM$3,0,0,'Données projet'!$E$10+1,1))-AVERAGE(OFFSET($H$3,0,0,'Données projet'!$E$10+1,1))</f>
        <v>370.05613271587413</v>
      </c>
      <c r="AO89" s="59">
        <f t="shared" si="90"/>
        <v>183.24480056442525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99.381217510534356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99.381217510534356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10.41</v>
      </c>
      <c r="BD89" s="12">
        <f>IF('Données projet'!$A$88&gt;35,BD88+BC89-BL88,IF(A89&lt;'Données projet'!$A$88,$BA$205^A89,IF(A89='Données projet'!$A$88,'Données projet'!$B$88,BD88+BC89-BL88)))</f>
        <v>398.6</v>
      </c>
      <c r="BE89" s="13">
        <f>BD89*VLOOKUP('Données projet'!$B$11,Paramètres!$A$1:$I$89,3,0)*VLOOKUP('Données projet'!$B$11,Paramètres!$A$1:$I$89,5,0)</f>
        <v>404.18040000000008</v>
      </c>
      <c r="BF89" s="13">
        <f t="shared" si="91"/>
        <v>92.623663662853104</v>
      </c>
      <c r="BG89" s="20">
        <f t="shared" si="61"/>
        <v>865.26707754613597</v>
      </c>
      <c r="BH89" s="59">
        <f t="shared" si="62"/>
        <v>1158.6004108794693</v>
      </c>
      <c r="BI89" s="59">
        <f ca="1">AVERAGE(OFFSET($BH$3,0,0,'Données projet'!$E$11+1,1))-AVERAGE(OFFSET($H$3,0,0,'Données projet'!$E$11+1,1))</f>
        <v>428.72181435671394</v>
      </c>
      <c r="BJ89" s="59">
        <f t="shared" si="92"/>
        <v>211.84936043087572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111.37550238249541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111.37550238249541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367.99999999999972</v>
      </c>
      <c r="BZ89" s="13">
        <f>BY89*VLOOKUP('Données projet'!$B$12,Paramètres!$A$1:$I$89,3,0)*VLOOKUP('Données projet'!$B$12,Paramètres!$A$1:$I$89,5,0)</f>
        <v>292.78079999999977</v>
      </c>
      <c r="CA89" s="13">
        <f t="shared" si="93"/>
        <v>69.660903052386217</v>
      </c>
      <c r="CB89" s="20">
        <f t="shared" si="64"/>
        <v>631.25263281623893</v>
      </c>
      <c r="CC89" s="59">
        <f t="shared" si="65"/>
        <v>924.58596614957219</v>
      </c>
      <c r="CD89" s="59">
        <f ca="1">AVERAGE(OFFSET($CC$3,0,0,'Données projet'!$E$12+1,1))-AVERAGE(OFFSET($H$3,0,0,'Données projet'!$E$12+1,1))</f>
        <v>296.737543892524</v>
      </c>
      <c r="CE89" s="59">
        <f t="shared" si="94"/>
        <v>296.38358650317099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54.727546053596058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54.727546053596058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9.1999999999999993</v>
      </c>
      <c r="CT89" s="12">
        <f>IF('Données projet'!$A$140&gt;35,CT88+CS89-DB88,IF(A89&lt;'Données projet'!$A$140,$CQ$205^A89,IF(A89='Données projet'!$A$140,'Données projet'!$B$140,CT88+CS89-DB88)))</f>
        <v>414.2</v>
      </c>
      <c r="CU89" s="17">
        <f>CT89*VLOOKUP('Données projet'!$B$13,Paramètres!$A$1:$I$89,3,0)*VLOOKUP('Données projet'!$B$13,Paramètres!$A$1:$I$89,5,0)</f>
        <v>355.3836</v>
      </c>
      <c r="CV89" s="13">
        <f t="shared" si="95"/>
        <v>82.670063642426967</v>
      </c>
      <c r="CW89" s="20">
        <f t="shared" si="67"/>
        <v>762.94346417722682</v>
      </c>
      <c r="CX89" s="59">
        <f t="shared" si="68"/>
        <v>1056.2767975105601</v>
      </c>
      <c r="CY89" s="59">
        <f ca="1">AVERAGE(OFFSET($CX$3,0,0,'Données projet'!$E$13+1,1))-AVERAGE(OFFSET($H$3,0,0,'Données projet'!$E$13+1,1))</f>
        <v>391.93999504334352</v>
      </c>
      <c r="CZ89" s="59">
        <f t="shared" si="96"/>
        <v>215.4484906985528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119.9716588813864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119.9716588813864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367.99999999999972</v>
      </c>
      <c r="DP89" s="17">
        <f>DO89*VLOOKUP('Données projet'!$B$14,Paramètres!$A$1:$I$89,3,0)*VLOOKUP('Données projet'!$B$14,Paramètres!$A$1:$I$89,5,0)</f>
        <v>269.8175999999998</v>
      </c>
      <c r="DQ89" s="13">
        <f t="shared" si="97"/>
        <v>64.810557882019467</v>
      </c>
      <c r="DR89" s="20">
        <f t="shared" si="70"/>
        <v>582.81070831118348</v>
      </c>
      <c r="DS89" s="59">
        <f t="shared" si="71"/>
        <v>876.14404164451685</v>
      </c>
      <c r="DT89" s="59">
        <f ca="1">AVERAGE(OFFSET($DS$3,0,0,'Données projet'!$E$14+1,1))-AVERAGE(OFFSET($H$3,0,0,'Données projet'!$E$14+1,1))</f>
        <v>267.92147257573157</v>
      </c>
      <c r="DU89" s="59">
        <f t="shared" si="98"/>
        <v>269.06662611892438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40.919116009736477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40.919116009736477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0.8600000000003547</v>
      </c>
      <c r="EK89" s="17">
        <f>EJ89*VLOOKUP('Données projet'!$B$15,Paramètres!$A$1:$I$89,3,0)*VLOOKUP('Données projet'!$B$15,Paramètres!$A$1:$I$89,5,0)</f>
        <v>0.48074000000019829</v>
      </c>
      <c r="EL89" s="13">
        <f t="shared" si="99"/>
        <v>0.24126147010950588</v>
      </c>
      <c r="EM89" s="20">
        <f t="shared" si="73"/>
        <v>1.2574858937744013</v>
      </c>
      <c r="EN89" s="59">
        <f t="shared" si="74"/>
        <v>294.59081922710772</v>
      </c>
      <c r="EO89" s="59">
        <f ca="1">AVERAGE(OFFSET($EN$3,0,0,'Données projet'!$E$15+1,1))-AVERAGE(OFFSET($H$3,0,0,'Données projet'!$E$15+1,1))</f>
        <v>326.29985515186428</v>
      </c>
      <c r="EP89" s="59">
        <f t="shared" si="100"/>
        <v>437.68177084535927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201.21990691080543</v>
      </c>
      <c r="EW89" s="21">
        <f>EXP(-LN(2)/25)*EW88+(1-EXP(-LN(2)/25))/(LN(2)/25)*Calculateur!ER89*Calculateur!ET89*VLOOKUP('Données projet'!$B$15,Paramètres!$A$1:$I$89,3,0)*0.475*44/12</f>
        <v>10.705246779209068</v>
      </c>
      <c r="EX89" s="21">
        <f>EXP(-LN(2)/2)*EX88+(1-EXP(-LN(2)/2))/(LN(2)/2)*ER89*EU89*VLOOKUP('Données projet'!$B$15,Paramètres!$A$1:$I$89,3,0)*0.475*44/12</f>
        <v>2.7564187685505008E-9</v>
      </c>
      <c r="EY89" s="22">
        <f t="shared" si="75"/>
        <v>211.92515369277092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1.7053025658242404E-13</v>
      </c>
      <c r="FF89" s="17">
        <f>FE89*VLOOKUP('Données projet'!$B$16,Paramètres!$A$1:$I$89,3,0)*VLOOKUP('Données projet'!$B$16,Paramètres!$A$1:$I$89,5,0)</f>
        <v>9.7631982498569413E-14</v>
      </c>
      <c r="FG89" s="13">
        <f t="shared" si="101"/>
        <v>1.4708068762530911E-12</v>
      </c>
      <c r="FH89" s="20">
        <f t="shared" si="76"/>
        <v>2.7316976789924749E-12</v>
      </c>
      <c r="FI89" s="59">
        <f t="shared" si="77"/>
        <v>293.33333333333604</v>
      </c>
      <c r="FJ89" s="59">
        <f ca="1">AVERAGE(OFFSET($FI$3,0,0,'Données projet'!$E$16+1,1))-AVERAGE(OFFSET($H$3,0,0,'Données projet'!$E$16+1,1))</f>
        <v>211.14768428403215</v>
      </c>
      <c r="FK89" s="59">
        <f t="shared" si="102"/>
        <v>350.7800157534798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27.396971672663092</v>
      </c>
      <c r="FR89" s="21">
        <f>EXP(-LN(2)/25)*FR88+(1-EXP(-LN(2)/25))/(LN(2)/25)*Calculateur!FM89*Calculateur!FO89*VLOOKUP('Données projet'!$B$16,Paramètres!$A$1:$I$89,3,0)*0.475*44/12</f>
        <v>4.5542463405243625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31.951218013187454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76.003200000000064</v>
      </c>
      <c r="D90" s="11">
        <f t="shared" si="86"/>
        <v>21.157049992000456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750.00894730667062</v>
      </c>
      <c r="H90" s="66">
        <f t="shared" si="56"/>
        <v>462.55410206940087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3.4</v>
      </c>
      <c r="N90" s="13">
        <f>IF('Données projet'!$A$36&gt;35,N89+M90-V89,IF(A90&lt;'Données projet'!$A$36,$K$205^A90,IF(A90='Données projet'!$A$36,'Données projet'!$B$36,N89+M90-V89)))</f>
        <v>257.8</v>
      </c>
      <c r="O90" s="13">
        <f>N90*VLOOKUP('Données projet'!$B$9,Paramètres!$A$1:$I$89,3,0)*VLOOKUP('Données projet'!$B$9,Paramètres!$A$1:$I$89,5,0)</f>
        <v>225.21408000000005</v>
      </c>
      <c r="P90" s="13">
        <f t="shared" si="87"/>
        <v>55.246590695846493</v>
      </c>
      <c r="Q90" s="20">
        <f t="shared" si="54"/>
        <v>488.46900146193275</v>
      </c>
      <c r="R90" s="59">
        <f t="shared" si="55"/>
        <v>781.80233479526601</v>
      </c>
      <c r="S90" s="59">
        <f ca="1">AVERAGE(OFFSET($R$3,0,0,'Données projet'!$E$9+1,1))-AVERAGE(OFFSET($H$3,0,0,'Données projet'!$E$9+1,1))</f>
        <v>252.49539407921907</v>
      </c>
      <c r="T90" s="59">
        <f t="shared" si="88"/>
        <v>263.36387286233929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63.288555636456842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63.288555636456842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10.41</v>
      </c>
      <c r="AI90" s="13">
        <f>IF('Données projet'!$A$62&gt;35,AI89+AH90-AQ89,IF(A90&lt;'Données projet'!$A$62,$AF$205^A90,IF(A90='Données projet'!$A$62,'Données projet'!$B$62,AI89+AH90-AQ89)))</f>
        <v>409.01000000000005</v>
      </c>
      <c r="AJ90" s="13">
        <f>AI90*VLOOKUP('Données projet'!$B$10,Paramètres!$A$1:$I$89,3,0)*VLOOKUP('Données projet'!$B$10,Paramètres!$A$1:$I$89,5,0)</f>
        <v>370.07224800000006</v>
      </c>
      <c r="AK90" s="13">
        <f t="shared" si="89"/>
        <v>85.682086233509125</v>
      </c>
      <c r="AL90" s="20">
        <f t="shared" si="58"/>
        <v>793.77213212336176</v>
      </c>
      <c r="AM90" s="59">
        <f t="shared" si="59"/>
        <v>1087.1054654566951</v>
      </c>
      <c r="AN90" s="59">
        <f ca="1">AVERAGE(OFFSET($AM$3,0,0,'Données projet'!$E$10+1,1))-AVERAGE(OFFSET($H$3,0,0,'Données projet'!$E$10+1,1))</f>
        <v>370.05613271587413</v>
      </c>
      <c r="AO90" s="59">
        <f t="shared" si="90"/>
        <v>183.24480056442525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97.432412451710064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97.432412451710064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10.41</v>
      </c>
      <c r="BD90" s="12">
        <f>IF('Données projet'!$A$88&gt;35,BD89+BC90-BL89,IF(A90&lt;'Données projet'!$A$88,$BA$205^A90,IF(A90='Données projet'!$A$88,'Données projet'!$B$88,BD89+BC90-BL89)))</f>
        <v>409.01000000000005</v>
      </c>
      <c r="BE90" s="13">
        <f>BD90*VLOOKUP('Données projet'!$B$11,Paramètres!$A$1:$I$89,3,0)*VLOOKUP('Données projet'!$B$11,Paramètres!$A$1:$I$89,5,0)</f>
        <v>414.73614000000009</v>
      </c>
      <c r="BF90" s="13">
        <f t="shared" si="91"/>
        <v>94.757872021698574</v>
      </c>
      <c r="BG90" s="20">
        <f t="shared" si="61"/>
        <v>887.36873760445849</v>
      </c>
      <c r="BH90" s="59">
        <f t="shared" si="62"/>
        <v>1180.7020709377919</v>
      </c>
      <c r="BI90" s="59">
        <f ca="1">AVERAGE(OFFSET($BH$3,0,0,'Données projet'!$E$11+1,1))-AVERAGE(OFFSET($H$3,0,0,'Données projet'!$E$11+1,1))</f>
        <v>428.72181435671394</v>
      </c>
      <c r="BJ90" s="59">
        <f t="shared" si="92"/>
        <v>211.84936043087572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109.19149671312337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109.19149671312337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367.99999999999972</v>
      </c>
      <c r="BZ90" s="13">
        <f>BY90*VLOOKUP('Données projet'!$B$12,Paramètres!$A$1:$I$89,3,0)*VLOOKUP('Données projet'!$B$12,Paramètres!$A$1:$I$89,5,0)</f>
        <v>292.78079999999977</v>
      </c>
      <c r="CA90" s="13">
        <f t="shared" si="93"/>
        <v>69.660903052386217</v>
      </c>
      <c r="CB90" s="20">
        <f t="shared" si="64"/>
        <v>631.25263281623893</v>
      </c>
      <c r="CC90" s="59">
        <f t="shared" si="65"/>
        <v>924.58596614957219</v>
      </c>
      <c r="CD90" s="59">
        <f ca="1">AVERAGE(OFFSET($CC$3,0,0,'Données projet'!$E$12+1,1))-AVERAGE(OFFSET($H$3,0,0,'Données projet'!$E$12+1,1))</f>
        <v>296.737543892524</v>
      </c>
      <c r="CE90" s="59">
        <f t="shared" si="94"/>
        <v>296.38358650317099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53.654372255992079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53.654372255992079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9.1999999999999993</v>
      </c>
      <c r="CT90" s="12">
        <f>IF('Données projet'!$A$140&gt;35,CT89+CS90-DB89,IF(A90&lt;'Données projet'!$A$140,$CQ$205^A90,IF(A90='Données projet'!$A$140,'Données projet'!$B$140,CT89+CS90-DB89)))</f>
        <v>423.4</v>
      </c>
      <c r="CU90" s="17">
        <f>CT90*VLOOKUP('Données projet'!$B$13,Paramètres!$A$1:$I$89,3,0)*VLOOKUP('Données projet'!$B$13,Paramètres!$A$1:$I$89,5,0)</f>
        <v>363.27719999999999</v>
      </c>
      <c r="CV90" s="13">
        <f t="shared" si="95"/>
        <v>84.290472188638873</v>
      </c>
      <c r="CW90" s="20">
        <f t="shared" si="67"/>
        <v>779.51369572854594</v>
      </c>
      <c r="CX90" s="59">
        <f t="shared" si="68"/>
        <v>1072.8470290618793</v>
      </c>
      <c r="CY90" s="59">
        <f ca="1">AVERAGE(OFFSET($CX$3,0,0,'Données projet'!$E$13+1,1))-AVERAGE(OFFSET($H$3,0,0,'Données projet'!$E$13+1,1))</f>
        <v>391.93999504334352</v>
      </c>
      <c r="CZ90" s="59">
        <f t="shared" si="96"/>
        <v>215.4484906985528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117.61908782620885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117.61908782620885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367.99999999999972</v>
      </c>
      <c r="DP90" s="17">
        <f>DO90*VLOOKUP('Données projet'!$B$14,Paramètres!$A$1:$I$89,3,0)*VLOOKUP('Données projet'!$B$14,Paramètres!$A$1:$I$89,5,0)</f>
        <v>269.8175999999998</v>
      </c>
      <c r="DQ90" s="13">
        <f t="shared" si="97"/>
        <v>64.810557882019467</v>
      </c>
      <c r="DR90" s="20">
        <f t="shared" si="70"/>
        <v>582.81070831118348</v>
      </c>
      <c r="DS90" s="59">
        <f t="shared" si="71"/>
        <v>876.14404164451685</v>
      </c>
      <c r="DT90" s="59">
        <f ca="1">AVERAGE(OFFSET($DS$3,0,0,'Données projet'!$E$14+1,1))-AVERAGE(OFFSET($H$3,0,0,'Données projet'!$E$14+1,1))</f>
        <v>267.92147257573157</v>
      </c>
      <c r="DU90" s="59">
        <f t="shared" si="98"/>
        <v>269.06662611892438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40.116717102981895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40.116717102981895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0.8600000000003547</v>
      </c>
      <c r="EK90" s="17">
        <f>EJ90*VLOOKUP('Données projet'!$B$15,Paramètres!$A$1:$I$89,3,0)*VLOOKUP('Données projet'!$B$15,Paramètres!$A$1:$I$89,5,0)</f>
        <v>0.48074000000019829</v>
      </c>
      <c r="EL90" s="13">
        <f t="shared" si="99"/>
        <v>0.24126147010950588</v>
      </c>
      <c r="EM90" s="20">
        <f t="shared" si="73"/>
        <v>1.2574858937744013</v>
      </c>
      <c r="EN90" s="59">
        <f t="shared" si="74"/>
        <v>294.59081922710772</v>
      </c>
      <c r="EO90" s="59">
        <f ca="1">AVERAGE(OFFSET($EN$3,0,0,'Données projet'!$E$15+1,1))-AVERAGE(OFFSET($H$3,0,0,'Données projet'!$E$15+1,1))</f>
        <v>326.29985515186428</v>
      </c>
      <c r="EP90" s="59">
        <f t="shared" si="100"/>
        <v>437.68177084535927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197.27410726830897</v>
      </c>
      <c r="EW90" s="21">
        <f>EXP(-LN(2)/25)*EW89+(1-EXP(-LN(2)/25))/(LN(2)/25)*Calculateur!ER90*Calculateur!ET90*VLOOKUP('Données projet'!$B$15,Paramètres!$A$1:$I$89,3,0)*0.475*44/12</f>
        <v>10.412511243067135</v>
      </c>
      <c r="EX90" s="21">
        <f>EXP(-LN(2)/2)*EX89+(1-EXP(-LN(2)/2))/(LN(2)/2)*ER90*EU90*VLOOKUP('Données projet'!$B$15,Paramètres!$A$1:$I$89,3,0)*0.475*44/12</f>
        <v>1.9490824030319317E-9</v>
      </c>
      <c r="EY90" s="22">
        <f t="shared" si="75"/>
        <v>207.68661851332519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1.7053025658242404E-13</v>
      </c>
      <c r="FF90" s="17">
        <f>FE90*VLOOKUP('Données projet'!$B$16,Paramètres!$A$1:$I$89,3,0)*VLOOKUP('Données projet'!$B$16,Paramètres!$A$1:$I$89,5,0)</f>
        <v>9.7631982498569413E-14</v>
      </c>
      <c r="FG90" s="13">
        <f t="shared" si="101"/>
        <v>1.4708068762530911E-12</v>
      </c>
      <c r="FH90" s="20">
        <f t="shared" si="76"/>
        <v>2.7316976789924749E-12</v>
      </c>
      <c r="FI90" s="59">
        <f t="shared" si="77"/>
        <v>293.33333333333604</v>
      </c>
      <c r="FJ90" s="59">
        <f ca="1">AVERAGE(OFFSET($FI$3,0,0,'Données projet'!$E$16+1,1))-AVERAGE(OFFSET($H$3,0,0,'Données projet'!$E$16+1,1))</f>
        <v>211.14768428403215</v>
      </c>
      <c r="FK90" s="59">
        <f t="shared" si="102"/>
        <v>350.7800157534798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26.859733768664864</v>
      </c>
      <c r="FR90" s="21">
        <f>EXP(-LN(2)/25)*FR89+(1-EXP(-LN(2)/25))/(LN(2)/25)*Calculateur!FM90*Calculateur!FO90*VLOOKUP('Données projet'!$B$16,Paramètres!$A$1:$I$89,3,0)*0.475*44/12</f>
        <v>4.4297102348453175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31.28944400351018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76.87680000000006</v>
      </c>
      <c r="D91" s="11">
        <f t="shared" si="86"/>
        <v>21.371784666185135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758.41012724774544</v>
      </c>
      <c r="H91" s="66">
        <f t="shared" si="56"/>
        <v>464.44961829360585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3.4</v>
      </c>
      <c r="N91" s="13">
        <f>IF('Données projet'!$A$36&gt;35,N90+M91-V90,IF(A91&lt;'Données projet'!$A$36,$K$205^A91,IF(A91='Données projet'!$A$36,'Données projet'!$B$36,N90+M91-V90)))</f>
        <v>261.2</v>
      </c>
      <c r="O91" s="13">
        <f>N91*VLOOKUP('Données projet'!$B$9,Paramètres!$A$1:$I$89,3,0)*VLOOKUP('Données projet'!$B$9,Paramètres!$A$1:$I$89,5,0)</f>
        <v>228.18432000000004</v>
      </c>
      <c r="P91" s="13">
        <f t="shared" si="87"/>
        <v>55.889908157388689</v>
      </c>
      <c r="Q91" s="20">
        <f t="shared" si="54"/>
        <v>494.76261404078542</v>
      </c>
      <c r="R91" s="59">
        <f t="shared" si="55"/>
        <v>788.09594737411874</v>
      </c>
      <c r="S91" s="59">
        <f ca="1">AVERAGE(OFFSET($R$3,0,0,'Données projet'!$E$9+1,1))-AVERAGE(OFFSET($H$3,0,0,'Données projet'!$E$9+1,1))</f>
        <v>252.49539407921907</v>
      </c>
      <c r="T91" s="59">
        <f t="shared" si="88"/>
        <v>263.36387286233929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62.047505662633213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62.047505662633213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10.41</v>
      </c>
      <c r="AI91" s="13">
        <f>IF('Données projet'!$A$62&gt;35,AI90+AH91-AQ90,IF(A91&lt;'Données projet'!$A$62,$AF$205^A91,IF(A91='Données projet'!$A$62,'Données projet'!$B$62,AI90+AH91-AQ90)))</f>
        <v>419.42000000000007</v>
      </c>
      <c r="AJ91" s="13">
        <f>AI91*VLOOKUP('Données projet'!$B$10,Paramètres!$A$1:$I$89,3,0)*VLOOKUP('Données projet'!$B$10,Paramètres!$A$1:$I$89,5,0)</f>
        <v>379.49121600000007</v>
      </c>
      <c r="AK91" s="13">
        <f t="shared" si="89"/>
        <v>87.606173526430666</v>
      </c>
      <c r="AL91" s="20">
        <f t="shared" si="58"/>
        <v>813.52795342520028</v>
      </c>
      <c r="AM91" s="59">
        <f t="shared" si="59"/>
        <v>1106.8612867585337</v>
      </c>
      <c r="AN91" s="59">
        <f ca="1">AVERAGE(OFFSET($AM$3,0,0,'Données projet'!$E$10+1,1))-AVERAGE(OFFSET($H$3,0,0,'Données projet'!$E$10+1,1))</f>
        <v>370.05613271587413</v>
      </c>
      <c r="AO91" s="59">
        <f t="shared" si="90"/>
        <v>183.24480056442525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95.52182227143561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95.52182227143561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10.41</v>
      </c>
      <c r="BD91" s="12">
        <f>IF('Données projet'!$A$88&gt;35,BD90+BC91-BL90,IF(A91&lt;'Données projet'!$A$88,$BA$205^A91,IF(A91='Données projet'!$A$88,'Données projet'!$B$88,BD90+BC91-BL90)))</f>
        <v>419.42000000000007</v>
      </c>
      <c r="BE91" s="13">
        <f>BD91*VLOOKUP('Données projet'!$B$11,Paramètres!$A$1:$I$89,3,0)*VLOOKUP('Données projet'!$B$11,Paramètres!$A$1:$I$89,5,0)</f>
        <v>425.29188000000011</v>
      </c>
      <c r="BF91" s="13">
        <f t="shared" si="91"/>
        <v>96.885766258124534</v>
      </c>
      <c r="BG91" s="20">
        <f t="shared" si="61"/>
        <v>909.45940056623385</v>
      </c>
      <c r="BH91" s="59">
        <f t="shared" si="62"/>
        <v>1202.7927338995671</v>
      </c>
      <c r="BI91" s="59">
        <f ca="1">AVERAGE(OFFSET($BH$3,0,0,'Données projet'!$E$11+1,1))-AVERAGE(OFFSET($H$3,0,0,'Données projet'!$E$11+1,1))</f>
        <v>428.72181435671394</v>
      </c>
      <c r="BJ91" s="59">
        <f t="shared" si="92"/>
        <v>211.84936043087572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107.05031806281579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107.05031806281579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367.99999999999972</v>
      </c>
      <c r="BZ91" s="13">
        <f>BY91*VLOOKUP('Données projet'!$B$12,Paramètres!$A$1:$I$89,3,0)*VLOOKUP('Données projet'!$B$12,Paramètres!$A$1:$I$89,5,0)</f>
        <v>292.78079999999977</v>
      </c>
      <c r="CA91" s="13">
        <f t="shared" si="93"/>
        <v>69.660903052386217</v>
      </c>
      <c r="CB91" s="20">
        <f t="shared" si="64"/>
        <v>631.25263281623893</v>
      </c>
      <c r="CC91" s="59">
        <f t="shared" si="65"/>
        <v>924.58596614957219</v>
      </c>
      <c r="CD91" s="59">
        <f ca="1">AVERAGE(OFFSET($CC$3,0,0,'Données projet'!$E$12+1,1))-AVERAGE(OFFSET($H$3,0,0,'Données projet'!$E$12+1,1))</f>
        <v>296.737543892524</v>
      </c>
      <c r="CE91" s="59">
        <f t="shared" si="94"/>
        <v>296.38358650317099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52.60224274198773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52.60224274198773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9.1999999999999993</v>
      </c>
      <c r="CT91" s="12">
        <f>IF('Données projet'!$A$140&gt;35,CT90+CS91-DB90,IF(A91&lt;'Données projet'!$A$140,$CQ$205^A91,IF(A91='Données projet'!$A$140,'Données projet'!$B$140,CT90+CS91-DB90)))</f>
        <v>432.59999999999997</v>
      </c>
      <c r="CU91" s="17">
        <f>CT91*VLOOKUP('Données projet'!$B$13,Paramètres!$A$1:$I$89,3,0)*VLOOKUP('Données projet'!$B$13,Paramètres!$A$1:$I$89,5,0)</f>
        <v>371.17080000000004</v>
      </c>
      <c r="CV91" s="13">
        <f t="shared" si="95"/>
        <v>85.906787171637717</v>
      </c>
      <c r="CW91" s="20">
        <f t="shared" si="67"/>
        <v>796.07679765726914</v>
      </c>
      <c r="CX91" s="59">
        <f t="shared" si="68"/>
        <v>1089.4101309906025</v>
      </c>
      <c r="CY91" s="59">
        <f ca="1">AVERAGE(OFFSET($CX$3,0,0,'Données projet'!$E$13+1,1))-AVERAGE(OFFSET($H$3,0,0,'Données projet'!$E$13+1,1))</f>
        <v>391.93999504334352</v>
      </c>
      <c r="CZ91" s="59">
        <f t="shared" si="96"/>
        <v>215.4484906985528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115.31264925449668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115.31264925449668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367.99999999999972</v>
      </c>
      <c r="DP91" s="17">
        <f>DO91*VLOOKUP('Données projet'!$B$14,Paramètres!$A$1:$I$89,3,0)*VLOOKUP('Données projet'!$B$14,Paramètres!$A$1:$I$89,5,0)</f>
        <v>269.8175999999998</v>
      </c>
      <c r="DQ91" s="13">
        <f t="shared" si="97"/>
        <v>64.810557882019467</v>
      </c>
      <c r="DR91" s="20">
        <f t="shared" si="70"/>
        <v>582.81070831118348</v>
      </c>
      <c r="DS91" s="59">
        <f t="shared" si="71"/>
        <v>876.14404164451685</v>
      </c>
      <c r="DT91" s="59">
        <f ca="1">AVERAGE(OFFSET($DS$3,0,0,'Données projet'!$E$14+1,1))-AVERAGE(OFFSET($H$3,0,0,'Données projet'!$E$14+1,1))</f>
        <v>267.92147257573157</v>
      </c>
      <c r="DU91" s="59">
        <f t="shared" si="98"/>
        <v>269.06662611892438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39.330052749373763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39.330052749373763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0.8600000000003547</v>
      </c>
      <c r="EK91" s="17">
        <f>EJ91*VLOOKUP('Données projet'!$B$15,Paramètres!$A$1:$I$89,3,0)*VLOOKUP('Données projet'!$B$15,Paramètres!$A$1:$I$89,5,0)</f>
        <v>0.48074000000019829</v>
      </c>
      <c r="EL91" s="13">
        <f t="shared" si="99"/>
        <v>0.24126147010950588</v>
      </c>
      <c r="EM91" s="20">
        <f t="shared" si="73"/>
        <v>1.2574858937744013</v>
      </c>
      <c r="EN91" s="59">
        <f t="shared" si="74"/>
        <v>294.59081922710772</v>
      </c>
      <c r="EO91" s="59">
        <f ca="1">AVERAGE(OFFSET($EN$3,0,0,'Données projet'!$E$15+1,1))-AVERAGE(OFFSET($H$3,0,0,'Données projet'!$E$15+1,1))</f>
        <v>326.29985515186428</v>
      </c>
      <c r="EP91" s="59">
        <f t="shared" si="100"/>
        <v>437.68177084535927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193.40568235010173</v>
      </c>
      <c r="EW91" s="21">
        <f>EXP(-LN(2)/25)*EW90+(1-EXP(-LN(2)/25))/(LN(2)/25)*Calculateur!ER91*Calculateur!ET91*VLOOKUP('Données projet'!$B$15,Paramètres!$A$1:$I$89,3,0)*0.475*44/12</f>
        <v>10.127780575555295</v>
      </c>
      <c r="EX91" s="21">
        <f>EXP(-LN(2)/2)*EX90+(1-EXP(-LN(2)/2))/(LN(2)/2)*ER91*EU91*VLOOKUP('Données projet'!$B$15,Paramètres!$A$1:$I$89,3,0)*0.475*44/12</f>
        <v>1.3782093842752504E-9</v>
      </c>
      <c r="EY91" s="22">
        <f t="shared" si="75"/>
        <v>203.53346292703523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1.7053025658242404E-13</v>
      </c>
      <c r="FF91" s="17">
        <f>FE91*VLOOKUP('Données projet'!$B$16,Paramètres!$A$1:$I$89,3,0)*VLOOKUP('Données projet'!$B$16,Paramètres!$A$1:$I$89,5,0)</f>
        <v>9.7631982498569413E-14</v>
      </c>
      <c r="FG91" s="13">
        <f t="shared" si="101"/>
        <v>1.4708068762530911E-12</v>
      </c>
      <c r="FH91" s="20">
        <f t="shared" si="76"/>
        <v>2.7316976789924749E-12</v>
      </c>
      <c r="FI91" s="59">
        <f t="shared" si="77"/>
        <v>293.33333333333604</v>
      </c>
      <c r="FJ91" s="59">
        <f ca="1">AVERAGE(OFFSET($FI$3,0,0,'Données projet'!$E$16+1,1))-AVERAGE(OFFSET($H$3,0,0,'Données projet'!$E$16+1,1))</f>
        <v>211.14768428403215</v>
      </c>
      <c r="FK91" s="59">
        <f t="shared" si="102"/>
        <v>350.7800157534798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26.333030772281276</v>
      </c>
      <c r="FR91" s="21">
        <f>EXP(-LN(2)/25)*FR90+(1-EXP(-LN(2)/25))/(LN(2)/25)*Calculateur!FM91*Calculateur!FO91*VLOOKUP('Données projet'!$B$16,Paramètres!$A$1:$I$89,3,0)*0.475*44/12</f>
        <v>4.308579575525135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30.641610347806413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77.750400000000056</v>
      </c>
      <c r="D92" s="11">
        <f t="shared" si="86"/>
        <v>21.586235486267142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766.80911603434333</v>
      </c>
      <c r="H92" s="66">
        <f t="shared" si="56"/>
        <v>466.34464013858201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3.4</v>
      </c>
      <c r="N92" s="13">
        <f>IF('Données projet'!$A$36&gt;35,N91+M92-V91,IF(A92&lt;'Données projet'!$A$36,$K$205^A92,IF(A92='Données projet'!$A$36,'Données projet'!$B$36,N91+M92-V91)))</f>
        <v>264.59999999999997</v>
      </c>
      <c r="O92" s="13">
        <f>N92*VLOOKUP('Données projet'!$B$9,Paramètres!$A$1:$I$89,3,0)*VLOOKUP('Données projet'!$B$9,Paramètres!$A$1:$I$89,5,0)</f>
        <v>231.15455999999998</v>
      </c>
      <c r="P92" s="13">
        <f t="shared" si="87"/>
        <v>56.532251598510484</v>
      </c>
      <c r="Q92" s="20">
        <f t="shared" si="54"/>
        <v>501.05453020073901</v>
      </c>
      <c r="R92" s="59">
        <f t="shared" si="55"/>
        <v>794.38786353407227</v>
      </c>
      <c r="S92" s="59">
        <f ca="1">AVERAGE(OFFSET($R$3,0,0,'Données projet'!$E$9+1,1))-AVERAGE(OFFSET($H$3,0,0,'Données projet'!$E$9+1,1))</f>
        <v>252.49539407921907</v>
      </c>
      <c r="T92" s="59">
        <f t="shared" si="88"/>
        <v>263.36387286233929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60.830791921830524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60.830791921830524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>
        <f>VLOOKUP(A92,'Données projet'!$A$61:$I$81,2,0)</f>
        <v>429.83</v>
      </c>
      <c r="AG92" s="12">
        <f>VLOOKUP(A92,'Données projet'!$A$61:$I$81,9,0)</f>
        <v>10.41</v>
      </c>
      <c r="AH92" s="12">
        <f t="array" ref="AH92">INDEX(AG:AG,MIN(IF(ISNUMBER(AG92:AG288),ROW(AG92:AG288),"")))</f>
        <v>10.41</v>
      </c>
      <c r="AI92" s="13">
        <f>IF('Données projet'!$A$62&gt;35,AI91+AH92-AQ91,IF(A92&lt;'Données projet'!$A$62,$AF$205^A92,IF(A92='Données projet'!$A$62,'Données projet'!$B$62,AI91+AH92-AQ91)))</f>
        <v>429.8300000000001</v>
      </c>
      <c r="AJ92" s="13">
        <f>AI92*VLOOKUP('Données projet'!$B$10,Paramètres!$A$1:$I$89,3,0)*VLOOKUP('Données projet'!$B$10,Paramètres!$A$1:$I$89,5,0)</f>
        <v>388.91018400000007</v>
      </c>
      <c r="AK92" s="13">
        <f t="shared" si="89"/>
        <v>89.524709460853941</v>
      </c>
      <c r="AL92" s="20">
        <f t="shared" si="58"/>
        <v>833.27410611098742</v>
      </c>
      <c r="AM92" s="59">
        <f t="shared" si="59"/>
        <v>1126.6074394443208</v>
      </c>
      <c r="AN92" s="59">
        <f ca="1">AVERAGE(OFFSET($AM$3,0,0,'Données projet'!$E$10+1,1))-AVERAGE(OFFSET($H$3,0,0,'Données projet'!$E$10+1,1))</f>
        <v>370.05613271587413</v>
      </c>
      <c r="AO92" s="59">
        <f t="shared" si="90"/>
        <v>183.24480056442525</v>
      </c>
      <c r="AP92" s="15">
        <f>IF(ISNA(VLOOKUP(A92,'Données projet'!$A$61:$I$81,3,0)),0,VLOOKUP(A92,'Données projet'!$A$61:$I$81,3,0))</f>
        <v>8</v>
      </c>
      <c r="AQ92" s="15">
        <f>IF(ISNA(VLOOKUP(A92,'Données projet'!$A$61:$I$81,4,0)),0,VLOOKUP(A92,'Données projet'!$A$61:$I$81,4,0))</f>
        <v>64.5</v>
      </c>
      <c r="AR92" s="16">
        <f>IF(ISNA(VLOOKUP(A92,'Données projet'!$A$61:$I$81,5,0)),0%,VLOOKUP(A92,'Données projet'!$A$61:$I$81,5,0)*VLOOKUP('Données projet'!$B$10,Paramètres!$A$1:$I$89,7,0))</f>
        <v>0.43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121.39006553864958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121.39006553864958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>
        <f>VLOOKUP(A92,'Données projet'!$A$87:$I$107,2,0)</f>
        <v>429.83</v>
      </c>
      <c r="BB92" s="12">
        <f>VLOOKUP(A92,'Données projet'!$A$87:$I$107,9,0)</f>
        <v>10.41</v>
      </c>
      <c r="BC92" s="12">
        <f t="array" ref="BC92">INDEX(BB:BB,MIN(IF(ISNUMBER(BB92:BB288),ROW(BB92:BB288),"")))</f>
        <v>10.41</v>
      </c>
      <c r="BD92" s="12">
        <f>IF('Données projet'!$A$88&gt;35,BD91+BC92-BL91,IF(A92&lt;'Données projet'!$A$88,$BA$205^A92,IF(A92='Données projet'!$A$88,'Données projet'!$B$88,BD91+BC92-BL91)))</f>
        <v>429.8300000000001</v>
      </c>
      <c r="BE92" s="13">
        <f>BD92*VLOOKUP('Données projet'!$B$11,Paramètres!$A$1:$I$89,3,0)*VLOOKUP('Données projet'!$B$11,Paramètres!$A$1:$I$89,5,0)</f>
        <v>435.84762000000012</v>
      </c>
      <c r="BF92" s="13">
        <f t="shared" si="91"/>
        <v>99.007521114182325</v>
      </c>
      <c r="BG92" s="20">
        <f t="shared" si="61"/>
        <v>931.53937077386763</v>
      </c>
      <c r="BH92" s="59">
        <f t="shared" si="62"/>
        <v>1224.8727041072009</v>
      </c>
      <c r="BI92" s="59">
        <f ca="1">AVERAGE(OFFSET($BH$3,0,0,'Données projet'!$E$11+1,1))-AVERAGE(OFFSET($H$3,0,0,'Données projet'!$E$11+1,1))</f>
        <v>428.72181435671394</v>
      </c>
      <c r="BJ92" s="59">
        <f t="shared" si="92"/>
        <v>211.84936043087572</v>
      </c>
      <c r="BK92" s="15">
        <f>IF(ISNA(VLOOKUP(A92,'Données projet'!$A$87:$I$107,3,0)),0,VLOOKUP(A92,'Données projet'!$A$87:$I$107,3,0))</f>
        <v>8</v>
      </c>
      <c r="BL92" s="15">
        <f>IF(ISNA(VLOOKUP(A92,'Données projet'!$A$87:$I$107,4,0)),0,VLOOKUP(A92,'Données projet'!$A$87:$I$107,4,0))</f>
        <v>64.5</v>
      </c>
      <c r="BM92" s="16">
        <f>IF(ISNA(VLOOKUP(A92,'Données projet'!$A$87:$I$107,5,0)),0%,VLOOKUP(A92,'Données projet'!$A$87:$I$107,5,0)*VLOOKUP('Données projet'!$B$11,Paramètres!$A$1:$I$89,7,0))</f>
        <v>0.43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136.04059068986595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136.04059068986595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367.99999999999972</v>
      </c>
      <c r="BZ92" s="13">
        <f>BY92*VLOOKUP('Données projet'!$B$12,Paramètres!$A$1:$I$89,3,0)*VLOOKUP('Données projet'!$B$12,Paramètres!$A$1:$I$89,5,0)</f>
        <v>292.78079999999977</v>
      </c>
      <c r="CA92" s="13">
        <f t="shared" si="93"/>
        <v>69.660903052386217</v>
      </c>
      <c r="CB92" s="20">
        <f t="shared" si="64"/>
        <v>631.25263281623893</v>
      </c>
      <c r="CC92" s="59">
        <f t="shared" si="65"/>
        <v>924.58596614957219</v>
      </c>
      <c r="CD92" s="59">
        <f ca="1">AVERAGE(OFFSET($CC$3,0,0,'Données projet'!$E$12+1,1))-AVERAGE(OFFSET($H$3,0,0,'Données projet'!$E$12+1,1))</f>
        <v>296.737543892524</v>
      </c>
      <c r="CE92" s="59">
        <f t="shared" si="94"/>
        <v>296.38358650317099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51.570744846017369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51.570744846017369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9.1999999999999993</v>
      </c>
      <c r="CT92" s="12">
        <f>IF('Données projet'!$A$140&gt;35,CT91+CS92-DB91,IF(A92&lt;'Données projet'!$A$140,$CQ$205^A92,IF(A92='Données projet'!$A$140,'Données projet'!$B$140,CT91+CS92-DB91)))</f>
        <v>441.79999999999995</v>
      </c>
      <c r="CU92" s="17">
        <f>CT92*VLOOKUP('Données projet'!$B$13,Paramètres!$A$1:$I$89,3,0)*VLOOKUP('Données projet'!$B$13,Paramètres!$A$1:$I$89,5,0)</f>
        <v>379.06439999999998</v>
      </c>
      <c r="CV92" s="13">
        <f t="shared" si="95"/>
        <v>87.519105676243697</v>
      </c>
      <c r="CW92" s="20">
        <f t="shared" si="67"/>
        <v>812.63293905279113</v>
      </c>
      <c r="CX92" s="59">
        <f t="shared" si="68"/>
        <v>1105.9662723861245</v>
      </c>
      <c r="CY92" s="59">
        <f ca="1">AVERAGE(OFFSET($CX$3,0,0,'Données projet'!$E$13+1,1))-AVERAGE(OFFSET($H$3,0,0,'Données projet'!$E$13+1,1))</f>
        <v>391.93999504334352</v>
      </c>
      <c r="CZ92" s="59">
        <f t="shared" si="96"/>
        <v>215.4484906985528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113.05143853638715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113.05143853638715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367.99999999999972</v>
      </c>
      <c r="DP92" s="17">
        <f>DO92*VLOOKUP('Données projet'!$B$14,Paramètres!$A$1:$I$89,3,0)*VLOOKUP('Données projet'!$B$14,Paramètres!$A$1:$I$89,5,0)</f>
        <v>269.8175999999998</v>
      </c>
      <c r="DQ92" s="13">
        <f t="shared" si="97"/>
        <v>64.810557882019467</v>
      </c>
      <c r="DR92" s="20">
        <f t="shared" si="70"/>
        <v>582.81070831118348</v>
      </c>
      <c r="DS92" s="59">
        <f t="shared" si="71"/>
        <v>876.14404164451685</v>
      </c>
      <c r="DT92" s="59">
        <f ca="1">AVERAGE(OFFSET($DS$3,0,0,'Données projet'!$E$14+1,1))-AVERAGE(OFFSET($H$3,0,0,'Données projet'!$E$14+1,1))</f>
        <v>267.92147257573157</v>
      </c>
      <c r="DU92" s="59">
        <f t="shared" si="98"/>
        <v>269.06662611892438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38.558814403922007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38.558814403922007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0.8600000000003547</v>
      </c>
      <c r="EK92" s="17">
        <f>EJ92*VLOOKUP('Données projet'!$B$15,Paramètres!$A$1:$I$89,3,0)*VLOOKUP('Données projet'!$B$15,Paramètres!$A$1:$I$89,5,0)</f>
        <v>0.48074000000019829</v>
      </c>
      <c r="EL92" s="13">
        <f t="shared" si="99"/>
        <v>0.24126147010950588</v>
      </c>
      <c r="EM92" s="20">
        <f t="shared" si="73"/>
        <v>1.2574858937744013</v>
      </c>
      <c r="EN92" s="59">
        <f t="shared" si="74"/>
        <v>294.59081922710772</v>
      </c>
      <c r="EO92" s="59">
        <f ca="1">AVERAGE(OFFSET($EN$3,0,0,'Données projet'!$E$15+1,1))-AVERAGE(OFFSET($H$3,0,0,'Données projet'!$E$15+1,1))</f>
        <v>326.29985515186428</v>
      </c>
      <c r="EP92" s="59">
        <f t="shared" si="100"/>
        <v>437.68177084535927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189.61311488503432</v>
      </c>
      <c r="EW92" s="21">
        <f>EXP(-LN(2)/25)*EW91+(1-EXP(-LN(2)/25))/(LN(2)/25)*Calculateur!ER92*Calculateur!ET92*VLOOKUP('Données projet'!$B$15,Paramètres!$A$1:$I$89,3,0)*0.475*44/12</f>
        <v>9.8508358831199025</v>
      </c>
      <c r="EX92" s="21">
        <f>EXP(-LN(2)/2)*EX91+(1-EXP(-LN(2)/2))/(LN(2)/2)*ER92*EU92*VLOOKUP('Données projet'!$B$15,Paramètres!$A$1:$I$89,3,0)*0.475*44/12</f>
        <v>9.7454120151596584E-10</v>
      </c>
      <c r="EY92" s="22">
        <f t="shared" si="75"/>
        <v>199.46395076912879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1.7053025658242404E-13</v>
      </c>
      <c r="FF92" s="17">
        <f>FE92*VLOOKUP('Données projet'!$B$16,Paramètres!$A$1:$I$89,3,0)*VLOOKUP('Données projet'!$B$16,Paramètres!$A$1:$I$89,5,0)</f>
        <v>9.7631982498569413E-14</v>
      </c>
      <c r="FG92" s="13">
        <f t="shared" si="101"/>
        <v>1.4708068762530911E-12</v>
      </c>
      <c r="FH92" s="20">
        <f t="shared" si="76"/>
        <v>2.7316976789924749E-12</v>
      </c>
      <c r="FI92" s="59">
        <f t="shared" si="77"/>
        <v>293.33333333333604</v>
      </c>
      <c r="FJ92" s="59">
        <f ca="1">AVERAGE(OFFSET($FI$3,0,0,'Données projet'!$E$16+1,1))-AVERAGE(OFFSET($H$3,0,0,'Données projet'!$E$16+1,1))</f>
        <v>211.14768428403215</v>
      </c>
      <c r="FK92" s="59">
        <f t="shared" si="102"/>
        <v>350.7800157534798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25.816656100399666</v>
      </c>
      <c r="FR92" s="21">
        <f>EXP(-LN(2)/25)*FR91+(1-EXP(-LN(2)/25))/(LN(2)/25)*Calculateur!FM92*Calculateur!FO92*VLOOKUP('Données projet'!$B$16,Paramètres!$A$1:$I$89,3,0)*0.475*44/12</f>
        <v>4.190761240454048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30.007417340853713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78.624000000000052</v>
      </c>
      <c r="D93" s="11">
        <f t="shared" si="86"/>
        <v>21.800406010684462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775.20594113510867</v>
      </c>
      <c r="H93" s="66">
        <f t="shared" si="56"/>
        <v>468.23917380194217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268</v>
      </c>
      <c r="L93" s="12">
        <f>VLOOKUP(A93,'Données projet'!$A$35:$I$55,9,0)</f>
        <v>3.4</v>
      </c>
      <c r="M93" s="12">
        <f t="array" ref="M93">INDEX(L:L,MIN(IF(ISNUMBER(L93:L289),ROW(L93:L289),"")))</f>
        <v>3.4</v>
      </c>
      <c r="N93" s="13">
        <f>IF('Données projet'!$A$36&gt;35,N92+M93-V92,IF(A93&lt;'Données projet'!$A$36,$K$205^A93,IF(A93='Données projet'!$A$36,'Données projet'!$B$36,N92+M93-V92)))</f>
        <v>267.99999999999994</v>
      </c>
      <c r="O93" s="13">
        <f>N93*VLOOKUP('Données projet'!$B$9,Paramètres!$A$1:$I$89,3,0)*VLOOKUP('Données projet'!$B$9,Paramètres!$A$1:$I$89,5,0)</f>
        <v>234.12479999999999</v>
      </c>
      <c r="P93" s="13">
        <f t="shared" si="87"/>
        <v>57.173634982132555</v>
      </c>
      <c r="Q93" s="20">
        <f t="shared" si="54"/>
        <v>507.34477426054747</v>
      </c>
      <c r="R93" s="59">
        <f t="shared" si="55"/>
        <v>800.67810759388078</v>
      </c>
      <c r="S93" s="59">
        <f ca="1">AVERAGE(OFFSET($R$3,0,0,'Données projet'!$E$9+1,1))-AVERAGE(OFFSET($H$3,0,0,'Données projet'!$E$9+1,1))</f>
        <v>252.49539407921907</v>
      </c>
      <c r="T93" s="59">
        <f t="shared" si="88"/>
        <v>263.36387286233929</v>
      </c>
      <c r="U93" s="15">
        <f>IF(ISNA(VLOOKUP(A93,'Données projet'!$A$35:$I$55,3,0)),0,VLOOKUP(A93,'Données projet'!$A$35:$I$55,3,0))</f>
        <v>16</v>
      </c>
      <c r="V93" s="15">
        <f>IF(ISNA(VLOOKUP(A93,'Données projet'!$A$35:$I$55,4,0)),0,VLOOKUP(A93,'Données projet'!$A$35:$I$55,4,0))</f>
        <v>14</v>
      </c>
      <c r="W93" s="16">
        <f>IF(ISNA(VLOOKUP(A93,'Données projet'!$A$35:$I$55,5,0)),0%,VLOOKUP(A93,'Données projet'!$A$35:$I$55,5,0)*VLOOKUP('Données projet'!$B$9,Paramètres!$A$1:$I$89,7,0))</f>
        <v>0.43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65.451685515193986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65.451685515193986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9.9470000000000027</v>
      </c>
      <c r="AI93" s="13">
        <f>IF('Données projet'!$A$62&gt;35,AI92+AH93-AQ92,IF(A93&lt;'Données projet'!$A$62,$AF$205^A93,IF(A93='Données projet'!$A$62,'Données projet'!$B$62,AI92+AH93-AQ92)))</f>
        <v>375.2770000000001</v>
      </c>
      <c r="AJ93" s="13">
        <f>AI93*VLOOKUP('Données projet'!$B$10,Paramètres!$A$1:$I$89,3,0)*VLOOKUP('Données projet'!$B$10,Paramètres!$A$1:$I$89,5,0)</f>
        <v>339.55062960000009</v>
      </c>
      <c r="AK93" s="13">
        <f t="shared" si="89"/>
        <v>79.407096506902036</v>
      </c>
      <c r="AL93" s="20">
        <f t="shared" si="58"/>
        <v>729.68470630285447</v>
      </c>
      <c r="AM93" s="59">
        <f t="shared" si="59"/>
        <v>1023.0180396361877</v>
      </c>
      <c r="AN93" s="59">
        <f ca="1">AVERAGE(OFFSET($AM$3,0,0,'Données projet'!$E$10+1,1))-AVERAGE(OFFSET($H$3,0,0,'Données projet'!$E$10+1,1))</f>
        <v>370.05613271587413</v>
      </c>
      <c r="AO93" s="59">
        <f t="shared" si="90"/>
        <v>183.24480056442525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119.00968039406574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119.00968039406574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9.9470000000000027</v>
      </c>
      <c r="BD93" s="12">
        <f>IF('Données projet'!$A$88&gt;35,BD92+BC93-BL92,IF(A93&lt;'Données projet'!$A$88,$BA$205^A93,IF(A93='Données projet'!$A$88,'Données projet'!$B$88,BD92+BC93-BL92)))</f>
        <v>375.2770000000001</v>
      </c>
      <c r="BE93" s="13">
        <f>BD93*VLOOKUP('Données projet'!$B$11,Paramètres!$A$1:$I$89,3,0)*VLOOKUP('Données projet'!$B$11,Paramètres!$A$1:$I$89,5,0)</f>
        <v>380.53087800000014</v>
      </c>
      <c r="BF93" s="13">
        <f t="shared" si="91"/>
        <v>87.818210540641346</v>
      </c>
      <c r="BG93" s="20">
        <f t="shared" si="61"/>
        <v>815.70799587495048</v>
      </c>
      <c r="BH93" s="59">
        <f t="shared" si="62"/>
        <v>1109.0413292082837</v>
      </c>
      <c r="BI93" s="59">
        <f ca="1">AVERAGE(OFFSET($BH$3,0,0,'Données projet'!$E$11+1,1))-AVERAGE(OFFSET($H$3,0,0,'Données projet'!$E$11+1,1))</f>
        <v>428.72181435671394</v>
      </c>
      <c r="BJ93" s="59">
        <f t="shared" si="92"/>
        <v>211.84936043087572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133.37291768300474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133.37291768300474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367.99999999999972</v>
      </c>
      <c r="BZ93" s="13">
        <f>BY93*VLOOKUP('Données projet'!$B$12,Paramètres!$A$1:$I$89,3,0)*VLOOKUP('Données projet'!$B$12,Paramètres!$A$1:$I$89,5,0)</f>
        <v>292.78079999999977</v>
      </c>
      <c r="CA93" s="13">
        <f t="shared" si="93"/>
        <v>69.660903052386217</v>
      </c>
      <c r="CB93" s="20">
        <f t="shared" si="64"/>
        <v>631.25263281623893</v>
      </c>
      <c r="CC93" s="59">
        <f t="shared" si="65"/>
        <v>924.58596614957219</v>
      </c>
      <c r="CD93" s="59">
        <f ca="1">AVERAGE(OFFSET($CC$3,0,0,'Données projet'!$E$12+1,1))-AVERAGE(OFFSET($H$3,0,0,'Données projet'!$E$12+1,1))</f>
        <v>296.737543892524</v>
      </c>
      <c r="CE93" s="59">
        <f t="shared" si="94"/>
        <v>296.38358650317099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50.559473994635397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50.559473994635397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451</v>
      </c>
      <c r="CR93" s="12">
        <f>VLOOKUP(A93,'Données projet'!$A$139:$I$159,9,0)</f>
        <v>9.1999999999999993</v>
      </c>
      <c r="CS93" s="12">
        <f t="array" ref="CS93">INDEX(CR:CR,MIN(IF(ISNUMBER(CR93:CR289),ROW(CR93:CR289),"")))</f>
        <v>9.1999999999999993</v>
      </c>
      <c r="CT93" s="12">
        <f>IF('Données projet'!$A$140&gt;35,CT92+CS93-DB92,IF(A93&lt;'Données projet'!$A$140,$CQ$205^A93,IF(A93='Données projet'!$A$140,'Données projet'!$B$140,CT92+CS93-DB92)))</f>
        <v>450.99999999999994</v>
      </c>
      <c r="CU93" s="17">
        <f>CT93*VLOOKUP('Données projet'!$B$13,Paramètres!$A$1:$I$89,3,0)*VLOOKUP('Données projet'!$B$13,Paramètres!$A$1:$I$89,5,0)</f>
        <v>386.95799999999997</v>
      </c>
      <c r="CV93" s="13">
        <f t="shared" si="95"/>
        <v>89.12752051283708</v>
      </c>
      <c r="CW93" s="20">
        <f t="shared" si="67"/>
        <v>829.18228155985787</v>
      </c>
      <c r="CX93" s="59">
        <f t="shared" si="68"/>
        <v>1122.5156148931912</v>
      </c>
      <c r="CY93" s="59">
        <f ca="1">AVERAGE(OFFSET($CX$3,0,0,'Données projet'!$E$13+1,1))-AVERAGE(OFFSET($H$3,0,0,'Données projet'!$E$13+1,1))</f>
        <v>391.93999504334352</v>
      </c>
      <c r="CZ93" s="59">
        <f t="shared" si="96"/>
        <v>215.4484906985528</v>
      </c>
      <c r="DA93" s="15">
        <f>IF(ISNA(VLOOKUP(A93,'Données projet'!$A$139:$I$159,3,0)),0,VLOOKUP(A93,'Données projet'!$A$139:$I$159,3,0))</f>
        <v>14</v>
      </c>
      <c r="DB93" s="15">
        <f>IF(ISNA(VLOOKUP(A93,'Données projet'!$A$139:$I$159,4,0)),0,VLOOKUP(A93,'Données projet'!$A$139:$I$159,4,0))</f>
        <v>31</v>
      </c>
      <c r="DC93" s="16">
        <f>IF(ISNA(VLOOKUP(A93,'Données projet'!$A$139:$I$159,5,0)),0%,VLOOKUP(A93,'Données projet'!$A$139:$I$159,5,0)*VLOOKUP('Données projet'!$B$13,Paramètres!$A$1:$I$89,7,0))</f>
        <v>0.53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126.41831839331063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126.41831839331063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367.99999999999972</v>
      </c>
      <c r="DP93" s="17">
        <f>DO93*VLOOKUP('Données projet'!$B$14,Paramètres!$A$1:$I$89,3,0)*VLOOKUP('Données projet'!$B$14,Paramètres!$A$1:$I$89,5,0)</f>
        <v>269.8175999999998</v>
      </c>
      <c r="DQ93" s="13">
        <f t="shared" si="97"/>
        <v>64.810557882019467</v>
      </c>
      <c r="DR93" s="20">
        <f t="shared" si="70"/>
        <v>582.81070831118348</v>
      </c>
      <c r="DS93" s="59">
        <f t="shared" si="71"/>
        <v>876.14404164451685</v>
      </c>
      <c r="DT93" s="59">
        <f ca="1">AVERAGE(OFFSET($DS$3,0,0,'Données projet'!$E$14+1,1))-AVERAGE(OFFSET($H$3,0,0,'Données projet'!$E$14+1,1))</f>
        <v>267.92147257573157</v>
      </c>
      <c r="DU93" s="59">
        <f t="shared" si="98"/>
        <v>269.06662611892438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37.802699572015619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37.802699572015619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0.8600000000003547</v>
      </c>
      <c r="EK93" s="17">
        <f>EJ93*VLOOKUP('Données projet'!$B$15,Paramètres!$A$1:$I$89,3,0)*VLOOKUP('Données projet'!$B$15,Paramètres!$A$1:$I$89,5,0)</f>
        <v>0.48074000000019829</v>
      </c>
      <c r="EL93" s="13">
        <f t="shared" si="99"/>
        <v>0.24126147010950588</v>
      </c>
      <c r="EM93" s="20">
        <f t="shared" si="73"/>
        <v>1.2574858937744013</v>
      </c>
      <c r="EN93" s="59">
        <f t="shared" si="74"/>
        <v>294.59081922710772</v>
      </c>
      <c r="EO93" s="59">
        <f ca="1">AVERAGE(OFFSET($EN$3,0,0,'Données projet'!$E$15+1,1))-AVERAGE(OFFSET($H$3,0,0,'Données projet'!$E$15+1,1))</f>
        <v>326.29985515186428</v>
      </c>
      <c r="EP93" s="59">
        <f t="shared" si="100"/>
        <v>437.68177084535927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185.89491735471913</v>
      </c>
      <c r="EW93" s="21">
        <f>EXP(-LN(2)/25)*EW92+(1-EXP(-LN(2)/25))/(LN(2)/25)*Calculateur!ER93*Calculateur!ET93*VLOOKUP('Données projet'!$B$15,Paramètres!$A$1:$I$89,3,0)*0.475*44/12</f>
        <v>9.5814642578630433</v>
      </c>
      <c r="EX93" s="21">
        <f>EXP(-LN(2)/2)*EX92+(1-EXP(-LN(2)/2))/(LN(2)/2)*ER93*EU93*VLOOKUP('Données projet'!$B$15,Paramètres!$A$1:$I$89,3,0)*0.475*44/12</f>
        <v>6.891046921376252E-10</v>
      </c>
      <c r="EY93" s="22">
        <f t="shared" si="75"/>
        <v>195.47638161327129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1.7053025658242404E-13</v>
      </c>
      <c r="FF93" s="17">
        <f>FE93*VLOOKUP('Données projet'!$B$16,Paramètres!$A$1:$I$89,3,0)*VLOOKUP('Données projet'!$B$16,Paramètres!$A$1:$I$89,5,0)</f>
        <v>9.7631982498569413E-14</v>
      </c>
      <c r="FG93" s="13">
        <f t="shared" si="101"/>
        <v>1.4708068762530911E-12</v>
      </c>
      <c r="FH93" s="20">
        <f t="shared" si="76"/>
        <v>2.7316976789924749E-12</v>
      </c>
      <c r="FI93" s="59">
        <f t="shared" si="77"/>
        <v>293.33333333333604</v>
      </c>
      <c r="FJ93" s="59">
        <f ca="1">AVERAGE(OFFSET($FI$3,0,0,'Données projet'!$E$16+1,1))-AVERAGE(OFFSET($H$3,0,0,'Données projet'!$E$16+1,1))</f>
        <v>211.14768428403215</v>
      </c>
      <c r="FK93" s="59">
        <f t="shared" si="102"/>
        <v>350.7800157534798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25.310407220876201</v>
      </c>
      <c r="FR93" s="21">
        <f>EXP(-LN(2)/25)*FR92+(1-EXP(-LN(2)/25))/(LN(2)/25)*Calculateur!FM93*Calculateur!FO93*VLOOKUP('Données projet'!$B$16,Paramètres!$A$1:$I$89,3,0)*0.475*44/12</f>
        <v>4.0761646539512766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29.386571874827478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79.497600000000048</v>
      </c>
      <c r="D94" s="11">
        <f t="shared" si="86"/>
        <v>22.014299714245357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783.6006293731225</v>
      </c>
      <c r="H94" s="66">
        <f t="shared" si="56"/>
        <v>470.13322533564406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3.2</v>
      </c>
      <c r="N94" s="13">
        <f>IF('Données projet'!$A$36&gt;35,N93+M94-V93,IF(A94&lt;'Données projet'!$A$36,$K$205^A94,IF(A94='Données projet'!$A$36,'Données projet'!$B$36,N93+M94-V93)))</f>
        <v>257.19999999999993</v>
      </c>
      <c r="O94" s="13">
        <f>N94*VLOOKUP('Données projet'!$B$9,Paramètres!$A$1:$I$89,3,0)*VLOOKUP('Données projet'!$B$9,Paramètres!$A$1:$I$89,5,0)</f>
        <v>224.68991999999997</v>
      </c>
      <c r="P94" s="13">
        <f t="shared" si="87"/>
        <v>55.132961900876232</v>
      </c>
      <c r="Q94" s="20">
        <f t="shared" si="54"/>
        <v>487.35818597735943</v>
      </c>
      <c r="R94" s="59">
        <f t="shared" si="55"/>
        <v>780.69151931069268</v>
      </c>
      <c r="S94" s="59">
        <f ca="1">AVERAGE(OFFSET($R$3,0,0,'Données projet'!$E$9+1,1))-AVERAGE(OFFSET($H$3,0,0,'Données projet'!$E$9+1,1))</f>
        <v>252.49539407921907</v>
      </c>
      <c r="T94" s="59">
        <f t="shared" si="88"/>
        <v>263.36387286233929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64.168217883827268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64.168217883827268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9.9470000000000027</v>
      </c>
      <c r="AI94" s="13">
        <f>IF('Données projet'!$A$62&gt;35,AI93+AH94-AQ93,IF(A94&lt;'Données projet'!$A$62,$AF$205^A94,IF(A94='Données projet'!$A$62,'Données projet'!$B$62,AI93+AH94-AQ93)))</f>
        <v>385.2240000000001</v>
      </c>
      <c r="AJ94" s="13">
        <f>AI94*VLOOKUP('Données projet'!$B$10,Paramètres!$A$1:$I$89,3,0)*VLOOKUP('Données projet'!$B$10,Paramètres!$A$1:$I$89,5,0)</f>
        <v>348.55067520000006</v>
      </c>
      <c r="AK94" s="13">
        <f t="shared" si="89"/>
        <v>81.264008176199866</v>
      </c>
      <c r="AL94" s="20">
        <f t="shared" si="58"/>
        <v>748.59390688021483</v>
      </c>
      <c r="AM94" s="59">
        <f t="shared" si="59"/>
        <v>1041.9272402135482</v>
      </c>
      <c r="AN94" s="59">
        <f ca="1">AVERAGE(OFFSET($AM$3,0,0,'Données projet'!$E$10+1,1))-AVERAGE(OFFSET($H$3,0,0,'Données projet'!$E$10+1,1))</f>
        <v>370.05613271587413</v>
      </c>
      <c r="AO94" s="59">
        <f t="shared" si="90"/>
        <v>183.24480056442525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116.67597315027561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116.67597315027561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9.9470000000000027</v>
      </c>
      <c r="BD94" s="12">
        <f>IF('Données projet'!$A$88&gt;35,BD93+BC94-BL93,IF(A94&lt;'Données projet'!$A$88,$BA$205^A94,IF(A94='Données projet'!$A$88,'Données projet'!$B$88,BD93+BC94-BL93)))</f>
        <v>385.2240000000001</v>
      </c>
      <c r="BE94" s="13">
        <f>BD94*VLOOKUP('Données projet'!$B$11,Paramètres!$A$1:$I$89,3,0)*VLOOKUP('Données projet'!$B$11,Paramètres!$A$1:$I$89,5,0)</f>
        <v>390.61713600000013</v>
      </c>
      <c r="BF94" s="13">
        <f t="shared" si="91"/>
        <v>89.871813645441875</v>
      </c>
      <c r="BG94" s="20">
        <f t="shared" si="61"/>
        <v>836.85158729914474</v>
      </c>
      <c r="BH94" s="59">
        <f t="shared" si="62"/>
        <v>1130.184920632478</v>
      </c>
      <c r="BI94" s="59">
        <f ca="1">AVERAGE(OFFSET($BH$3,0,0,'Données projet'!$E$11+1,1))-AVERAGE(OFFSET($H$3,0,0,'Données projet'!$E$11+1,1))</f>
        <v>428.72181435671394</v>
      </c>
      <c r="BJ94" s="59">
        <f t="shared" si="92"/>
        <v>211.84936043087572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130.75755611668822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130.75755611668822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367.99999999999972</v>
      </c>
      <c r="BZ94" s="13">
        <f>BY94*VLOOKUP('Données projet'!$B$12,Paramètres!$A$1:$I$89,3,0)*VLOOKUP('Données projet'!$B$12,Paramètres!$A$1:$I$89,5,0)</f>
        <v>292.78079999999977</v>
      </c>
      <c r="CA94" s="13">
        <f t="shared" si="93"/>
        <v>69.660903052386217</v>
      </c>
      <c r="CB94" s="20">
        <f t="shared" si="64"/>
        <v>631.25263281623893</v>
      </c>
      <c r="CC94" s="59">
        <f t="shared" si="65"/>
        <v>924.58596614957219</v>
      </c>
      <c r="CD94" s="59">
        <f ca="1">AVERAGE(OFFSET($CC$3,0,0,'Données projet'!$E$12+1,1))-AVERAGE(OFFSET($H$3,0,0,'Données projet'!$E$12+1,1))</f>
        <v>296.737543892524</v>
      </c>
      <c r="CE94" s="59">
        <f t="shared" si="94"/>
        <v>296.38358650317099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49.568033547834709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49.568033547834709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8.6</v>
      </c>
      <c r="CT94" s="12">
        <f>IF('Données projet'!$A$140&gt;35,CT93+CS94-DB93,IF(A94&lt;'Données projet'!$A$140,$CQ$205^A94,IF(A94='Données projet'!$A$140,'Données projet'!$B$140,CT93+CS94-DB93)))</f>
        <v>428.59999999999997</v>
      </c>
      <c r="CU94" s="17">
        <f>CT94*VLOOKUP('Données projet'!$B$13,Paramètres!$A$1:$I$89,3,0)*VLOOKUP('Données projet'!$B$13,Paramètres!$A$1:$I$89,5,0)</f>
        <v>367.73879999999997</v>
      </c>
      <c r="CV94" s="13">
        <f t="shared" si="95"/>
        <v>85.20453819128241</v>
      </c>
      <c r="CW94" s="20">
        <f t="shared" si="67"/>
        <v>788.87631401648343</v>
      </c>
      <c r="CX94" s="59">
        <f t="shared" si="68"/>
        <v>1082.2096473498168</v>
      </c>
      <c r="CY94" s="59">
        <f ca="1">AVERAGE(OFFSET($CX$3,0,0,'Données projet'!$E$13+1,1))-AVERAGE(OFFSET($H$3,0,0,'Données projet'!$E$13+1,1))</f>
        <v>391.93999504334352</v>
      </c>
      <c r="CZ94" s="59">
        <f t="shared" si="96"/>
        <v>215.4484906985528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123.93933227717828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123.93933227717828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367.99999999999972</v>
      </c>
      <c r="DP94" s="17">
        <f>DO94*VLOOKUP('Données projet'!$B$14,Paramètres!$A$1:$I$89,3,0)*VLOOKUP('Données projet'!$B$14,Paramètres!$A$1:$I$89,5,0)</f>
        <v>269.8175999999998</v>
      </c>
      <c r="DQ94" s="13">
        <f t="shared" si="97"/>
        <v>64.810557882019467</v>
      </c>
      <c r="DR94" s="20">
        <f t="shared" si="70"/>
        <v>582.81070831118348</v>
      </c>
      <c r="DS94" s="59">
        <f t="shared" si="71"/>
        <v>876.14404164451685</v>
      </c>
      <c r="DT94" s="59">
        <f ca="1">AVERAGE(OFFSET($DS$3,0,0,'Données projet'!$E$14+1,1))-AVERAGE(OFFSET($H$3,0,0,'Données projet'!$E$14+1,1))</f>
        <v>267.92147257573157</v>
      </c>
      <c r="DU94" s="59">
        <f t="shared" si="98"/>
        <v>269.06662611892438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37.061411690778407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37.061411690778407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0.8600000000003547</v>
      </c>
      <c r="EK94" s="17">
        <f>EJ94*VLOOKUP('Données projet'!$B$15,Paramètres!$A$1:$I$89,3,0)*VLOOKUP('Données projet'!$B$15,Paramètres!$A$1:$I$89,5,0)</f>
        <v>0.48074000000019829</v>
      </c>
      <c r="EL94" s="13">
        <f t="shared" si="99"/>
        <v>0.24126147010950588</v>
      </c>
      <c r="EM94" s="20">
        <f t="shared" si="73"/>
        <v>1.2574858937744013</v>
      </c>
      <c r="EN94" s="59">
        <f t="shared" si="74"/>
        <v>294.59081922710772</v>
      </c>
      <c r="EO94" s="59">
        <f ca="1">AVERAGE(OFFSET($EN$3,0,0,'Données projet'!$E$15+1,1))-AVERAGE(OFFSET($H$3,0,0,'Données projet'!$E$15+1,1))</f>
        <v>326.29985515186428</v>
      </c>
      <c r="EP94" s="59">
        <f t="shared" si="100"/>
        <v>437.68177084535927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182.24963141009687</v>
      </c>
      <c r="EW94" s="21">
        <f>EXP(-LN(2)/25)*EW93+(1-EXP(-LN(2)/25))/(LN(2)/25)*Calculateur!ER94*Calculateur!ET94*VLOOKUP('Données projet'!$B$15,Paramètres!$A$1:$I$89,3,0)*0.475*44/12</f>
        <v>9.3194586138644713</v>
      </c>
      <c r="EX94" s="21">
        <f>EXP(-LN(2)/2)*EX93+(1-EXP(-LN(2)/2))/(LN(2)/2)*ER94*EU94*VLOOKUP('Données projet'!$B$15,Paramètres!$A$1:$I$89,3,0)*0.475*44/12</f>
        <v>4.8727060075798292E-10</v>
      </c>
      <c r="EY94" s="22">
        <f t="shared" si="75"/>
        <v>191.5690900244486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1.7053025658242404E-13</v>
      </c>
      <c r="FF94" s="17">
        <f>FE94*VLOOKUP('Données projet'!$B$16,Paramètres!$A$1:$I$89,3,0)*VLOOKUP('Données projet'!$B$16,Paramètres!$A$1:$I$89,5,0)</f>
        <v>9.7631982498569413E-14</v>
      </c>
      <c r="FG94" s="13">
        <f t="shared" si="101"/>
        <v>1.4708068762530911E-12</v>
      </c>
      <c r="FH94" s="20">
        <f t="shared" si="76"/>
        <v>2.7316976789924749E-12</v>
      </c>
      <c r="FI94" s="59">
        <f t="shared" si="77"/>
        <v>293.33333333333604</v>
      </c>
      <c r="FJ94" s="59">
        <f ca="1">AVERAGE(OFFSET($FI$3,0,0,'Données projet'!$E$16+1,1))-AVERAGE(OFFSET($H$3,0,0,'Données projet'!$E$16+1,1))</f>
        <v>211.14768428403215</v>
      </c>
      <c r="FK94" s="59">
        <f t="shared" si="102"/>
        <v>350.7800157534798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24.814085573098865</v>
      </c>
      <c r="FR94" s="21">
        <f>EXP(-LN(2)/25)*FR93+(1-EXP(-LN(2)/25))/(LN(2)/25)*Calculateur!FM94*Calculateur!FO94*VLOOKUP('Données projet'!$B$16,Paramètres!$A$1:$I$89,3,0)*0.475*44/12</f>
        <v>3.9647017171327961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28.778787290231662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80.371200000000044</v>
      </c>
      <c r="D95" s="11">
        <f t="shared" si="86"/>
        <v>22.227919990990831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791.99320694799974</v>
      </c>
      <c r="H95" s="66">
        <f t="shared" si="56"/>
        <v>472.0268006509757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3.2</v>
      </c>
      <c r="N95" s="13">
        <f>IF('Données projet'!$A$36&gt;35,N94+M95-V94,IF(A95&lt;'Données projet'!$A$36,$K$205^A95,IF(A95='Données projet'!$A$36,'Données projet'!$B$36,N94+M95-V94)))</f>
        <v>260.39999999999992</v>
      </c>
      <c r="O95" s="13">
        <f>N95*VLOOKUP('Données projet'!$B$9,Paramètres!$A$1:$I$89,3,0)*VLOOKUP('Données projet'!$B$9,Paramètres!$A$1:$I$89,5,0)</f>
        <v>227.48543999999993</v>
      </c>
      <c r="P95" s="13">
        <f t="shared" si="87"/>
        <v>55.738627496252377</v>
      </c>
      <c r="Q95" s="20">
        <f t="shared" si="54"/>
        <v>493.28191755597277</v>
      </c>
      <c r="R95" s="59">
        <f t="shared" si="55"/>
        <v>786.61525088930603</v>
      </c>
      <c r="S95" s="59">
        <f ca="1">AVERAGE(OFFSET($R$3,0,0,'Données projet'!$E$9+1,1))-AVERAGE(OFFSET($H$3,0,0,'Données projet'!$E$9+1,1))</f>
        <v>252.49539407921907</v>
      </c>
      <c r="T95" s="59">
        <f t="shared" si="88"/>
        <v>263.36387286233929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62.909918269873693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62.909918269873693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9.9470000000000027</v>
      </c>
      <c r="AI95" s="13">
        <f>IF('Données projet'!$A$62&gt;35,AI94+AH95-AQ94,IF(A95&lt;'Données projet'!$A$62,$AF$205^A95,IF(A95='Données projet'!$A$62,'Données projet'!$B$62,AI94+AH95-AQ94)))</f>
        <v>395.17100000000011</v>
      </c>
      <c r="AJ95" s="13">
        <f>AI95*VLOOKUP('Données projet'!$B$10,Paramètres!$A$1:$I$89,3,0)*VLOOKUP('Données projet'!$B$10,Paramètres!$A$1:$I$89,5,0)</f>
        <v>357.55072080000008</v>
      </c>
      <c r="AK95" s="13">
        <f t="shared" si="89"/>
        <v>83.115346428782544</v>
      </c>
      <c r="AL95" s="20">
        <f t="shared" si="58"/>
        <v>767.49340042346296</v>
      </c>
      <c r="AM95" s="59">
        <f t="shared" si="59"/>
        <v>1060.8267337567963</v>
      </c>
      <c r="AN95" s="59">
        <f ca="1">AVERAGE(OFFSET($AM$3,0,0,'Données projet'!$E$10+1,1))-AVERAGE(OFFSET($H$3,0,0,'Données projet'!$E$10+1,1))</f>
        <v>370.05613271587413</v>
      </c>
      <c r="AO95" s="59">
        <f t="shared" si="90"/>
        <v>183.24480056442525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114.38802848211533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114.38802848211533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9.9470000000000027</v>
      </c>
      <c r="BD95" s="12">
        <f>IF('Données projet'!$A$88&gt;35,BD94+BC95-BL94,IF(A95&lt;'Données projet'!$A$88,$BA$205^A95,IF(A95='Données projet'!$A$88,'Données projet'!$B$88,BD94+BC95-BL94)))</f>
        <v>395.17100000000011</v>
      </c>
      <c r="BE95" s="13">
        <f>BD95*VLOOKUP('Données projet'!$B$11,Paramètres!$A$1:$I$89,3,0)*VLOOKUP('Données projet'!$B$11,Paramètres!$A$1:$I$89,5,0)</f>
        <v>400.70339400000012</v>
      </c>
      <c r="BF95" s="13">
        <f t="shared" si="91"/>
        <v>91.919252975163644</v>
      </c>
      <c r="BG95" s="20">
        <f t="shared" si="61"/>
        <v>857.9844434817436</v>
      </c>
      <c r="BH95" s="59">
        <f t="shared" si="62"/>
        <v>1151.317776815077</v>
      </c>
      <c r="BI95" s="59">
        <f ca="1">AVERAGE(OFFSET($BH$3,0,0,'Données projet'!$E$11+1,1))-AVERAGE(OFFSET($H$3,0,0,'Données projet'!$E$11+1,1))</f>
        <v>428.72181435671394</v>
      </c>
      <c r="BJ95" s="59">
        <f t="shared" si="92"/>
        <v>211.84936043087572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128.19348019547411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128.19348019547411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367.99999999999972</v>
      </c>
      <c r="BZ95" s="13">
        <f>BY95*VLOOKUP('Données projet'!$B$12,Paramètres!$A$1:$I$89,3,0)*VLOOKUP('Données projet'!$B$12,Paramètres!$A$1:$I$89,5,0)</f>
        <v>292.78079999999977</v>
      </c>
      <c r="CA95" s="13">
        <f t="shared" si="93"/>
        <v>69.660903052386217</v>
      </c>
      <c r="CB95" s="20">
        <f t="shared" si="64"/>
        <v>631.25263281623893</v>
      </c>
      <c r="CC95" s="59">
        <f t="shared" si="65"/>
        <v>924.58596614957219</v>
      </c>
      <c r="CD95" s="59">
        <f ca="1">AVERAGE(OFFSET($CC$3,0,0,'Données projet'!$E$12+1,1))-AVERAGE(OFFSET($H$3,0,0,'Données projet'!$E$12+1,1))</f>
        <v>296.737543892524</v>
      </c>
      <c r="CE95" s="59">
        <f t="shared" si="94"/>
        <v>296.38358650317099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48.59603464347682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48.59603464347682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8.6</v>
      </c>
      <c r="CT95" s="12">
        <f>IF('Données projet'!$A$140&gt;35,CT94+CS95-DB94,IF(A95&lt;'Données projet'!$A$140,$CQ$205^A95,IF(A95='Données projet'!$A$140,'Données projet'!$B$140,CT94+CS95-DB94)))</f>
        <v>437.2</v>
      </c>
      <c r="CU95" s="17">
        <f>CT95*VLOOKUP('Données projet'!$B$13,Paramètres!$A$1:$I$89,3,0)*VLOOKUP('Données projet'!$B$13,Paramètres!$A$1:$I$89,5,0)</f>
        <v>375.11760000000004</v>
      </c>
      <c r="CV95" s="13">
        <f t="shared" si="95"/>
        <v>86.713440086205196</v>
      </c>
      <c r="CW95" s="20">
        <f t="shared" si="67"/>
        <v>804.35572815014075</v>
      </c>
      <c r="CX95" s="59">
        <f t="shared" si="68"/>
        <v>1097.689061483474</v>
      </c>
      <c r="CY95" s="59">
        <f ca="1">AVERAGE(OFFSET($CX$3,0,0,'Données projet'!$E$13+1,1))-AVERAGE(OFFSET($H$3,0,0,'Données projet'!$E$13+1,1))</f>
        <v>391.93999504334352</v>
      </c>
      <c r="CZ95" s="59">
        <f t="shared" si="96"/>
        <v>215.4484906985528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121.50895756675106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121.50895756675106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367.99999999999972</v>
      </c>
      <c r="DP95" s="17">
        <f>DO95*VLOOKUP('Données projet'!$B$14,Paramètres!$A$1:$I$89,3,0)*VLOOKUP('Données projet'!$B$14,Paramètres!$A$1:$I$89,5,0)</f>
        <v>269.8175999999998</v>
      </c>
      <c r="DQ95" s="13">
        <f t="shared" si="97"/>
        <v>64.810557882019467</v>
      </c>
      <c r="DR95" s="20">
        <f t="shared" si="70"/>
        <v>582.81070831118348</v>
      </c>
      <c r="DS95" s="59">
        <f t="shared" si="71"/>
        <v>876.14404164451685</v>
      </c>
      <c r="DT95" s="59">
        <f ca="1">AVERAGE(OFFSET($DS$3,0,0,'Données projet'!$E$14+1,1))-AVERAGE(OFFSET($H$3,0,0,'Données projet'!$E$14+1,1))</f>
        <v>267.92147257573157</v>
      </c>
      <c r="DU95" s="59">
        <f t="shared" si="98"/>
        <v>269.06662611892438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36.334660012751293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36.334660012751293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0.8600000000003547</v>
      </c>
      <c r="EK95" s="17">
        <f>EJ95*VLOOKUP('Données projet'!$B$15,Paramètres!$A$1:$I$89,3,0)*VLOOKUP('Données projet'!$B$15,Paramètres!$A$1:$I$89,5,0)</f>
        <v>0.48074000000019829</v>
      </c>
      <c r="EL95" s="13">
        <f t="shared" si="99"/>
        <v>0.24126147010950588</v>
      </c>
      <c r="EM95" s="20">
        <f t="shared" si="73"/>
        <v>1.2574858937744013</v>
      </c>
      <c r="EN95" s="59">
        <f t="shared" si="74"/>
        <v>294.59081922710772</v>
      </c>
      <c r="EO95" s="59">
        <f ca="1">AVERAGE(OFFSET($EN$3,0,0,'Données projet'!$E$15+1,1))-AVERAGE(OFFSET($H$3,0,0,'Données projet'!$E$15+1,1))</f>
        <v>326.29985515186428</v>
      </c>
      <c r="EP95" s="59">
        <f t="shared" si="100"/>
        <v>437.68177084535927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178.67582729944377</v>
      </c>
      <c r="EW95" s="21">
        <f>EXP(-LN(2)/25)*EW94+(1-EXP(-LN(2)/25))/(LN(2)/25)*Calculateur!ER95*Calculateur!ET95*VLOOKUP('Données projet'!$B$15,Paramètres!$A$1:$I$89,3,0)*0.475*44/12</f>
        <v>9.0646175279793191</v>
      </c>
      <c r="EX95" s="21">
        <f>EXP(-LN(2)/2)*EX94+(1-EXP(-LN(2)/2))/(LN(2)/2)*ER95*EU95*VLOOKUP('Données projet'!$B$15,Paramètres!$A$1:$I$89,3,0)*0.475*44/12</f>
        <v>3.445523460688126E-10</v>
      </c>
      <c r="EY95" s="22">
        <f t="shared" si="75"/>
        <v>187.74044482776765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1.7053025658242404E-13</v>
      </c>
      <c r="FF95" s="17">
        <f>FE95*VLOOKUP('Données projet'!$B$16,Paramètres!$A$1:$I$89,3,0)*VLOOKUP('Données projet'!$B$16,Paramètres!$A$1:$I$89,5,0)</f>
        <v>9.7631982498569413E-14</v>
      </c>
      <c r="FG95" s="13">
        <f t="shared" si="101"/>
        <v>1.4708068762530911E-12</v>
      </c>
      <c r="FH95" s="20">
        <f t="shared" si="76"/>
        <v>2.7316976789924749E-12</v>
      </c>
      <c r="FI95" s="59">
        <f t="shared" si="77"/>
        <v>293.33333333333604</v>
      </c>
      <c r="FJ95" s="59">
        <f ca="1">AVERAGE(OFFSET($FI$3,0,0,'Données projet'!$E$16+1,1))-AVERAGE(OFFSET($H$3,0,0,'Données projet'!$E$16+1,1))</f>
        <v>211.14768428403215</v>
      </c>
      <c r="FK95" s="59">
        <f t="shared" si="102"/>
        <v>350.7800157534798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24.327496490108128</v>
      </c>
      <c r="FR95" s="21">
        <f>EXP(-LN(2)/25)*FR94+(1-EXP(-LN(2)/25))/(LN(2)/25)*Calculateur!FM95*Calculateur!FO95*VLOOKUP('Données projet'!$B$16,Paramètres!$A$1:$I$89,3,0)*0.475*44/12</f>
        <v>3.8562867401831977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28.183783230291326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81.244800000000041</v>
      </c>
      <c r="D96" s="11">
        <f t="shared" si="86"/>
        <v>22.441270156928979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800.38369945699606</v>
      </c>
      <c r="H96" s="66">
        <f t="shared" si="56"/>
        <v>473.91990552331799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3.2</v>
      </c>
      <c r="N96" s="13">
        <f>IF('Données projet'!$A$36&gt;35,N95+M96-V95,IF(A96&lt;'Données projet'!$A$36,$K$205^A96,IF(A96='Données projet'!$A$36,'Données projet'!$B$36,N95+M96-V95)))</f>
        <v>263.59999999999991</v>
      </c>
      <c r="O96" s="13">
        <f>N96*VLOOKUP('Données projet'!$B$9,Paramètres!$A$1:$I$89,3,0)*VLOOKUP('Données projet'!$B$9,Paramètres!$A$1:$I$89,5,0)</f>
        <v>230.28095999999994</v>
      </c>
      <c r="P96" s="13">
        <f t="shared" si="87"/>
        <v>56.343427334913351</v>
      </c>
      <c r="Q96" s="20">
        <f t="shared" si="54"/>
        <v>499.20414127497389</v>
      </c>
      <c r="R96" s="59">
        <f t="shared" si="55"/>
        <v>792.53747460830721</v>
      </c>
      <c r="S96" s="59">
        <f ca="1">AVERAGE(OFFSET($R$3,0,0,'Données projet'!$E$9+1,1))-AVERAGE(OFFSET($H$3,0,0,'Données projet'!$E$9+1,1))</f>
        <v>252.49539407921907</v>
      </c>
      <c r="T96" s="59">
        <f t="shared" si="88"/>
        <v>263.36387286233929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61.676293143862765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61.676293143862765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9.9470000000000027</v>
      </c>
      <c r="AI96" s="13">
        <f>IF('Données projet'!$A$62&gt;35,AI95+AH96-AQ95,IF(A96&lt;'Données projet'!$A$62,$AF$205^A96,IF(A96='Données projet'!$A$62,'Données projet'!$B$62,AI95+AH96-AQ95)))</f>
        <v>405.11800000000011</v>
      </c>
      <c r="AJ96" s="13">
        <f>AI96*VLOOKUP('Données projet'!$B$10,Paramètres!$A$1:$I$89,3,0)*VLOOKUP('Données projet'!$B$10,Paramètres!$A$1:$I$89,5,0)</f>
        <v>366.5507664000001</v>
      </c>
      <c r="AK96" s="13">
        <f t="shared" si="89"/>
        <v>84.961267689272873</v>
      </c>
      <c r="AL96" s="20">
        <f t="shared" si="58"/>
        <v>786.38345937215036</v>
      </c>
      <c r="AM96" s="59">
        <f t="shared" si="59"/>
        <v>1079.7167927054836</v>
      </c>
      <c r="AN96" s="59">
        <f ca="1">AVERAGE(OFFSET($AM$3,0,0,'Données projet'!$E$10+1,1))-AVERAGE(OFFSET($H$3,0,0,'Données projet'!$E$10+1,1))</f>
        <v>370.05613271587413</v>
      </c>
      <c r="AO96" s="59">
        <f t="shared" si="90"/>
        <v>183.24480056442525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112.14494901338922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112.14494901338922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9.9470000000000027</v>
      </c>
      <c r="BD96" s="12">
        <f>IF('Données projet'!$A$88&gt;35,BD95+BC96-BL95,IF(A96&lt;'Données projet'!$A$88,$BA$205^A96,IF(A96='Données projet'!$A$88,'Données projet'!$B$88,BD95+BC96-BL95)))</f>
        <v>405.11800000000011</v>
      </c>
      <c r="BE96" s="13">
        <f>BD96*VLOOKUP('Données projet'!$B$11,Paramètres!$A$1:$I$89,3,0)*VLOOKUP('Données projet'!$B$11,Paramètres!$A$1:$I$89,5,0)</f>
        <v>410.7896520000001</v>
      </c>
      <c r="BF96" s="13">
        <f t="shared" si="91"/>
        <v>93.960701523544898</v>
      </c>
      <c r="BG96" s="20">
        <f t="shared" si="61"/>
        <v>879.10686572017414</v>
      </c>
      <c r="BH96" s="59">
        <f t="shared" si="62"/>
        <v>1172.4401990535075</v>
      </c>
      <c r="BI96" s="59">
        <f ca="1">AVERAGE(OFFSET($BH$3,0,0,'Données projet'!$E$11+1,1))-AVERAGE(OFFSET($H$3,0,0,'Données projet'!$E$11+1,1))</f>
        <v>428.72181435671394</v>
      </c>
      <c r="BJ96" s="59">
        <f t="shared" si="92"/>
        <v>211.84936043087572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125.67968423914313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125.67968423914313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367.99999999999972</v>
      </c>
      <c r="BZ96" s="13">
        <f>BY96*VLOOKUP('Données projet'!$B$12,Paramètres!$A$1:$I$89,3,0)*VLOOKUP('Données projet'!$B$12,Paramètres!$A$1:$I$89,5,0)</f>
        <v>292.78079999999977</v>
      </c>
      <c r="CA96" s="13">
        <f t="shared" si="93"/>
        <v>69.660903052386217</v>
      </c>
      <c r="CB96" s="20">
        <f t="shared" si="64"/>
        <v>631.25263281623893</v>
      </c>
      <c r="CC96" s="59">
        <f t="shared" si="65"/>
        <v>924.58596614957219</v>
      </c>
      <c r="CD96" s="59">
        <f ca="1">AVERAGE(OFFSET($CC$3,0,0,'Données projet'!$E$12+1,1))-AVERAGE(OFFSET($H$3,0,0,'Données projet'!$E$12+1,1))</f>
        <v>296.737543892524</v>
      </c>
      <c r="CE96" s="59">
        <f t="shared" si="94"/>
        <v>296.38358650317099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47.643096044772598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47.643096044772598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8.6</v>
      </c>
      <c r="CT96" s="12">
        <f>IF('Données projet'!$A$140&gt;35,CT95+CS96-DB95,IF(A96&lt;'Données projet'!$A$140,$CQ$205^A96,IF(A96='Données projet'!$A$140,'Données projet'!$B$140,CT95+CS96-DB95)))</f>
        <v>445.8</v>
      </c>
      <c r="CU96" s="17">
        <f>CT96*VLOOKUP('Données projet'!$B$13,Paramètres!$A$1:$I$89,3,0)*VLOOKUP('Données projet'!$B$13,Paramètres!$A$1:$I$89,5,0)</f>
        <v>382.49640000000005</v>
      </c>
      <c r="CV96" s="13">
        <f t="shared" si="95"/>
        <v>88.218890823541386</v>
      </c>
      <c r="CW96" s="20">
        <f t="shared" si="67"/>
        <v>819.82913151766786</v>
      </c>
      <c r="CX96" s="59">
        <f t="shared" si="68"/>
        <v>1113.1624648510012</v>
      </c>
      <c r="CY96" s="59">
        <f ca="1">AVERAGE(OFFSET($CX$3,0,0,'Données projet'!$E$13+1,1))-AVERAGE(OFFSET($H$3,0,0,'Données projet'!$E$13+1,1))</f>
        <v>391.93999504334352</v>
      </c>
      <c r="CZ96" s="59">
        <f t="shared" si="96"/>
        <v>215.4484906985528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119.12624102201313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119.12624102201313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367.99999999999972</v>
      </c>
      <c r="DP96" s="17">
        <f>DO96*VLOOKUP('Données projet'!$B$14,Paramètres!$A$1:$I$89,3,0)*VLOOKUP('Données projet'!$B$14,Paramètres!$A$1:$I$89,5,0)</f>
        <v>269.8175999999998</v>
      </c>
      <c r="DQ96" s="13">
        <f t="shared" si="97"/>
        <v>64.810557882019467</v>
      </c>
      <c r="DR96" s="20">
        <f t="shared" si="70"/>
        <v>582.81070831118348</v>
      </c>
      <c r="DS96" s="59">
        <f t="shared" si="71"/>
        <v>876.14404164451685</v>
      </c>
      <c r="DT96" s="59">
        <f ca="1">AVERAGE(OFFSET($DS$3,0,0,'Données projet'!$E$14+1,1))-AVERAGE(OFFSET($H$3,0,0,'Données projet'!$E$14+1,1))</f>
        <v>267.92147257573157</v>
      </c>
      <c r="DU96" s="59">
        <f t="shared" si="98"/>
        <v>269.06662611892438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35.622159491855534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35.622159491855534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0.8600000000003547</v>
      </c>
      <c r="EK96" s="17">
        <f>EJ96*VLOOKUP('Données projet'!$B$15,Paramètres!$A$1:$I$89,3,0)*VLOOKUP('Données projet'!$B$15,Paramètres!$A$1:$I$89,5,0)</f>
        <v>0.48074000000019829</v>
      </c>
      <c r="EL96" s="13">
        <f t="shared" si="99"/>
        <v>0.24126147010950588</v>
      </c>
      <c r="EM96" s="20">
        <f t="shared" si="73"/>
        <v>1.2574858937744013</v>
      </c>
      <c r="EN96" s="59">
        <f t="shared" si="74"/>
        <v>294.59081922710772</v>
      </c>
      <c r="EO96" s="59">
        <f ca="1">AVERAGE(OFFSET($EN$3,0,0,'Données projet'!$E$15+1,1))-AVERAGE(OFFSET($H$3,0,0,'Données projet'!$E$15+1,1))</f>
        <v>326.29985515186428</v>
      </c>
      <c r="EP96" s="59">
        <f t="shared" si="100"/>
        <v>437.68177084535927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175.17210330759531</v>
      </c>
      <c r="EW96" s="21">
        <f>EXP(-LN(2)/25)*EW95+(1-EXP(-LN(2)/25))/(LN(2)/25)*Calculateur!ER96*Calculateur!ET96*VLOOKUP('Données projet'!$B$15,Paramètres!$A$1:$I$89,3,0)*0.475*44/12</f>
        <v>8.8167450849892059</v>
      </c>
      <c r="EX96" s="21">
        <f>EXP(-LN(2)/2)*EX95+(1-EXP(-LN(2)/2))/(LN(2)/2)*ER96*EU96*VLOOKUP('Données projet'!$B$15,Paramètres!$A$1:$I$89,3,0)*0.475*44/12</f>
        <v>2.4363530037899146E-10</v>
      </c>
      <c r="EY96" s="22">
        <f t="shared" si="75"/>
        <v>183.98884839282815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1.7053025658242404E-13</v>
      </c>
      <c r="FF96" s="17">
        <f>FE96*VLOOKUP('Données projet'!$B$16,Paramètres!$A$1:$I$89,3,0)*VLOOKUP('Données projet'!$B$16,Paramètres!$A$1:$I$89,5,0)</f>
        <v>9.7631982498569413E-14</v>
      </c>
      <c r="FG96" s="13">
        <f t="shared" si="101"/>
        <v>1.4708068762530911E-12</v>
      </c>
      <c r="FH96" s="20">
        <f t="shared" si="76"/>
        <v>2.7316976789924749E-12</v>
      </c>
      <c r="FI96" s="59">
        <f t="shared" si="77"/>
        <v>293.33333333333604</v>
      </c>
      <c r="FJ96" s="59">
        <f ca="1">AVERAGE(OFFSET($FI$3,0,0,'Données projet'!$E$16+1,1))-AVERAGE(OFFSET($H$3,0,0,'Données projet'!$E$16+1,1))</f>
        <v>211.14768428403215</v>
      </c>
      <c r="FK96" s="59">
        <f t="shared" si="102"/>
        <v>350.7800157534798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23.850449122244807</v>
      </c>
      <c r="FR96" s="21">
        <f>EXP(-LN(2)/25)*FR95+(1-EXP(-LN(2)/25))/(LN(2)/25)*Calculateur!FM96*Calculateur!FO96*VLOOKUP('Données projet'!$B$16,Paramètres!$A$1:$I$89,3,0)*0.475*44/12</f>
        <v>3.7508363764795822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27.601285498724391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82.118400000000037</v>
      </c>
      <c r="D97" s="11">
        <f t="shared" si="86"/>
        <v>22.654353452648408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808.77213191518103</v>
      </c>
      <c r="H97" s="66">
        <f t="shared" si="56"/>
        <v>475.81254559669605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3.2</v>
      </c>
      <c r="N97" s="13">
        <f>IF('Données projet'!$A$36&gt;35,N96+M97-V96,IF(A97&lt;'Données projet'!$A$36,$K$205^A97,IF(A97='Données projet'!$A$36,'Données projet'!$B$36,N96+M97-V96)))</f>
        <v>266.7999999999999</v>
      </c>
      <c r="O97" s="13">
        <f>N97*VLOOKUP('Données projet'!$B$9,Paramètres!$A$1:$I$89,3,0)*VLOOKUP('Données projet'!$B$9,Paramètres!$A$1:$I$89,5,0)</f>
        <v>233.07647999999995</v>
      </c>
      <c r="P97" s="13">
        <f t="shared" si="87"/>
        <v>56.947373142454879</v>
      </c>
      <c r="Q97" s="20">
        <f t="shared" si="54"/>
        <v>505.12487755644207</v>
      </c>
      <c r="R97" s="59">
        <f t="shared" si="55"/>
        <v>798.45821088977539</v>
      </c>
      <c r="S97" s="59">
        <f ca="1">AVERAGE(OFFSET($R$3,0,0,'Données projet'!$E$9+1,1))-AVERAGE(OFFSET($H$3,0,0,'Données projet'!$E$9+1,1))</f>
        <v>252.49539407921907</v>
      </c>
      <c r="T97" s="59">
        <f t="shared" si="88"/>
        <v>263.36387286233929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60.466858654135883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60.466858654135883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9.9470000000000027</v>
      </c>
      <c r="AI97" s="13">
        <f>IF('Données projet'!$A$62&gt;35,AI96+AH97-AQ96,IF(A97&lt;'Données projet'!$A$62,$AF$205^A97,IF(A97='Données projet'!$A$62,'Données projet'!$B$62,AI96+AH97-AQ96)))</f>
        <v>415.06500000000011</v>
      </c>
      <c r="AJ97" s="13">
        <f>AI97*VLOOKUP('Données projet'!$B$10,Paramètres!$A$1:$I$89,3,0)*VLOOKUP('Données projet'!$B$10,Paramètres!$A$1:$I$89,5,0)</f>
        <v>375.55081200000006</v>
      </c>
      <c r="AK97" s="13">
        <f t="shared" si="89"/>
        <v>86.801920262883286</v>
      </c>
      <c r="AL97" s="20">
        <f t="shared" si="58"/>
        <v>805.26434202452174</v>
      </c>
      <c r="AM97" s="59">
        <f t="shared" si="59"/>
        <v>1098.597675357855</v>
      </c>
      <c r="AN97" s="59">
        <f ca="1">AVERAGE(OFFSET($AM$3,0,0,'Données projet'!$E$10+1,1))-AVERAGE(OFFSET($H$3,0,0,'Données projet'!$E$10+1,1))</f>
        <v>370.05613271587413</v>
      </c>
      <c r="AO97" s="59">
        <f t="shared" si="90"/>
        <v>183.24480056442525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109.94585496490146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109.94585496490146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9.9470000000000027</v>
      </c>
      <c r="BD97" s="12">
        <f>IF('Données projet'!$A$88&gt;35,BD96+BC97-BL96,IF(A97&lt;'Données projet'!$A$88,$BA$205^A97,IF(A97='Données projet'!$A$88,'Données projet'!$B$88,BD96+BC97-BL96)))</f>
        <v>415.06500000000011</v>
      </c>
      <c r="BE97" s="13">
        <f>BD97*VLOOKUP('Données projet'!$B$11,Paramètres!$A$1:$I$89,3,0)*VLOOKUP('Données projet'!$B$11,Paramètres!$A$1:$I$89,5,0)</f>
        <v>420.87591000000015</v>
      </c>
      <c r="BF97" s="13">
        <f t="shared" si="91"/>
        <v>95.996323304873258</v>
      </c>
      <c r="BG97" s="20">
        <f t="shared" si="61"/>
        <v>900.21913967265436</v>
      </c>
      <c r="BH97" s="59">
        <f t="shared" si="62"/>
        <v>1193.5524730059876</v>
      </c>
      <c r="BI97" s="59">
        <f ca="1">AVERAGE(OFFSET($BH$3,0,0,'Données projet'!$E$11+1,1))-AVERAGE(OFFSET($H$3,0,0,'Données projet'!$E$11+1,1))</f>
        <v>428.72181435671394</v>
      </c>
      <c r="BJ97" s="59">
        <f t="shared" si="92"/>
        <v>211.84936043087572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123.21518228825167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123.21518228825167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367.99999999999972</v>
      </c>
      <c r="BZ97" s="13">
        <f>BY97*VLOOKUP('Données projet'!$B$12,Paramètres!$A$1:$I$89,3,0)*VLOOKUP('Données projet'!$B$12,Paramètres!$A$1:$I$89,5,0)</f>
        <v>292.78079999999977</v>
      </c>
      <c r="CA97" s="13">
        <f t="shared" si="93"/>
        <v>69.660903052386217</v>
      </c>
      <c r="CB97" s="20">
        <f t="shared" si="64"/>
        <v>631.25263281623893</v>
      </c>
      <c r="CC97" s="59">
        <f t="shared" si="65"/>
        <v>924.58596614957219</v>
      </c>
      <c r="CD97" s="59">
        <f ca="1">AVERAGE(OFFSET($CC$3,0,0,'Données projet'!$E$12+1,1))-AVERAGE(OFFSET($H$3,0,0,'Données projet'!$E$12+1,1))</f>
        <v>296.737543892524</v>
      </c>
      <c r="CE97" s="59">
        <f t="shared" si="94"/>
        <v>296.38358650317099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46.708843990753813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46.708843990753813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8.6</v>
      </c>
      <c r="CT97" s="12">
        <f>IF('Données projet'!$A$140&gt;35,CT96+CS97-DB96,IF(A97&lt;'Données projet'!$A$140,$CQ$205^A97,IF(A97='Données projet'!$A$140,'Données projet'!$B$140,CT96+CS97-DB96)))</f>
        <v>454.40000000000003</v>
      </c>
      <c r="CU97" s="17">
        <f>CT97*VLOOKUP('Données projet'!$B$13,Paramètres!$A$1:$I$89,3,0)*VLOOKUP('Données projet'!$B$13,Paramètres!$A$1:$I$89,5,0)</f>
        <v>389.87520000000006</v>
      </c>
      <c r="CV97" s="13">
        <f t="shared" si="95"/>
        <v>89.720964655579479</v>
      </c>
      <c r="CW97" s="20">
        <f t="shared" si="67"/>
        <v>835.29665344180091</v>
      </c>
      <c r="CX97" s="59">
        <f t="shared" si="68"/>
        <v>1128.6299867751343</v>
      </c>
      <c r="CY97" s="59">
        <f ca="1">AVERAGE(OFFSET($CX$3,0,0,'Données projet'!$E$13+1,1))-AVERAGE(OFFSET($H$3,0,0,'Données projet'!$E$13+1,1))</f>
        <v>391.93999504334352</v>
      </c>
      <c r="CZ97" s="59">
        <f t="shared" si="96"/>
        <v>215.4484906985528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116.79024809540391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116.79024809540391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367.99999999999972</v>
      </c>
      <c r="DP97" s="17">
        <f>DO97*VLOOKUP('Données projet'!$B$14,Paramètres!$A$1:$I$89,3,0)*VLOOKUP('Données projet'!$B$14,Paramètres!$A$1:$I$89,5,0)</f>
        <v>269.8175999999998</v>
      </c>
      <c r="DQ97" s="13">
        <f t="shared" si="97"/>
        <v>64.810557882019467</v>
      </c>
      <c r="DR97" s="20">
        <f t="shared" si="70"/>
        <v>582.81070831118348</v>
      </c>
      <c r="DS97" s="59">
        <f t="shared" si="71"/>
        <v>876.14404164451685</v>
      </c>
      <c r="DT97" s="59">
        <f ca="1">AVERAGE(OFFSET($DS$3,0,0,'Données projet'!$E$14+1,1))-AVERAGE(OFFSET($H$3,0,0,'Données projet'!$E$14+1,1))</f>
        <v>267.92147257573157</v>
      </c>
      <c r="DU97" s="59">
        <f t="shared" si="98"/>
        <v>269.06662611892438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34.923630671592136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34.923630671592136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0.8600000000003547</v>
      </c>
      <c r="EK97" s="17">
        <f>EJ97*VLOOKUP('Données projet'!$B$15,Paramètres!$A$1:$I$89,3,0)*VLOOKUP('Données projet'!$B$15,Paramètres!$A$1:$I$89,5,0)</f>
        <v>0.48074000000019829</v>
      </c>
      <c r="EL97" s="13">
        <f t="shared" si="99"/>
        <v>0.24126147010950588</v>
      </c>
      <c r="EM97" s="20">
        <f t="shared" si="73"/>
        <v>1.2574858937744013</v>
      </c>
      <c r="EN97" s="59">
        <f t="shared" si="74"/>
        <v>294.59081922710772</v>
      </c>
      <c r="EO97" s="59">
        <f ca="1">AVERAGE(OFFSET($EN$3,0,0,'Données projet'!$E$15+1,1))-AVERAGE(OFFSET($H$3,0,0,'Données projet'!$E$15+1,1))</f>
        <v>326.29985515186428</v>
      </c>
      <c r="EP97" s="59">
        <f t="shared" si="100"/>
        <v>437.68177084535927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171.73708520616637</v>
      </c>
      <c r="EW97" s="21">
        <f>EXP(-LN(2)/25)*EW96+(1-EXP(-LN(2)/25))/(LN(2)/25)*Calculateur!ER97*Calculateur!ET97*VLOOKUP('Données projet'!$B$15,Paramètres!$A$1:$I$89,3,0)*0.475*44/12</f>
        <v>8.5756507269877034</v>
      </c>
      <c r="EX97" s="21">
        <f>EXP(-LN(2)/2)*EX96+(1-EXP(-LN(2)/2))/(LN(2)/2)*ER97*EU97*VLOOKUP('Données projet'!$B$15,Paramètres!$A$1:$I$89,3,0)*0.475*44/12</f>
        <v>1.722761730344063E-10</v>
      </c>
      <c r="EY97" s="22">
        <f t="shared" si="75"/>
        <v>180.31273593332634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1.7053025658242404E-13</v>
      </c>
      <c r="FF97" s="17">
        <f>FE97*VLOOKUP('Données projet'!$B$16,Paramètres!$A$1:$I$89,3,0)*VLOOKUP('Données projet'!$B$16,Paramètres!$A$1:$I$89,5,0)</f>
        <v>9.7631982498569413E-14</v>
      </c>
      <c r="FG97" s="13">
        <f t="shared" si="101"/>
        <v>1.4708068762530911E-12</v>
      </c>
      <c r="FH97" s="20">
        <f t="shared" si="76"/>
        <v>2.7316976789924749E-12</v>
      </c>
      <c r="FI97" s="59">
        <f t="shared" si="77"/>
        <v>293.33333333333604</v>
      </c>
      <c r="FJ97" s="59">
        <f ca="1">AVERAGE(OFFSET($FI$3,0,0,'Données projet'!$E$16+1,1))-AVERAGE(OFFSET($H$3,0,0,'Données projet'!$E$16+1,1))</f>
        <v>211.14768428403215</v>
      </c>
      <c r="FK97" s="59">
        <f t="shared" si="102"/>
        <v>350.7800157534798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23.382756362295122</v>
      </c>
      <c r="FR97" s="21">
        <f>EXP(-LN(2)/25)*FR96+(1-EXP(-LN(2)/25))/(LN(2)/25)*Calculateur!FM97*Calculateur!FO97*VLOOKUP('Données projet'!$B$16,Paramètres!$A$1:$I$89,3,0)*0.475*44/12</f>
        <v>3.6482695585168359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27.03102592081196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82.992000000000033</v>
      </c>
      <c r="D98" s="11">
        <f t="shared" si="86"/>
        <v>22.867173045817324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817.15852877473037</v>
      </c>
      <c r="H98" s="66">
        <f t="shared" si="56"/>
        <v>477.70472638813186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270</v>
      </c>
      <c r="L98" s="12">
        <f>VLOOKUP(A98,'Données projet'!$A$35:$I$55,9,0)</f>
        <v>3.2</v>
      </c>
      <c r="M98" s="12">
        <f t="array" ref="M98">INDEX(L:L,MIN(IF(ISNUMBER(L98:L294),ROW(L98:L294),"")))</f>
        <v>3.2</v>
      </c>
      <c r="N98" s="13">
        <f>IF('Données projet'!$A$36&gt;35,N97+M98-V97,IF(A98&lt;'Données projet'!$A$36,$K$205^A98,IF(A98='Données projet'!$A$36,'Données projet'!$B$36,N97+M98-V97)))</f>
        <v>269.99999999999989</v>
      </c>
      <c r="O98" s="13">
        <f>N98*VLOOKUP('Données projet'!$B$9,Paramètres!$A$1:$I$89,3,0)*VLOOKUP('Données projet'!$B$9,Paramètres!$A$1:$I$89,5,0)</f>
        <v>235.87199999999996</v>
      </c>
      <c r="P98" s="13">
        <f t="shared" si="87"/>
        <v>57.550476347015277</v>
      </c>
      <c r="Q98" s="20">
        <f t="shared" si="54"/>
        <v>511.04414630438487</v>
      </c>
      <c r="R98" s="59">
        <f t="shared" si="55"/>
        <v>804.37747963771812</v>
      </c>
      <c r="S98" s="59">
        <f ca="1">AVERAGE(OFFSET($R$3,0,0,'Données projet'!$E$9+1,1))-AVERAGE(OFFSET($H$3,0,0,'Données projet'!$E$9+1,1))</f>
        <v>252.49539407921907</v>
      </c>
      <c r="T98" s="59">
        <f t="shared" si="88"/>
        <v>263.36387286233929</v>
      </c>
      <c r="U98" s="15">
        <f>IF(ISNA(VLOOKUP(A98,'Données projet'!$A$35:$I$55,3,0)),0,VLOOKUP(A98,'Données projet'!$A$35:$I$55,3,0))</f>
        <v>17</v>
      </c>
      <c r="V98" s="15">
        <f>IF(ISNA(VLOOKUP(A98,'Données projet'!$A$35:$I$55,4,0)),0,VLOOKUP(A98,'Données projet'!$A$35:$I$55,4,0))</f>
        <v>13</v>
      </c>
      <c r="W98" s="16">
        <f>IF(ISNA(VLOOKUP(A98,'Données projet'!$A$35:$I$55,5,0)),0%,VLOOKUP(A98,'Données projet'!$A$35:$I$55,5,0)*VLOOKUP('Données projet'!$B$9,Paramètres!$A$1:$I$89,7,0))</f>
        <v>0.43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64.679621019770664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64.679621019770664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9.9470000000000027</v>
      </c>
      <c r="AI98" s="13">
        <f>IF('Données projet'!$A$62&gt;35,AI97+AH98-AQ97,IF(A98&lt;'Données projet'!$A$62,$AF$205^A98,IF(A98='Données projet'!$A$62,'Données projet'!$B$62,AI97+AH98-AQ97)))</f>
        <v>425.01200000000011</v>
      </c>
      <c r="AJ98" s="13">
        <f>AI98*VLOOKUP('Données projet'!$B$10,Paramètres!$A$1:$I$89,3,0)*VLOOKUP('Données projet'!$B$10,Paramètres!$A$1:$I$89,5,0)</f>
        <v>384.55085760000009</v>
      </c>
      <c r="AK98" s="13">
        <f t="shared" si="89"/>
        <v>88.637444941196293</v>
      </c>
      <c r="AL98" s="20">
        <f t="shared" si="58"/>
        <v>824.13629359258357</v>
      </c>
      <c r="AM98" s="59">
        <f t="shared" si="59"/>
        <v>1117.4696269259168</v>
      </c>
      <c r="AN98" s="59">
        <f ca="1">AVERAGE(OFFSET($AM$3,0,0,'Données projet'!$E$10+1,1))-AVERAGE(OFFSET($H$3,0,0,'Données projet'!$E$10+1,1))</f>
        <v>370.05613271587413</v>
      </c>
      <c r="AO98" s="59">
        <f t="shared" si="90"/>
        <v>183.24480056442525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107.78988380938961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107.78988380938961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9.9470000000000027</v>
      </c>
      <c r="BD98" s="12">
        <f>IF('Données projet'!$A$88&gt;35,BD97+BC98-BL97,IF(A98&lt;'Données projet'!$A$88,$BA$205^A98,IF(A98='Données projet'!$A$88,'Données projet'!$B$88,BD97+BC98-BL97)))</f>
        <v>425.01200000000011</v>
      </c>
      <c r="BE98" s="13">
        <f>BD98*VLOOKUP('Données projet'!$B$11,Paramètres!$A$1:$I$89,3,0)*VLOOKUP('Données projet'!$B$11,Paramètres!$A$1:$I$89,5,0)</f>
        <v>430.96216800000013</v>
      </c>
      <c r="BF98" s="13">
        <f t="shared" si="91"/>
        <v>98.026274023933112</v>
      </c>
      <c r="BG98" s="20">
        <f t="shared" si="61"/>
        <v>921.321536525017</v>
      </c>
      <c r="BH98" s="59">
        <f t="shared" si="62"/>
        <v>1214.6548698583504</v>
      </c>
      <c r="BI98" s="59">
        <f ca="1">AVERAGE(OFFSET($BH$3,0,0,'Données projet'!$E$11+1,1))-AVERAGE(OFFSET($H$3,0,0,'Données projet'!$E$11+1,1))</f>
        <v>428.72181435671394</v>
      </c>
      <c r="BJ98" s="59">
        <f t="shared" si="92"/>
        <v>211.84936043087572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120.79900771741943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120.79900771741943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367.99999999999972</v>
      </c>
      <c r="BZ98" s="13">
        <f>BY98*VLOOKUP('Données projet'!$B$12,Paramètres!$A$1:$I$89,3,0)*VLOOKUP('Données projet'!$B$12,Paramètres!$A$1:$I$89,5,0)</f>
        <v>292.78079999999977</v>
      </c>
      <c r="CA98" s="13">
        <f t="shared" si="93"/>
        <v>69.660903052386217</v>
      </c>
      <c r="CB98" s="20">
        <f t="shared" si="64"/>
        <v>631.25263281623893</v>
      </c>
      <c r="CC98" s="59">
        <f t="shared" si="65"/>
        <v>924.58596614957219</v>
      </c>
      <c r="CD98" s="59">
        <f ca="1">AVERAGE(OFFSET($CC$3,0,0,'Données projet'!$E$12+1,1))-AVERAGE(OFFSET($H$3,0,0,'Données projet'!$E$12+1,1))</f>
        <v>296.737543892524</v>
      </c>
      <c r="CE98" s="59">
        <f t="shared" si="94"/>
        <v>296.38358650317099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45.79291204967685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45.79291204967685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>
        <f>VLOOKUP(A98,'Données projet'!$A$139:$I$159,2,0)</f>
        <v>463</v>
      </c>
      <c r="CR98" s="12">
        <f>VLOOKUP(A98,'Données projet'!$A$139:$I$159,9,0)</f>
        <v>8.6</v>
      </c>
      <c r="CS98" s="12">
        <f t="array" ref="CS98">INDEX(CR:CR,MIN(IF(ISNUMBER(CR98:CR294),ROW(CR98:CR294),"")))</f>
        <v>8.6</v>
      </c>
      <c r="CT98" s="12">
        <f>IF('Données projet'!$A$140&gt;35,CT97+CS98-DB97,IF(A98&lt;'Données projet'!$A$140,$CQ$205^A98,IF(A98='Données projet'!$A$140,'Données projet'!$B$140,CT97+CS98-DB97)))</f>
        <v>463.00000000000006</v>
      </c>
      <c r="CU98" s="17">
        <f>CT98*VLOOKUP('Données projet'!$B$13,Paramètres!$A$1:$I$89,3,0)*VLOOKUP('Données projet'!$B$13,Paramètres!$A$1:$I$89,5,0)</f>
        <v>397.25400000000013</v>
      </c>
      <c r="CV98" s="13">
        <f t="shared" si="95"/>
        <v>91.219732863167494</v>
      </c>
      <c r="CW98" s="20">
        <f t="shared" si="67"/>
        <v>850.75841807001689</v>
      </c>
      <c r="CX98" s="59">
        <f t="shared" si="68"/>
        <v>1144.0917514033501</v>
      </c>
      <c r="CY98" s="59">
        <f ca="1">AVERAGE(OFFSET($CX$3,0,0,'Données projet'!$E$13+1,1))-AVERAGE(OFFSET($H$3,0,0,'Données projet'!$E$13+1,1))</f>
        <v>391.93999504334352</v>
      </c>
      <c r="CZ98" s="59">
        <f t="shared" si="96"/>
        <v>215.4484906985528</v>
      </c>
      <c r="DA98" s="15">
        <f>IF(ISNA(VLOOKUP(A98,'Données projet'!$A$139:$I$159,3,0)),0,VLOOKUP(A98,'Données projet'!$A$139:$I$159,3,0))</f>
        <v>15</v>
      </c>
      <c r="DB98" s="15">
        <f>IF(ISNA(VLOOKUP(A98,'Données projet'!$A$139:$I$159,4,0)),0,VLOOKUP(A98,'Données projet'!$A$139:$I$159,4,0))</f>
        <v>30</v>
      </c>
      <c r="DC98" s="16">
        <f>IF(ISNA(VLOOKUP(A98,'Données projet'!$A$139:$I$159,5,0)),0%,VLOOKUP(A98,'Données projet'!$A$139:$I$159,5,0)*VLOOKUP('Données projet'!$B$13,Paramètres!$A$1:$I$89,7,0))</f>
        <v>0.53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129.58111057693492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129.58111057693492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367.99999999999972</v>
      </c>
      <c r="DP98" s="17">
        <f>DO98*VLOOKUP('Données projet'!$B$14,Paramètres!$A$1:$I$89,3,0)*VLOOKUP('Données projet'!$B$14,Paramètres!$A$1:$I$89,5,0)</f>
        <v>269.8175999999998</v>
      </c>
      <c r="DQ98" s="13">
        <f t="shared" si="97"/>
        <v>64.810557882019467</v>
      </c>
      <c r="DR98" s="20">
        <f t="shared" si="70"/>
        <v>582.81070831118348</v>
      </c>
      <c r="DS98" s="59">
        <f t="shared" si="71"/>
        <v>876.14404164451685</v>
      </c>
      <c r="DT98" s="59">
        <f ca="1">AVERAGE(OFFSET($DS$3,0,0,'Données projet'!$E$14+1,1))-AVERAGE(OFFSET($H$3,0,0,'Données projet'!$E$14+1,1))</f>
        <v>267.92147257573157</v>
      </c>
      <c r="DU98" s="59">
        <f t="shared" si="98"/>
        <v>269.06662611892438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34.238799575433596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34.238799575433596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0.8600000000003547</v>
      </c>
      <c r="EK98" s="17">
        <f>EJ98*VLOOKUP('Données projet'!$B$15,Paramètres!$A$1:$I$89,3,0)*VLOOKUP('Données projet'!$B$15,Paramètres!$A$1:$I$89,5,0)</f>
        <v>0.48074000000019829</v>
      </c>
      <c r="EL98" s="13">
        <f t="shared" si="99"/>
        <v>0.24126147010950588</v>
      </c>
      <c r="EM98" s="20">
        <f t="shared" si="73"/>
        <v>1.2574858937744013</v>
      </c>
      <c r="EN98" s="59">
        <f t="shared" si="74"/>
        <v>294.59081922710772</v>
      </c>
      <c r="EO98" s="59">
        <f ca="1">AVERAGE(OFFSET($EN$3,0,0,'Données projet'!$E$15+1,1))-AVERAGE(OFFSET($H$3,0,0,'Données projet'!$E$15+1,1))</f>
        <v>326.29985515186428</v>
      </c>
      <c r="EP98" s="59">
        <f t="shared" si="100"/>
        <v>437.68177084535927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168.36942571455228</v>
      </c>
      <c r="EW98" s="21">
        <f>EXP(-LN(2)/25)*EW97+(1-EXP(-LN(2)/25))/(LN(2)/25)*Calculateur!ER98*Calculateur!ET98*VLOOKUP('Données projet'!$B$15,Paramètres!$A$1:$I$89,3,0)*0.475*44/12</f>
        <v>8.3411491068843535</v>
      </c>
      <c r="EX98" s="21">
        <f>EXP(-LN(2)/2)*EX97+(1-EXP(-LN(2)/2))/(LN(2)/2)*ER98*EU98*VLOOKUP('Données projet'!$B$15,Paramètres!$A$1:$I$89,3,0)*0.475*44/12</f>
        <v>1.2181765018949573E-10</v>
      </c>
      <c r="EY98" s="22">
        <f t="shared" si="75"/>
        <v>176.71057482155845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1.7053025658242404E-13</v>
      </c>
      <c r="FF98" s="17">
        <f>FE98*VLOOKUP('Données projet'!$B$16,Paramètres!$A$1:$I$89,3,0)*VLOOKUP('Données projet'!$B$16,Paramètres!$A$1:$I$89,5,0)</f>
        <v>9.7631982498569413E-14</v>
      </c>
      <c r="FG98" s="13">
        <f t="shared" si="101"/>
        <v>1.4708068762530911E-12</v>
      </c>
      <c r="FH98" s="20">
        <f t="shared" si="76"/>
        <v>2.7316976789924749E-12</v>
      </c>
      <c r="FI98" s="59">
        <f t="shared" si="77"/>
        <v>293.33333333333604</v>
      </c>
      <c r="FJ98" s="59">
        <f ca="1">AVERAGE(OFFSET($FI$3,0,0,'Données projet'!$E$16+1,1))-AVERAGE(OFFSET($H$3,0,0,'Données projet'!$E$16+1,1))</f>
        <v>211.14768428403215</v>
      </c>
      <c r="FK98" s="59">
        <f t="shared" si="102"/>
        <v>350.7800157534798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22.924234772103635</v>
      </c>
      <c r="FR98" s="21">
        <f>EXP(-LN(2)/25)*FR97+(1-EXP(-LN(2)/25))/(LN(2)/25)*Calculateur!FM98*Calculateur!FO98*VLOOKUP('Données projet'!$B$16,Paramètres!$A$1:$I$89,3,0)*0.475*44/12</f>
        <v>3.548507435585035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26.472742207688668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83.865600000000029</v>
      </c>
      <c r="D99" s="11">
        <f t="shared" si="86"/>
        <v>23.079732033574274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825.54291394338054</v>
      </c>
      <c r="H99" s="66">
        <f t="shared" si="56"/>
        <v>479.59645329180853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3.2</v>
      </c>
      <c r="N99" s="13">
        <f>IF('Données projet'!$A$36&gt;35,N98+M99-V98,IF(A99&lt;'Données projet'!$A$36,$K$205^A99,IF(A99='Données projet'!$A$36,'Données projet'!$B$36,N98+M99-V98)))</f>
        <v>260.19999999999987</v>
      </c>
      <c r="O99" s="13">
        <f>N99*VLOOKUP('Données projet'!$B$9,Paramètres!$A$1:$I$89,3,0)*VLOOKUP('Données projet'!$B$9,Paramètres!$A$1:$I$89,5,0)</f>
        <v>227.31071999999989</v>
      </c>
      <c r="P99" s="13">
        <f t="shared" si="87"/>
        <v>55.700798883800765</v>
      </c>
      <c r="Q99" s="20">
        <f t="shared" ref="Q99:Q130" si="107">(O99+P99)*0.475*44/12</f>
        <v>492.91172872261944</v>
      </c>
      <c r="R99" s="59">
        <f t="shared" si="55"/>
        <v>786.24506205595276</v>
      </c>
      <c r="S99" s="59">
        <f ca="1">AVERAGE(OFFSET($R$3,0,0,'Données projet'!$E$9+1,1))-AVERAGE(OFFSET($H$3,0,0,'Données projet'!$E$9+1,1))</f>
        <v>252.49539407921907</v>
      </c>
      <c r="T99" s="59">
        <f t="shared" si="88"/>
        <v>263.36387286233929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63.411293102246354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63.411293102246354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9.9470000000000027</v>
      </c>
      <c r="AI99" s="13">
        <f>IF('Données projet'!$A$62&gt;35,AI98+AH99-AQ98,IF(A99&lt;'Données projet'!$A$62,$AF$205^A99,IF(A99='Données projet'!$A$62,'Données projet'!$B$62,AI98+AH99-AQ98)))</f>
        <v>434.95900000000012</v>
      </c>
      <c r="AJ99" s="13">
        <f>AI99*VLOOKUP('Données projet'!$B$10,Paramètres!$A$1:$I$89,3,0)*VLOOKUP('Données projet'!$B$10,Paramètres!$A$1:$I$89,5,0)</f>
        <v>393.55090320000011</v>
      </c>
      <c r="AK99" s="13">
        <f t="shared" si="89"/>
        <v>90.467975549637174</v>
      </c>
      <c r="AL99" s="20">
        <f t="shared" si="58"/>
        <v>842.99954715561819</v>
      </c>
      <c r="AM99" s="59">
        <f t="shared" si="59"/>
        <v>1136.3328804889516</v>
      </c>
      <c r="AN99" s="59">
        <f ca="1">AVERAGE(OFFSET($AM$3,0,0,'Données projet'!$E$10+1,1))-AVERAGE(OFFSET($H$3,0,0,'Données projet'!$E$10+1,1))</f>
        <v>370.05613271587413</v>
      </c>
      <c r="AO99" s="59">
        <f t="shared" si="90"/>
        <v>183.24480056442525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105.67618993322479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105.67618993322479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9.9470000000000027</v>
      </c>
      <c r="BD99" s="12">
        <f>IF('Données projet'!$A$88&gt;35,BD98+BC99-BL98,IF(A99&lt;'Données projet'!$A$88,$BA$205^A99,IF(A99='Données projet'!$A$88,'Données projet'!$B$88,BD98+BC99-BL98)))</f>
        <v>434.95900000000012</v>
      </c>
      <c r="BE99" s="13">
        <f>BD99*VLOOKUP('Données projet'!$B$11,Paramètres!$A$1:$I$89,3,0)*VLOOKUP('Données projet'!$B$11,Paramètres!$A$1:$I$89,5,0)</f>
        <v>441.04842600000018</v>
      </c>
      <c r="BF99" s="13">
        <f t="shared" si="91"/>
        <v>100.05070168146835</v>
      </c>
      <c r="BG99" s="20">
        <f t="shared" si="61"/>
        <v>942.41431404522439</v>
      </c>
      <c r="BH99" s="59">
        <f t="shared" si="62"/>
        <v>1235.7476473785578</v>
      </c>
      <c r="BI99" s="59">
        <f ca="1">AVERAGE(OFFSET($BH$3,0,0,'Données projet'!$E$11+1,1))-AVERAGE(OFFSET($H$3,0,0,'Données projet'!$E$11+1,1))</f>
        <v>428.72181435671394</v>
      </c>
      <c r="BJ99" s="59">
        <f t="shared" si="92"/>
        <v>211.84936043087572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118.43021285620023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118.43021285620023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367.99999999999972</v>
      </c>
      <c r="BZ99" s="13">
        <f>BY99*VLOOKUP('Données projet'!$B$12,Paramètres!$A$1:$I$89,3,0)*VLOOKUP('Données projet'!$B$12,Paramètres!$A$1:$I$89,5,0)</f>
        <v>292.78079999999977</v>
      </c>
      <c r="CA99" s="13">
        <f t="shared" si="93"/>
        <v>69.660903052386217</v>
      </c>
      <c r="CB99" s="20">
        <f t="shared" si="64"/>
        <v>631.25263281623893</v>
      </c>
      <c r="CC99" s="59">
        <f t="shared" si="65"/>
        <v>924.58596614957219</v>
      </c>
      <c r="CD99" s="59">
        <f ca="1">AVERAGE(OFFSET($CC$3,0,0,'Données projet'!$E$12+1,1))-AVERAGE(OFFSET($H$3,0,0,'Données projet'!$E$12+1,1))</f>
        <v>296.737543892524</v>
      </c>
      <c r="CE99" s="59">
        <f t="shared" si="94"/>
        <v>296.38358650317099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44.89494097530109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44.89494097530109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8.1999999999999993</v>
      </c>
      <c r="CT99" s="12">
        <f>IF('Données projet'!$A$140&gt;35,CT98+CS99-DB98,IF(A99&lt;'Données projet'!$A$140,$CQ$205^A99,IF(A99='Données projet'!$A$140,'Données projet'!$B$140,CT98+CS99-DB98)))</f>
        <v>441.20000000000005</v>
      </c>
      <c r="CU99" s="17">
        <f>CT99*VLOOKUP('Données projet'!$B$13,Paramètres!$A$1:$I$89,3,0)*VLOOKUP('Données projet'!$B$13,Paramètres!$A$1:$I$89,5,0)</f>
        <v>378.54960000000011</v>
      </c>
      <c r="CV99" s="13">
        <f t="shared" si="95"/>
        <v>87.414074444191471</v>
      </c>
      <c r="CW99" s="20">
        <f t="shared" si="67"/>
        <v>811.55339965696703</v>
      </c>
      <c r="CX99" s="59">
        <f t="shared" si="68"/>
        <v>1104.8867329903003</v>
      </c>
      <c r="CY99" s="59">
        <f ca="1">AVERAGE(OFFSET($CX$3,0,0,'Données projet'!$E$13+1,1))-AVERAGE(OFFSET($H$3,0,0,'Données projet'!$E$13+1,1))</f>
        <v>391.93999504334352</v>
      </c>
      <c r="CZ99" s="59">
        <f t="shared" si="96"/>
        <v>215.4484906985528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127.04010403519446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127.04010403519446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367.99999999999972</v>
      </c>
      <c r="DP99" s="17">
        <f>DO99*VLOOKUP('Données projet'!$B$14,Paramètres!$A$1:$I$89,3,0)*VLOOKUP('Données projet'!$B$14,Paramètres!$A$1:$I$89,5,0)</f>
        <v>269.8175999999998</v>
      </c>
      <c r="DQ99" s="13">
        <f t="shared" si="97"/>
        <v>64.810557882019467</v>
      </c>
      <c r="DR99" s="20">
        <f t="shared" si="70"/>
        <v>582.81070831118348</v>
      </c>
      <c r="DS99" s="59">
        <f t="shared" si="71"/>
        <v>876.14404164451685</v>
      </c>
      <c r="DT99" s="59">
        <f ca="1">AVERAGE(OFFSET($DS$3,0,0,'Données projet'!$E$14+1,1))-AVERAGE(OFFSET($H$3,0,0,'Données projet'!$E$14+1,1))</f>
        <v>267.92147257573157</v>
      </c>
      <c r="DU99" s="59">
        <f t="shared" si="98"/>
        <v>269.06662611892438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33.567397599365002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33.567397599365002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0.8600000000003547</v>
      </c>
      <c r="EK99" s="17">
        <f>EJ99*VLOOKUP('Données projet'!$B$15,Paramètres!$A$1:$I$89,3,0)*VLOOKUP('Données projet'!$B$15,Paramètres!$A$1:$I$89,5,0)</f>
        <v>0.48074000000019829</v>
      </c>
      <c r="EL99" s="13">
        <f t="shared" si="99"/>
        <v>0.24126147010950588</v>
      </c>
      <c r="EM99" s="20">
        <f t="shared" si="73"/>
        <v>1.2574858937744013</v>
      </c>
      <c r="EN99" s="59">
        <f t="shared" si="74"/>
        <v>294.59081922710772</v>
      </c>
      <c r="EO99" s="59">
        <f ca="1">AVERAGE(OFFSET($EN$3,0,0,'Données projet'!$E$15+1,1))-AVERAGE(OFFSET($H$3,0,0,'Données projet'!$E$15+1,1))</f>
        <v>326.29985515186428</v>
      </c>
      <c r="EP99" s="59">
        <f t="shared" si="100"/>
        <v>437.68177084535927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165.06780397149927</v>
      </c>
      <c r="EW99" s="21">
        <f>EXP(-LN(2)/25)*EW98+(1-EXP(-LN(2)/25))/(LN(2)/25)*Calculateur!ER99*Calculateur!ET99*VLOOKUP('Données projet'!$B$15,Paramètres!$A$1:$I$89,3,0)*0.475*44/12</f>
        <v>8.1130599459146335</v>
      </c>
      <c r="EX99" s="21">
        <f>EXP(-LN(2)/2)*EX98+(1-EXP(-LN(2)/2))/(LN(2)/2)*ER99*EU99*VLOOKUP('Données projet'!$B$15,Paramètres!$A$1:$I$89,3,0)*0.475*44/12</f>
        <v>8.613808651720315E-11</v>
      </c>
      <c r="EY99" s="22">
        <f t="shared" si="75"/>
        <v>173.18086391750006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1.7053025658242404E-13</v>
      </c>
      <c r="FF99" s="17">
        <f>FE99*VLOOKUP('Données projet'!$B$16,Paramètres!$A$1:$I$89,3,0)*VLOOKUP('Données projet'!$B$16,Paramètres!$A$1:$I$89,5,0)</f>
        <v>9.7631982498569413E-14</v>
      </c>
      <c r="FG99" s="13">
        <f t="shared" si="101"/>
        <v>1.4708068762530911E-12</v>
      </c>
      <c r="FH99" s="20">
        <f t="shared" si="76"/>
        <v>2.7316976789924749E-12</v>
      </c>
      <c r="FI99" s="59">
        <f t="shared" si="77"/>
        <v>293.33333333333604</v>
      </c>
      <c r="FJ99" s="59">
        <f ca="1">AVERAGE(OFFSET($FI$3,0,0,'Données projet'!$E$16+1,1))-AVERAGE(OFFSET($H$3,0,0,'Données projet'!$E$16+1,1))</f>
        <v>211.14768428403215</v>
      </c>
      <c r="FK99" s="59">
        <f t="shared" si="102"/>
        <v>350.7800157534798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22.474704510625244</v>
      </c>
      <c r="FR99" s="21">
        <f>EXP(-LN(2)/25)*FR98+(1-EXP(-LN(2)/25))/(LN(2)/25)*Calculateur!FM99*Calculateur!FO99*VLOOKUP('Données projet'!$B$16,Paramètres!$A$1:$I$89,3,0)*0.475*44/12</f>
        <v>3.4514733131510664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25.92617782377631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84.739200000000025</v>
      </c>
      <c r="D100" s="11">
        <f t="shared" si="86"/>
        <v>23.292033444816514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833.92531080209255</v>
      </c>
      <c r="H100" s="66">
        <f t="shared" si="56"/>
        <v>481.48773158305545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3.2</v>
      </c>
      <c r="N100" s="13">
        <f>IF('Données projet'!$A$36&gt;35,N99+M100-V99,IF(A100&lt;'Données projet'!$A$36,$K$205^A100,IF(A100='Données projet'!$A$36,'Données projet'!$B$36,N99+M100-V99)))</f>
        <v>263.39999999999986</v>
      </c>
      <c r="O100" s="13">
        <f>N100*VLOOKUP('Données projet'!$B$9,Paramètres!$A$1:$I$89,3,0)*VLOOKUP('Données projet'!$B$9,Paramètres!$A$1:$I$89,5,0)</f>
        <v>230.1062399999999</v>
      </c>
      <c r="P100" s="13">
        <f t="shared" si="87"/>
        <v>56.30565248558618</v>
      </c>
      <c r="Q100" s="20">
        <f t="shared" si="107"/>
        <v>498.83404607906238</v>
      </c>
      <c r="R100" s="59">
        <f t="shared" si="55"/>
        <v>792.16737941239569</v>
      </c>
      <c r="S100" s="59">
        <f ca="1">AVERAGE(OFFSET($R$3,0,0,'Données projet'!$E$9+1,1))-AVERAGE(OFFSET($H$3,0,0,'Données projet'!$E$9+1,1))</f>
        <v>252.49539407921907</v>
      </c>
      <c r="T100" s="59">
        <f t="shared" si="88"/>
        <v>263.36387286233929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62.167836321581049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62.167836321581049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9.9470000000000027</v>
      </c>
      <c r="AI100" s="13">
        <f>IF('Données projet'!$A$62&gt;35,AI99+AH100-AQ99,IF(A100&lt;'Données projet'!$A$62,$AF$205^A100,IF(A100='Données projet'!$A$62,'Données projet'!$B$62,AI99+AH100-AQ99)))</f>
        <v>444.90600000000012</v>
      </c>
      <c r="AJ100" s="13">
        <f>AI100*VLOOKUP('Données projet'!$B$10,Paramètres!$A$1:$I$89,3,0)*VLOOKUP('Données projet'!$B$10,Paramètres!$A$1:$I$89,5,0)</f>
        <v>402.55094880000007</v>
      </c>
      <c r="AK100" s="13">
        <f t="shared" si="89"/>
        <v>92.293639443453927</v>
      </c>
      <c r="AL100" s="20">
        <f t="shared" si="58"/>
        <v>861.85432452401562</v>
      </c>
      <c r="AM100" s="59">
        <f t="shared" si="59"/>
        <v>1155.187657857349</v>
      </c>
      <c r="AN100" s="59">
        <f ca="1">AVERAGE(OFFSET($AM$3,0,0,'Données projet'!$E$10+1,1))-AVERAGE(OFFSET($H$3,0,0,'Données projet'!$E$10+1,1))</f>
        <v>370.05613271587413</v>
      </c>
      <c r="AO100" s="59">
        <f t="shared" si="90"/>
        <v>183.24480056442525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103.6039443047456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103.6039443047456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9.9470000000000027</v>
      </c>
      <c r="BD100" s="12">
        <f>IF('Données projet'!$A$88&gt;35,BD99+BC100-BL99,IF(A100&lt;'Données projet'!$A$88,$BA$205^A100,IF(A100='Données projet'!$A$88,'Données projet'!$B$88,BD99+BC100-BL99)))</f>
        <v>444.90600000000012</v>
      </c>
      <c r="BE100" s="13">
        <f>BD100*VLOOKUP('Données projet'!$B$11,Paramètres!$A$1:$I$89,3,0)*VLOOKUP('Données projet'!$B$11,Paramètres!$A$1:$I$89,5,0)</f>
        <v>451.13468400000016</v>
      </c>
      <c r="BF100" s="13">
        <f t="shared" si="91"/>
        <v>102.0697471226993</v>
      </c>
      <c r="BG100" s="20">
        <f t="shared" si="61"/>
        <v>963.49771753870164</v>
      </c>
      <c r="BH100" s="59">
        <f t="shared" si="62"/>
        <v>1256.8310508720349</v>
      </c>
      <c r="BI100" s="59">
        <f ca="1">AVERAGE(OFFSET($BH$3,0,0,'Données projet'!$E$11+1,1))-AVERAGE(OFFSET($H$3,0,0,'Données projet'!$E$11+1,1))</f>
        <v>428.72181435671394</v>
      </c>
      <c r="BJ100" s="59">
        <f t="shared" si="92"/>
        <v>211.84936043087572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116.10786861738734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116.10786861738734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367.99999999999972</v>
      </c>
      <c r="BZ100" s="13">
        <f>BY100*VLOOKUP('Données projet'!$B$12,Paramètres!$A$1:$I$89,3,0)*VLOOKUP('Données projet'!$B$12,Paramètres!$A$1:$I$89,5,0)</f>
        <v>292.78079999999977</v>
      </c>
      <c r="CA100" s="13">
        <f t="shared" si="93"/>
        <v>69.660903052386217</v>
      </c>
      <c r="CB100" s="20">
        <f t="shared" si="64"/>
        <v>631.25263281623893</v>
      </c>
      <c r="CC100" s="59">
        <f t="shared" si="65"/>
        <v>924.58596614957219</v>
      </c>
      <c r="CD100" s="59">
        <f ca="1">AVERAGE(OFFSET($CC$3,0,0,'Données projet'!$E$12+1,1))-AVERAGE(OFFSET($H$3,0,0,'Données projet'!$E$12+1,1))</f>
        <v>296.737543892524</v>
      </c>
      <c r="CE100" s="59">
        <f t="shared" si="94"/>
        <v>296.38358650317099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44.014578565985566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44.014578565985566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8.1999999999999993</v>
      </c>
      <c r="CT100" s="12">
        <f>IF('Données projet'!$A$140&gt;35,CT99+CS100-DB99,IF(A100&lt;'Données projet'!$A$140,$CQ$205^A100,IF(A100='Données projet'!$A$140,'Données projet'!$B$140,CT99+CS100-DB99)))</f>
        <v>449.40000000000003</v>
      </c>
      <c r="CU100" s="17">
        <f>CT100*VLOOKUP('Données projet'!$B$13,Paramètres!$A$1:$I$89,3,0)*VLOOKUP('Données projet'!$B$13,Paramètres!$A$1:$I$89,5,0)</f>
        <v>385.5852000000001</v>
      </c>
      <c r="CV100" s="13">
        <f t="shared" si="95"/>
        <v>88.84807267555091</v>
      </c>
      <c r="CW100" s="20">
        <f t="shared" si="67"/>
        <v>826.30461657658464</v>
      </c>
      <c r="CX100" s="59">
        <f t="shared" si="68"/>
        <v>1119.637949909918</v>
      </c>
      <c r="CY100" s="59">
        <f ca="1">AVERAGE(OFFSET($CX$3,0,0,'Données projet'!$E$13+1,1))-AVERAGE(OFFSET($H$3,0,0,'Données projet'!$E$13+1,1))</f>
        <v>391.93999504334352</v>
      </c>
      <c r="CZ100" s="59">
        <f t="shared" si="96"/>
        <v>215.4484906985528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124.54892508187658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124.54892508187658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367.99999999999972</v>
      </c>
      <c r="DP100" s="17">
        <f>DO100*VLOOKUP('Données projet'!$B$14,Paramètres!$A$1:$I$89,3,0)*VLOOKUP('Données projet'!$B$14,Paramètres!$A$1:$I$89,5,0)</f>
        <v>269.8175999999998</v>
      </c>
      <c r="DQ100" s="13">
        <f t="shared" si="97"/>
        <v>64.810557882019467</v>
      </c>
      <c r="DR100" s="20">
        <f t="shared" si="70"/>
        <v>582.81070831118348</v>
      </c>
      <c r="DS100" s="59">
        <f t="shared" si="71"/>
        <v>876.14404164451685</v>
      </c>
      <c r="DT100" s="59">
        <f ca="1">AVERAGE(OFFSET($DS$3,0,0,'Données projet'!$E$14+1,1))-AVERAGE(OFFSET($H$3,0,0,'Données projet'!$E$14+1,1))</f>
        <v>267.92147257573157</v>
      </c>
      <c r="DU100" s="59">
        <f t="shared" si="98"/>
        <v>269.06662611892438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32.909161406532341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32.909161406532341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0.8600000000003547</v>
      </c>
      <c r="EK100" s="17">
        <f>EJ100*VLOOKUP('Données projet'!$B$15,Paramètres!$A$1:$I$89,3,0)*VLOOKUP('Données projet'!$B$15,Paramètres!$A$1:$I$89,5,0)</f>
        <v>0.48074000000019829</v>
      </c>
      <c r="EL100" s="13">
        <f t="shared" si="99"/>
        <v>0.24126147010950588</v>
      </c>
      <c r="EM100" s="20">
        <f t="shared" si="73"/>
        <v>1.2574858937744013</v>
      </c>
      <c r="EN100" s="59">
        <f t="shared" si="74"/>
        <v>294.59081922710772</v>
      </c>
      <c r="EO100" s="59">
        <f ca="1">AVERAGE(OFFSET($EN$3,0,0,'Données projet'!$E$15+1,1))-AVERAGE(OFFSET($H$3,0,0,'Données projet'!$E$15+1,1))</f>
        <v>326.29985515186428</v>
      </c>
      <c r="EP100" s="59">
        <f t="shared" si="100"/>
        <v>437.68177084535927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161.83092501703712</v>
      </c>
      <c r="EW100" s="21">
        <f>EXP(-LN(2)/25)*EW99+(1-EXP(-LN(2)/25))/(LN(2)/25)*Calculateur!ER100*Calculateur!ET100*VLOOKUP('Données projet'!$B$15,Paramètres!$A$1:$I$89,3,0)*0.475*44/12</f>
        <v>7.8912078950463176</v>
      </c>
      <c r="EX100" s="21">
        <f>EXP(-LN(2)/2)*EX99+(1-EXP(-LN(2)/2))/(LN(2)/2)*ER100*EU100*VLOOKUP('Données projet'!$B$15,Paramètres!$A$1:$I$89,3,0)*0.475*44/12</f>
        <v>6.0908825094747865E-11</v>
      </c>
      <c r="EY100" s="22">
        <f t="shared" si="75"/>
        <v>169.72213291214433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1.7053025658242404E-13</v>
      </c>
      <c r="FF100" s="17">
        <f>FE100*VLOOKUP('Données projet'!$B$16,Paramètres!$A$1:$I$89,3,0)*VLOOKUP('Données projet'!$B$16,Paramètres!$A$1:$I$89,5,0)</f>
        <v>9.7631982498569413E-14</v>
      </c>
      <c r="FG100" s="13">
        <f t="shared" si="101"/>
        <v>1.4708068762530911E-12</v>
      </c>
      <c r="FH100" s="20">
        <f t="shared" si="76"/>
        <v>2.7316976789924749E-12</v>
      </c>
      <c r="FI100" s="59">
        <f t="shared" si="77"/>
        <v>293.33333333333604</v>
      </c>
      <c r="FJ100" s="59">
        <f ca="1">AVERAGE(OFFSET($FI$3,0,0,'Données projet'!$E$16+1,1))-AVERAGE(OFFSET($H$3,0,0,'Données projet'!$E$16+1,1))</f>
        <v>211.14768428403215</v>
      </c>
      <c r="FK100" s="59">
        <f t="shared" si="102"/>
        <v>350.7800157534798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22.033989263388062</v>
      </c>
      <c r="FR100" s="21">
        <f>EXP(-LN(2)/25)*FR99+(1-EXP(-LN(2)/25))/(LN(2)/25)*Calculateur!FM100*Calculateur!FO100*VLOOKUP('Données projet'!$B$16,Paramètres!$A$1:$I$89,3,0)*0.475*44/12</f>
        <v>3.3570925938978573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25.391081857285918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85.612800000000021</v>
      </c>
      <c r="D101" s="11">
        <f t="shared" si="86"/>
        <v>23.504080242391282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842.30574222196799</v>
      </c>
      <c r="H101" s="66">
        <f t="shared" si="56"/>
        <v>483.37856642216479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3.2</v>
      </c>
      <c r="N101" s="13">
        <f>IF('Données projet'!$A$36&gt;35,N100+M101-V100,IF(A101&lt;'Données projet'!$A$36,$K$205^A101,IF(A101='Données projet'!$A$36,'Données projet'!$B$36,N100+M101-V100)))</f>
        <v>266.59999999999985</v>
      </c>
      <c r="O101" s="13">
        <f>N101*VLOOKUP('Données projet'!$B$9,Paramètres!$A$1:$I$89,3,0)*VLOOKUP('Données projet'!$B$9,Paramètres!$A$1:$I$89,5,0)</f>
        <v>232.90175999999991</v>
      </c>
      <c r="P101" s="13">
        <f t="shared" si="87"/>
        <v>56.909651332233828</v>
      </c>
      <c r="Q101" s="20">
        <f t="shared" si="107"/>
        <v>504.7548747369737</v>
      </c>
      <c r="R101" s="59">
        <f t="shared" si="55"/>
        <v>798.08820807030702</v>
      </c>
      <c r="S101" s="59">
        <f ca="1">AVERAGE(OFFSET($R$3,0,0,'Données projet'!$E$9+1,1))-AVERAGE(OFFSET($H$3,0,0,'Données projet'!$E$9+1,1))</f>
        <v>252.49539407921907</v>
      </c>
      <c r="T101" s="59">
        <f t="shared" si="88"/>
        <v>263.36387286233929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60.948762969950849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60.948762969950849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9.9470000000000027</v>
      </c>
      <c r="AI101" s="13">
        <f>IF('Données projet'!$A$62&gt;35,AI100+AH101-AQ100,IF(A101&lt;'Données projet'!$A$62,$AF$205^A101,IF(A101='Données projet'!$A$62,'Données projet'!$B$62,AI100+AH101-AQ100)))</f>
        <v>454.85300000000012</v>
      </c>
      <c r="AJ101" s="13">
        <f>AI101*VLOOKUP('Données projet'!$B$10,Paramètres!$A$1:$I$89,3,0)*VLOOKUP('Données projet'!$B$10,Paramètres!$A$1:$I$89,5,0)</f>
        <v>411.55099440000004</v>
      </c>
      <c r="AK101" s="13">
        <f t="shared" si="89"/>
        <v>94.11455795809178</v>
      </c>
      <c r="AL101" s="20">
        <f t="shared" si="58"/>
        <v>880.70083702367663</v>
      </c>
      <c r="AM101" s="59">
        <f t="shared" si="59"/>
        <v>1174.03417035701</v>
      </c>
      <c r="AN101" s="59">
        <f ca="1">AVERAGE(OFFSET($AM$3,0,0,'Données projet'!$E$10+1,1))-AVERAGE(OFFSET($H$3,0,0,'Données projet'!$E$10+1,1))</f>
        <v>370.05613271587413</v>
      </c>
      <c r="AO101" s="59">
        <f t="shared" si="90"/>
        <v>183.24480056442525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101.57233414909585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101.57233414909585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9.9470000000000027</v>
      </c>
      <c r="BD101" s="12">
        <f>IF('Données projet'!$A$88&gt;35,BD100+BC101-BL100,IF(A101&lt;'Données projet'!$A$88,$BA$205^A101,IF(A101='Données projet'!$A$88,'Données projet'!$B$88,BD100+BC101-BL100)))</f>
        <v>454.85300000000012</v>
      </c>
      <c r="BE101" s="13">
        <f>BD101*VLOOKUP('Données projet'!$B$11,Paramètres!$A$1:$I$89,3,0)*VLOOKUP('Données projet'!$B$11,Paramètres!$A$1:$I$89,5,0)</f>
        <v>461.22094200000021</v>
      </c>
      <c r="BF101" s="13">
        <f t="shared" si="91"/>
        <v>104.08354453540181</v>
      </c>
      <c r="BG101" s="20">
        <f t="shared" si="61"/>
        <v>984.57198071582513</v>
      </c>
      <c r="BH101" s="59">
        <f t="shared" si="62"/>
        <v>1277.9053140491585</v>
      </c>
      <c r="BI101" s="59">
        <f ca="1">AVERAGE(OFFSET($BH$3,0,0,'Données projet'!$E$11+1,1))-AVERAGE(OFFSET($H$3,0,0,'Données projet'!$E$11+1,1))</f>
        <v>428.72181435671394</v>
      </c>
      <c r="BJ101" s="59">
        <f t="shared" si="92"/>
        <v>211.84936043087572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113.83106413260745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113.83106413260745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367.99999999999972</v>
      </c>
      <c r="BZ101" s="13">
        <f>BY101*VLOOKUP('Données projet'!$B$12,Paramètres!$A$1:$I$89,3,0)*VLOOKUP('Données projet'!$B$12,Paramètres!$A$1:$I$89,5,0)</f>
        <v>292.78079999999977</v>
      </c>
      <c r="CA101" s="13">
        <f t="shared" si="93"/>
        <v>69.660903052386217</v>
      </c>
      <c r="CB101" s="20">
        <f t="shared" si="64"/>
        <v>631.25263281623893</v>
      </c>
      <c r="CC101" s="59">
        <f t="shared" si="65"/>
        <v>924.58596614957219</v>
      </c>
      <c r="CD101" s="59">
        <f ca="1">AVERAGE(OFFSET($CC$3,0,0,'Données projet'!$E$12+1,1))-AVERAGE(OFFSET($H$3,0,0,'Données projet'!$E$12+1,1))</f>
        <v>296.737543892524</v>
      </c>
      <c r="CE101" s="59">
        <f t="shared" si="94"/>
        <v>296.38358650317099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43.15147952654867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43.15147952654867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8.1999999999999993</v>
      </c>
      <c r="CT101" s="12">
        <f>IF('Données projet'!$A$140&gt;35,CT100+CS101-DB100,IF(A101&lt;'Données projet'!$A$140,$CQ$205^A101,IF(A101='Données projet'!$A$140,'Données projet'!$B$140,CT100+CS101-DB100)))</f>
        <v>457.6</v>
      </c>
      <c r="CU101" s="17">
        <f>CT101*VLOOKUP('Données projet'!$B$13,Paramètres!$A$1:$I$89,3,0)*VLOOKUP('Données projet'!$B$13,Paramètres!$A$1:$I$89,5,0)</f>
        <v>392.62080000000009</v>
      </c>
      <c r="CV101" s="13">
        <f t="shared" si="95"/>
        <v>90.279028293744005</v>
      </c>
      <c r="CW101" s="20">
        <f t="shared" si="67"/>
        <v>841.0505342782709</v>
      </c>
      <c r="CX101" s="59">
        <f t="shared" si="68"/>
        <v>1134.3838676116043</v>
      </c>
      <c r="CY101" s="59">
        <f ca="1">AVERAGE(OFFSET($CX$3,0,0,'Données projet'!$E$13+1,1))-AVERAGE(OFFSET($H$3,0,0,'Données projet'!$E$13+1,1))</f>
        <v>391.93999504334352</v>
      </c>
      <c r="CZ101" s="59">
        <f t="shared" si="96"/>
        <v>215.4484906985528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122.10659662836413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122.10659662836413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367.99999999999972</v>
      </c>
      <c r="DP101" s="17">
        <f>DO101*VLOOKUP('Données projet'!$B$14,Paramètres!$A$1:$I$89,3,0)*VLOOKUP('Données projet'!$B$14,Paramètres!$A$1:$I$89,5,0)</f>
        <v>269.8175999999998</v>
      </c>
      <c r="DQ101" s="13">
        <f t="shared" si="97"/>
        <v>64.810557882019467</v>
      </c>
      <c r="DR101" s="20">
        <f t="shared" si="70"/>
        <v>582.81070831118348</v>
      </c>
      <c r="DS101" s="59">
        <f t="shared" si="71"/>
        <v>876.14404164451685</v>
      </c>
      <c r="DT101" s="59">
        <f ca="1">AVERAGE(OFFSET($DS$3,0,0,'Données projet'!$E$14+1,1))-AVERAGE(OFFSET($H$3,0,0,'Données projet'!$E$14+1,1))</f>
        <v>267.92147257573157</v>
      </c>
      <c r="DU101" s="59">
        <f t="shared" si="98"/>
        <v>269.06662611892438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32.263832823956697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32.263832823956697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0.8600000000003547</v>
      </c>
      <c r="EK101" s="17">
        <f>EJ101*VLOOKUP('Données projet'!$B$15,Paramètres!$A$1:$I$89,3,0)*VLOOKUP('Données projet'!$B$15,Paramètres!$A$1:$I$89,5,0)</f>
        <v>0.48074000000019829</v>
      </c>
      <c r="EL101" s="13">
        <f t="shared" si="99"/>
        <v>0.24126147010950588</v>
      </c>
      <c r="EM101" s="20">
        <f t="shared" si="73"/>
        <v>1.2574858937744013</v>
      </c>
      <c r="EN101" s="59">
        <f t="shared" si="74"/>
        <v>294.59081922710772</v>
      </c>
      <c r="EO101" s="59">
        <f ca="1">AVERAGE(OFFSET($EN$3,0,0,'Données projet'!$E$15+1,1))-AVERAGE(OFFSET($H$3,0,0,'Données projet'!$E$15+1,1))</f>
        <v>326.29985515186428</v>
      </c>
      <c r="EP101" s="59">
        <f t="shared" si="100"/>
        <v>437.68177084535927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158.65751928457075</v>
      </c>
      <c r="EW101" s="21">
        <f>EXP(-LN(2)/25)*EW100+(1-EXP(-LN(2)/25))/(LN(2)/25)*Calculateur!ER101*Calculateur!ET101*VLOOKUP('Données projet'!$B$15,Paramètres!$A$1:$I$89,3,0)*0.475*44/12</f>
        <v>7.6754224001756883</v>
      </c>
      <c r="EX101" s="21">
        <f>EXP(-LN(2)/2)*EX100+(1-EXP(-LN(2)/2))/(LN(2)/2)*ER101*EU101*VLOOKUP('Données projet'!$B$15,Paramètres!$A$1:$I$89,3,0)*0.475*44/12</f>
        <v>4.3069043258601575E-11</v>
      </c>
      <c r="EY101" s="22">
        <f t="shared" si="75"/>
        <v>166.33294168478949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1.7053025658242404E-13</v>
      </c>
      <c r="FF101" s="17">
        <f>FE101*VLOOKUP('Données projet'!$B$16,Paramètres!$A$1:$I$89,3,0)*VLOOKUP('Données projet'!$B$16,Paramètres!$A$1:$I$89,5,0)</f>
        <v>9.7631982498569413E-14</v>
      </c>
      <c r="FG101" s="13">
        <f t="shared" si="101"/>
        <v>1.4708068762530911E-12</v>
      </c>
      <c r="FH101" s="20">
        <f t="shared" si="76"/>
        <v>2.7316976789924749E-12</v>
      </c>
      <c r="FI101" s="59">
        <f t="shared" si="77"/>
        <v>293.33333333333604</v>
      </c>
      <c r="FJ101" s="59">
        <f ca="1">AVERAGE(OFFSET($FI$3,0,0,'Données projet'!$E$16+1,1))-AVERAGE(OFFSET($H$3,0,0,'Données projet'!$E$16+1,1))</f>
        <v>211.14768428403215</v>
      </c>
      <c r="FK101" s="59">
        <f t="shared" si="102"/>
        <v>350.7800157534798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21.60191617333944</v>
      </c>
      <c r="FR101" s="21">
        <f>EXP(-LN(2)/25)*FR100+(1-EXP(-LN(2)/25))/(LN(2)/25)*Calculateur!FM101*Calculateur!FO101*VLOOKUP('Données projet'!$B$16,Paramètres!$A$1:$I$89,3,0)*0.475*44/12</f>
        <v>3.2652927203758937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24.867208893715333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86.486400000000017</v>
      </c>
      <c r="D102" s="11">
        <f t="shared" si="86"/>
        <v>23.715875325195146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850.68423058045391</v>
      </c>
      <c r="H102" s="66">
        <f t="shared" si="56"/>
        <v>485.26896285804821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3.2</v>
      </c>
      <c r="N102" s="13">
        <f>IF('Données projet'!$A$36&gt;35,N101+M102-V101,IF(A102&lt;'Données projet'!$A$36,$K$205^A102,IF(A102='Données projet'!$A$36,'Données projet'!$B$36,N101+M102-V101)))</f>
        <v>269.79999999999984</v>
      </c>
      <c r="O102" s="13">
        <f>N102*VLOOKUP('Données projet'!$B$9,Paramètres!$A$1:$I$89,3,0)*VLOOKUP('Données projet'!$B$9,Paramètres!$A$1:$I$89,5,0)</f>
        <v>235.69727999999992</v>
      </c>
      <c r="P102" s="13">
        <f t="shared" si="87"/>
        <v>57.512806870145788</v>
      </c>
      <c r="Q102" s="20">
        <f t="shared" si="107"/>
        <v>510.67423463217045</v>
      </c>
      <c r="R102" s="59">
        <f t="shared" si="55"/>
        <v>804.00756796550377</v>
      </c>
      <c r="S102" s="59">
        <f ca="1">AVERAGE(OFFSET($R$3,0,0,'Données projet'!$E$9+1,1))-AVERAGE(OFFSET($H$3,0,0,'Données projet'!$E$9+1,1))</f>
        <v>252.49539407921907</v>
      </c>
      <c r="T102" s="59">
        <f t="shared" si="88"/>
        <v>263.36387286233929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59.753594903184791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59.753594903184791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464.8</v>
      </c>
      <c r="AG102" s="12">
        <f>VLOOKUP(A102,'Données projet'!$A$61:$I$81,9,0)</f>
        <v>9.9470000000000027</v>
      </c>
      <c r="AH102" s="12">
        <f t="array" ref="AH102">INDEX(AG:AG,MIN(IF(ISNUMBER(AG102:AG298),ROW(AG102:AG298),"")))</f>
        <v>9.9470000000000027</v>
      </c>
      <c r="AI102" s="13">
        <f>IF('Données projet'!$A$62&gt;35,AI101+AH102-AQ101,IF(A102&lt;'Données projet'!$A$62,$AF$205^A102,IF(A102='Données projet'!$A$62,'Données projet'!$B$62,AI101+AH102-AQ101)))</f>
        <v>464.80000000000013</v>
      </c>
      <c r="AJ102" s="13">
        <f>AI102*VLOOKUP('Données projet'!$B$10,Paramètres!$A$1:$I$89,3,0)*VLOOKUP('Données projet'!$B$10,Paramètres!$A$1:$I$89,5,0)</f>
        <v>420.55104000000011</v>
      </c>
      <c r="AK102" s="13">
        <f t="shared" si="89"/>
        <v>95.930846819060008</v>
      </c>
      <c r="AL102" s="20">
        <f t="shared" si="58"/>
        <v>899.53928620986301</v>
      </c>
      <c r="AM102" s="59">
        <f t="shared" si="59"/>
        <v>1192.8726195431964</v>
      </c>
      <c r="AN102" s="59">
        <f ca="1">AVERAGE(OFFSET($AM$3,0,0,'Données projet'!$E$10+1,1))-AVERAGE(OFFSET($H$3,0,0,'Données projet'!$E$10+1,1))</f>
        <v>370.05613271587413</v>
      </c>
      <c r="AO102" s="59">
        <f t="shared" si="90"/>
        <v>183.24480056442525</v>
      </c>
      <c r="AP102" s="15">
        <f>IF(ISNA(VLOOKUP(A102,'Données projet'!$A$61:$I$81,3,0)),0,VLOOKUP(A102,'Données projet'!$A$61:$I$81,3,0))</f>
        <v>9</v>
      </c>
      <c r="AQ102" s="15">
        <f>IF(ISNA(VLOOKUP(A102,'Données projet'!$A$61:$I$81,4,0)),0,VLOOKUP(A102,'Données projet'!$A$61:$I$81,4,0))</f>
        <v>62.94</v>
      </c>
      <c r="AR102" s="16">
        <f>IF(ISNA(VLOOKUP(A102,'Données projet'!$A$61:$I$81,5,0)),0%,VLOOKUP(A102,'Données projet'!$A$61:$I$81,5,0)*VLOOKUP('Données projet'!$B$10,Paramètres!$A$1:$I$89,7,0))</f>
        <v>0.43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126.65097655355829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126.65097655355829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>
        <f>VLOOKUP(A102,'Données projet'!$A$87:$I$107,2,0)</f>
        <v>464.8</v>
      </c>
      <c r="BB102" s="12">
        <f>VLOOKUP(A102,'Données projet'!$A$87:$I$107,9,0)</f>
        <v>9.9470000000000027</v>
      </c>
      <c r="BC102" s="12">
        <f t="array" ref="BC102">INDEX(BB:BB,MIN(IF(ISNUMBER(BB102:BB298),ROW(BB102:BB298),"")))</f>
        <v>9.9470000000000027</v>
      </c>
      <c r="BD102" s="12">
        <f>IF('Données projet'!$A$88&gt;35,BD101+BC102-BL101,IF(A102&lt;'Données projet'!$A$88,$BA$205^A102,IF(A102='Données projet'!$A$88,'Données projet'!$B$88,BD101+BC102-BL101)))</f>
        <v>464.80000000000013</v>
      </c>
      <c r="BE102" s="13">
        <f>BD102*VLOOKUP('Données projet'!$B$11,Paramètres!$A$1:$I$89,3,0)*VLOOKUP('Données projet'!$B$11,Paramètres!$A$1:$I$89,5,0)</f>
        <v>471.30720000000019</v>
      </c>
      <c r="BF102" s="13">
        <f t="shared" si="91"/>
        <v>106.0922219031893</v>
      </c>
      <c r="BG102" s="20">
        <f t="shared" si="61"/>
        <v>1005.6373264813883</v>
      </c>
      <c r="BH102" s="59">
        <f t="shared" si="62"/>
        <v>1298.9706598147216</v>
      </c>
      <c r="BI102" s="59">
        <f ca="1">AVERAGE(OFFSET($BH$3,0,0,'Données projet'!$E$11+1,1))-AVERAGE(OFFSET($H$3,0,0,'Données projet'!$E$11+1,1))</f>
        <v>428.72181435671394</v>
      </c>
      <c r="BJ102" s="59">
        <f t="shared" si="92"/>
        <v>211.84936043087572</v>
      </c>
      <c r="BK102" s="15">
        <f>IF(ISNA(VLOOKUP(A102,'Données projet'!$A$87:$I$107,3,0)),0,VLOOKUP(A102,'Données projet'!$A$87:$I$107,3,0))</f>
        <v>9</v>
      </c>
      <c r="BL102" s="15">
        <f>IF(ISNA(VLOOKUP(A102,'Données projet'!$A$87:$I$107,4,0)),0,VLOOKUP(A102,'Données projet'!$A$87:$I$107,4,0))</f>
        <v>62.94</v>
      </c>
      <c r="BM102" s="16">
        <f>IF(ISNA(VLOOKUP(A102,'Données projet'!$A$87:$I$107,5,0)),0%,VLOOKUP(A102,'Données projet'!$A$87:$I$107,5,0)*VLOOKUP('Données projet'!$B$11,Paramètres!$A$1:$I$89,7,0))</f>
        <v>0.43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141.93643924105675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141.93643924105675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367.99999999999972</v>
      </c>
      <c r="BZ102" s="13">
        <f>BY102*VLOOKUP('Données projet'!$B$12,Paramètres!$A$1:$I$89,3,0)*VLOOKUP('Données projet'!$B$12,Paramètres!$A$1:$I$89,5,0)</f>
        <v>292.78079999999977</v>
      </c>
      <c r="CA102" s="13">
        <f t="shared" si="93"/>
        <v>69.660903052386217</v>
      </c>
      <c r="CB102" s="20">
        <f t="shared" si="64"/>
        <v>631.25263281623893</v>
      </c>
      <c r="CC102" s="59">
        <f t="shared" si="65"/>
        <v>924.58596614957219</v>
      </c>
      <c r="CD102" s="59">
        <f ca="1">AVERAGE(OFFSET($CC$3,0,0,'Données projet'!$E$12+1,1))-AVERAGE(OFFSET($H$3,0,0,'Données projet'!$E$12+1,1))</f>
        <v>296.737543892524</v>
      </c>
      <c r="CE102" s="59">
        <f t="shared" si="94"/>
        <v>296.38358650317099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42.305305332836696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42.305305332836696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8.1999999999999993</v>
      </c>
      <c r="CT102" s="12">
        <f>IF('Données projet'!$A$140&gt;35,CT101+CS102-DB101,IF(A102&lt;'Données projet'!$A$140,$CQ$205^A102,IF(A102='Données projet'!$A$140,'Données projet'!$B$140,CT101+CS102-DB101)))</f>
        <v>465.8</v>
      </c>
      <c r="CU102" s="17">
        <f>CT102*VLOOKUP('Données projet'!$B$13,Paramètres!$A$1:$I$89,3,0)*VLOOKUP('Données projet'!$B$13,Paramètres!$A$1:$I$89,5,0)</f>
        <v>399.65640000000008</v>
      </c>
      <c r="CV102" s="13">
        <f t="shared" si="95"/>
        <v>91.707002110648844</v>
      </c>
      <c r="CW102" s="20">
        <f t="shared" si="67"/>
        <v>855.79125867604671</v>
      </c>
      <c r="CX102" s="59">
        <f t="shared" si="68"/>
        <v>1149.12459200938</v>
      </c>
      <c r="CY102" s="59">
        <f ca="1">AVERAGE(OFFSET($CX$3,0,0,'Données projet'!$E$13+1,1))-AVERAGE(OFFSET($H$3,0,0,'Données projet'!$E$13+1,1))</f>
        <v>391.93999504334352</v>
      </c>
      <c r="CZ102" s="59">
        <f t="shared" si="96"/>
        <v>215.4484906985528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119.7121607461518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119.7121607461518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367.99999999999972</v>
      </c>
      <c r="DP102" s="17">
        <f>DO102*VLOOKUP('Données projet'!$B$14,Paramètres!$A$1:$I$89,3,0)*VLOOKUP('Données projet'!$B$14,Paramètres!$A$1:$I$89,5,0)</f>
        <v>269.8175999999998</v>
      </c>
      <c r="DQ102" s="13">
        <f t="shared" si="97"/>
        <v>64.810557882019467</v>
      </c>
      <c r="DR102" s="20">
        <f t="shared" si="70"/>
        <v>582.81070831118348</v>
      </c>
      <c r="DS102" s="59">
        <f t="shared" si="71"/>
        <v>876.14404164451685</v>
      </c>
      <c r="DT102" s="59">
        <f ca="1">AVERAGE(OFFSET($DS$3,0,0,'Données projet'!$E$14+1,1))-AVERAGE(OFFSET($H$3,0,0,'Données projet'!$E$14+1,1))</f>
        <v>267.92147257573157</v>
      </c>
      <c r="DU102" s="59">
        <f t="shared" si="98"/>
        <v>269.06662611892438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31.63115874127379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31.63115874127379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0.8600000000003547</v>
      </c>
      <c r="EK102" s="17">
        <f>EJ102*VLOOKUP('Données projet'!$B$15,Paramètres!$A$1:$I$89,3,0)*VLOOKUP('Données projet'!$B$15,Paramètres!$A$1:$I$89,5,0)</f>
        <v>0.48074000000019829</v>
      </c>
      <c r="EL102" s="13">
        <f t="shared" si="99"/>
        <v>0.24126147010950588</v>
      </c>
      <c r="EM102" s="20">
        <f t="shared" si="73"/>
        <v>1.2574858937744013</v>
      </c>
      <c r="EN102" s="59">
        <f t="shared" si="74"/>
        <v>294.59081922710772</v>
      </c>
      <c r="EO102" s="59">
        <f ca="1">AVERAGE(OFFSET($EN$3,0,0,'Données projet'!$E$15+1,1))-AVERAGE(OFFSET($H$3,0,0,'Données projet'!$E$15+1,1))</f>
        <v>326.29985515186428</v>
      </c>
      <c r="EP102" s="59">
        <f t="shared" si="100"/>
        <v>437.68177084535927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155.5463421029317</v>
      </c>
      <c r="EW102" s="21">
        <f>EXP(-LN(2)/25)*EW101+(1-EXP(-LN(2)/25))/(LN(2)/25)*Calculateur!ER102*Calculateur!ET102*VLOOKUP('Données projet'!$B$15,Paramètres!$A$1:$I$89,3,0)*0.475*44/12</f>
        <v>7.4655375710099623</v>
      </c>
      <c r="EX102" s="21">
        <f>EXP(-LN(2)/2)*EX101+(1-EXP(-LN(2)/2))/(LN(2)/2)*ER102*EU102*VLOOKUP('Données projet'!$B$15,Paramètres!$A$1:$I$89,3,0)*0.475*44/12</f>
        <v>3.0454412547373933E-11</v>
      </c>
      <c r="EY102" s="22">
        <f t="shared" si="75"/>
        <v>163.01187967397215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1.7053025658242404E-13</v>
      </c>
      <c r="FF102" s="17">
        <f>FE102*VLOOKUP('Données projet'!$B$16,Paramètres!$A$1:$I$89,3,0)*VLOOKUP('Données projet'!$B$16,Paramètres!$A$1:$I$89,5,0)</f>
        <v>9.7631982498569413E-14</v>
      </c>
      <c r="FG102" s="13">
        <f t="shared" si="101"/>
        <v>1.4708068762530911E-12</v>
      </c>
      <c r="FH102" s="20">
        <f t="shared" si="76"/>
        <v>2.7316976789924749E-12</v>
      </c>
      <c r="FI102" s="59">
        <f t="shared" si="77"/>
        <v>293.33333333333604</v>
      </c>
      <c r="FJ102" s="59">
        <f ca="1">AVERAGE(OFFSET($FI$3,0,0,'Données projet'!$E$16+1,1))-AVERAGE(OFFSET($H$3,0,0,'Données projet'!$E$16+1,1))</f>
        <v>211.14768428403215</v>
      </c>
      <c r="FK102" s="59">
        <f t="shared" si="102"/>
        <v>350.7800157534798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21.178315773048109</v>
      </c>
      <c r="FR102" s="21">
        <f>EXP(-LN(2)/25)*FR101+(1-EXP(-LN(2)/25))/(LN(2)/25)*Calculateur!FM102*Calculateur!FO102*VLOOKUP('Données projet'!$B$16,Paramètres!$A$1:$I$89,3,0)*0.475*44/12</f>
        <v>3.1760031192229334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24.354318892271042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87.360000000000014</v>
      </c>
      <c r="D103" s="11">
        <f t="shared" si="86"/>
        <v>23.927421530185931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859.06079777687398</v>
      </c>
      <c r="H103" s="66">
        <f t="shared" si="56"/>
        <v>487.15892583174048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273</v>
      </c>
      <c r="L103" s="12">
        <f>VLOOKUP(A103,'Données projet'!$A$35:$I$55,9,0)</f>
        <v>3.2</v>
      </c>
      <c r="M103" s="12">
        <f t="array" ref="M103">INDEX(L:L,MIN(IF(ISNUMBER(L103:L299),ROW(L103:L299),"")))</f>
        <v>3.2</v>
      </c>
      <c r="N103" s="13">
        <f>IF('Données projet'!$A$36&gt;35,N102+M103-V102,IF(A103&lt;'Données projet'!$A$36,$K$205^A103,IF(A103='Données projet'!$A$36,'Données projet'!$B$36,N102+M103-V102)))</f>
        <v>272.99999999999983</v>
      </c>
      <c r="O103" s="13">
        <f>N103*VLOOKUP('Données projet'!$B$9,Paramètres!$A$1:$I$89,3,0)*VLOOKUP('Données projet'!$B$9,Paramètres!$A$1:$I$89,5,0)</f>
        <v>238.49279999999987</v>
      </c>
      <c r="P103" s="13">
        <f t="shared" si="87"/>
        <v>58.115130258576542</v>
      </c>
      <c r="Q103" s="20">
        <f t="shared" si="107"/>
        <v>516.59214520035391</v>
      </c>
      <c r="R103" s="59">
        <f t="shared" si="55"/>
        <v>809.92547853368728</v>
      </c>
      <c r="S103" s="59">
        <f ca="1">AVERAGE(OFFSET($R$3,0,0,'Données projet'!$E$9+1,1))-AVERAGE(OFFSET($H$3,0,0,'Données projet'!$E$9+1,1))</f>
        <v>252.49539407921907</v>
      </c>
      <c r="T103" s="59">
        <f t="shared" si="88"/>
        <v>263.36387286233929</v>
      </c>
      <c r="U103" s="15">
        <f>IF(ISNA(VLOOKUP(A103,'Données projet'!$A$35:$I$55,3,0)),0,VLOOKUP(A103,'Données projet'!$A$35:$I$55,3,0))</f>
        <v>18</v>
      </c>
      <c r="V103" s="15">
        <f>IF(ISNA(VLOOKUP(A103,'Données projet'!$A$35:$I$55,4,0)),0,VLOOKUP(A103,'Données projet'!$A$35:$I$55,4,0))</f>
        <v>13</v>
      </c>
      <c r="W103" s="16">
        <f>IF(ISNA(VLOOKUP(A103,'Données projet'!$A$35:$I$55,5,0)),0%,VLOOKUP(A103,'Données projet'!$A$35:$I$55,5,0)*VLOOKUP('Données projet'!$B$9,Paramètres!$A$1:$I$89,7,0))</f>
        <v>0.43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63.980343935927792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63.980343935927792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9.7110000000000021</v>
      </c>
      <c r="AI103" s="13">
        <f>IF('Données projet'!$A$62&gt;35,AI102+AH103-AQ102,IF(A103&lt;'Données projet'!$A$62,$AF$205^A103,IF(A103='Données projet'!$A$62,'Données projet'!$B$62,AI102+AH103-AQ102)))</f>
        <v>411.57100000000014</v>
      </c>
      <c r="AJ103" s="13">
        <f>AI103*VLOOKUP('Données projet'!$B$10,Paramètres!$A$1:$I$89,3,0)*VLOOKUP('Données projet'!$B$10,Paramètres!$A$1:$I$89,5,0)</f>
        <v>372.3894408000001</v>
      </c>
      <c r="AK103" s="13">
        <f t="shared" si="89"/>
        <v>86.155960872174461</v>
      </c>
      <c r="AL103" s="20">
        <f t="shared" si="58"/>
        <v>798.63324124570397</v>
      </c>
      <c r="AM103" s="59">
        <f t="shared" si="59"/>
        <v>1091.9665745790373</v>
      </c>
      <c r="AN103" s="59">
        <f ca="1">AVERAGE(OFFSET($AM$3,0,0,'Données projet'!$E$10+1,1))-AVERAGE(OFFSET($H$3,0,0,'Données projet'!$E$10+1,1))</f>
        <v>370.05613271587413</v>
      </c>
      <c r="AO103" s="59">
        <f t="shared" si="90"/>
        <v>183.24480056442525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124.16742815281096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124.16742815281096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9.7110000000000021</v>
      </c>
      <c r="BD103" s="12">
        <f>IF('Données projet'!$A$88&gt;35,BD102+BC103-BL102,IF(A103&lt;'Données projet'!$A$88,$BA$205^A103,IF(A103='Données projet'!$A$88,'Données projet'!$B$88,BD102+BC103-BL102)))</f>
        <v>411.57100000000014</v>
      </c>
      <c r="BE103" s="13">
        <f>BD103*VLOOKUP('Données projet'!$B$11,Paramètres!$A$1:$I$89,3,0)*VLOOKUP('Données projet'!$B$11,Paramètres!$A$1:$I$89,5,0)</f>
        <v>417.33299400000016</v>
      </c>
      <c r="BF103" s="13">
        <f t="shared" si="91"/>
        <v>95.281941338155363</v>
      </c>
      <c r="BG103" s="20">
        <f t="shared" si="61"/>
        <v>892.80434571395415</v>
      </c>
      <c r="BH103" s="59">
        <f t="shared" si="62"/>
        <v>1186.1376790472875</v>
      </c>
      <c r="BI103" s="59">
        <f ca="1">AVERAGE(OFFSET($BH$3,0,0,'Données projet'!$E$11+1,1))-AVERAGE(OFFSET($H$3,0,0,'Données projet'!$E$11+1,1))</f>
        <v>428.72181435671394</v>
      </c>
      <c r="BJ103" s="59">
        <f t="shared" si="92"/>
        <v>211.84936043087572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139.15315224021921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139.15315224021921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367.99999999999972</v>
      </c>
      <c r="BZ103" s="13">
        <f>BY103*VLOOKUP('Données projet'!$B$12,Paramètres!$A$1:$I$89,3,0)*VLOOKUP('Données projet'!$B$12,Paramètres!$A$1:$I$89,5,0)</f>
        <v>292.78079999999977</v>
      </c>
      <c r="CA103" s="13">
        <f t="shared" si="93"/>
        <v>69.660903052386217</v>
      </c>
      <c r="CB103" s="20">
        <f t="shared" si="64"/>
        <v>631.25263281623893</v>
      </c>
      <c r="CC103" s="59">
        <f t="shared" si="65"/>
        <v>924.58596614957219</v>
      </c>
      <c r="CD103" s="59">
        <f ca="1">AVERAGE(OFFSET($CC$3,0,0,'Données projet'!$E$12+1,1))-AVERAGE(OFFSET($H$3,0,0,'Données projet'!$E$12+1,1))</f>
        <v>296.737543892524</v>
      </c>
      <c r="CE103" s="59">
        <f t="shared" si="94"/>
        <v>296.38358650317099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41.47572409894812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41.47572409894812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474</v>
      </c>
      <c r="CR103" s="12">
        <f>VLOOKUP(A103,'Données projet'!$A$139:$I$159,9,0)</f>
        <v>8.1999999999999993</v>
      </c>
      <c r="CS103" s="12">
        <f t="array" ref="CS103">INDEX(CR:CR,MIN(IF(ISNUMBER(CR103:CR299),ROW(CR103:CR299),"")))</f>
        <v>8.1999999999999993</v>
      </c>
      <c r="CT103" s="12">
        <f>IF('Données projet'!$A$140&gt;35,CT102+CS103-DB102,IF(A103&lt;'Données projet'!$A$140,$CQ$205^A103,IF(A103='Données projet'!$A$140,'Données projet'!$B$140,CT102+CS103-DB102)))</f>
        <v>474</v>
      </c>
      <c r="CU103" s="17">
        <f>CT103*VLOOKUP('Données projet'!$B$13,Paramètres!$A$1:$I$89,3,0)*VLOOKUP('Données projet'!$B$13,Paramètres!$A$1:$I$89,5,0)</f>
        <v>406.69200000000006</v>
      </c>
      <c r="CV103" s="13">
        <f t="shared" si="95"/>
        <v>93.132052674423107</v>
      </c>
      <c r="CW103" s="20">
        <f t="shared" si="67"/>
        <v>870.52689174128693</v>
      </c>
      <c r="CX103" s="59">
        <f t="shared" si="68"/>
        <v>1163.8602250746203</v>
      </c>
      <c r="CY103" s="59">
        <f ca="1">AVERAGE(OFFSET($CX$3,0,0,'Données projet'!$E$13+1,1))-AVERAGE(OFFSET($H$3,0,0,'Données projet'!$E$13+1,1))</f>
        <v>391.93999504334352</v>
      </c>
      <c r="CZ103" s="59">
        <f t="shared" si="96"/>
        <v>215.4484906985528</v>
      </c>
      <c r="DA103" s="15">
        <f>IF(ISNA(VLOOKUP(A103,'Données projet'!$A$139:$I$159,3,0)),0,VLOOKUP(A103,'Données projet'!$A$139:$I$159,3,0))</f>
        <v>16</v>
      </c>
      <c r="DB103" s="15">
        <f>IF(ISNA(VLOOKUP(A103,'Données projet'!$A$139:$I$159,4,0)),0,VLOOKUP(A103,'Données projet'!$A$139:$I$159,4,0))</f>
        <v>29</v>
      </c>
      <c r="DC103" s="16">
        <f>IF(ISNA(VLOOKUP(A103,'Données projet'!$A$139:$I$159,5,0)),0%,VLOOKUP(A103,'Données projet'!$A$139:$I$159,5,0)*VLOOKUP('Données projet'!$B$13,Paramètres!$A$1:$I$89,7,0))</f>
        <v>0.53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131.94302470240356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131.94302470240356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367.99999999999972</v>
      </c>
      <c r="DP103" s="17">
        <f>DO103*VLOOKUP('Données projet'!$B$14,Paramètres!$A$1:$I$89,3,0)*VLOOKUP('Données projet'!$B$14,Paramètres!$A$1:$I$89,5,0)</f>
        <v>269.8175999999998</v>
      </c>
      <c r="DQ103" s="13">
        <f t="shared" si="97"/>
        <v>64.810557882019467</v>
      </c>
      <c r="DR103" s="20">
        <f t="shared" si="70"/>
        <v>582.81070831118348</v>
      </c>
      <c r="DS103" s="59">
        <f t="shared" si="71"/>
        <v>876.14404164451685</v>
      </c>
      <c r="DT103" s="59">
        <f ca="1">AVERAGE(OFFSET($DS$3,0,0,'Données projet'!$E$14+1,1))-AVERAGE(OFFSET($H$3,0,0,'Données projet'!$E$14+1,1))</f>
        <v>267.92147257573157</v>
      </c>
      <c r="DU103" s="59">
        <f t="shared" si="98"/>
        <v>269.06662611892438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31.010891011459208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31.010891011459208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0.8600000000003547</v>
      </c>
      <c r="EK103" s="17">
        <f>EJ103*VLOOKUP('Données projet'!$B$15,Paramètres!$A$1:$I$89,3,0)*VLOOKUP('Données projet'!$B$15,Paramètres!$A$1:$I$89,5,0)</f>
        <v>0.48074000000019829</v>
      </c>
      <c r="EL103" s="13">
        <f t="shared" si="99"/>
        <v>0.24126147010950588</v>
      </c>
      <c r="EM103" s="20">
        <f t="shared" si="73"/>
        <v>1.2574858937744013</v>
      </c>
      <c r="EN103" s="59">
        <f t="shared" si="74"/>
        <v>294.59081922710772</v>
      </c>
      <c r="EO103" s="59">
        <f ca="1">AVERAGE(OFFSET($EN$3,0,0,'Données projet'!$E$15+1,1))-AVERAGE(OFFSET($H$3,0,0,'Données projet'!$E$15+1,1))</f>
        <v>326.29985515186428</v>
      </c>
      <c r="EP103" s="59">
        <f t="shared" si="100"/>
        <v>437.68177084535927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152.49617320819388</v>
      </c>
      <c r="EW103" s="21">
        <f>EXP(-LN(2)/25)*EW102+(1-EXP(-LN(2)/25))/(LN(2)/25)*Calculateur!ER103*Calculateur!ET103*VLOOKUP('Données projet'!$B$15,Paramètres!$A$1:$I$89,3,0)*0.475*44/12</f>
        <v>7.2613920535351371</v>
      </c>
      <c r="EX103" s="21">
        <f>EXP(-LN(2)/2)*EX102+(1-EXP(-LN(2)/2))/(LN(2)/2)*ER103*EU103*VLOOKUP('Données projet'!$B$15,Paramètres!$A$1:$I$89,3,0)*0.475*44/12</f>
        <v>2.1534521629300787E-11</v>
      </c>
      <c r="EY103" s="22">
        <f t="shared" si="75"/>
        <v>159.75756526175056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1.7053025658242404E-13</v>
      </c>
      <c r="FF103" s="17">
        <f>FE103*VLOOKUP('Données projet'!$B$16,Paramètres!$A$1:$I$89,3,0)*VLOOKUP('Données projet'!$B$16,Paramètres!$A$1:$I$89,5,0)</f>
        <v>9.7631982498569413E-14</v>
      </c>
      <c r="FG103" s="13">
        <f t="shared" si="101"/>
        <v>1.4708068762530911E-12</v>
      </c>
      <c r="FH103" s="20">
        <f t="shared" si="76"/>
        <v>2.7316976789924749E-12</v>
      </c>
      <c r="FI103" s="59">
        <f t="shared" si="77"/>
        <v>293.33333333333604</v>
      </c>
      <c r="FJ103" s="59">
        <f ca="1">AVERAGE(OFFSET($FI$3,0,0,'Données projet'!$E$16+1,1))-AVERAGE(OFFSET($H$3,0,0,'Données projet'!$E$16+1,1))</f>
        <v>211.14768428403215</v>
      </c>
      <c r="FK103" s="59">
        <f t="shared" si="102"/>
        <v>350.7800157534798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20.763021918235761</v>
      </c>
      <c r="FR103" s="21">
        <f>EXP(-LN(2)/25)*FR102+(1-EXP(-LN(2)/25))/(LN(2)/25)*Calculateur!FM103*Calculateur!FO103*VLOOKUP('Données projet'!$B$16,Paramètres!$A$1:$I$89,3,0)*0.475*44/12</f>
        <v>3.0891551469090373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23.852177065144797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88.23360000000001</v>
      </c>
      <c r="D104" s="11">
        <f t="shared" si="86"/>
        <v>24.138721634312098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867.43546524732153</v>
      </c>
      <c r="H104" s="66">
        <f t="shared" si="56"/>
        <v>489.04846017976024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259.99999999999983</v>
      </c>
      <c r="O104" s="13">
        <f>N104*VLOOKUP('Données projet'!$B$9,Paramètres!$A$1:$I$89,3,0)*VLOOKUP('Données projet'!$B$9,Paramètres!$A$1:$I$89,5,0)</f>
        <v>227.13599999999985</v>
      </c>
      <c r="P104" s="13">
        <f t="shared" si="87"/>
        <v>55.662966886685133</v>
      </c>
      <c r="Q104" s="20">
        <f t="shared" si="107"/>
        <v>492.5415339943097</v>
      </c>
      <c r="R104" s="59">
        <f t="shared" si="55"/>
        <v>785.87486732764296</v>
      </c>
      <c r="S104" s="59">
        <f ca="1">AVERAGE(OFFSET($R$3,0,0,'Données projet'!$E$9+1,1))-AVERAGE(OFFSET($H$3,0,0,'Données projet'!$E$9+1,1))</f>
        <v>252.49539407921907</v>
      </c>
      <c r="T104" s="59">
        <f t="shared" si="88"/>
        <v>263.36387286233929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62.725728415500733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62.725728415500733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9.7110000000000021</v>
      </c>
      <c r="AI104" s="13">
        <f>IF('Données projet'!$A$62&gt;35,AI103+AH104-AQ103,IF(A104&lt;'Données projet'!$A$62,$AF$205^A104,IF(A104='Données projet'!$A$62,'Données projet'!$B$62,AI103+AH104-AQ103)))</f>
        <v>421.28200000000015</v>
      </c>
      <c r="AJ104" s="13">
        <f>AI104*VLOOKUP('Données projet'!$B$10,Paramètres!$A$1:$I$89,3,0)*VLOOKUP('Données projet'!$B$10,Paramètres!$A$1:$I$89,5,0)</f>
        <v>381.17595360000013</v>
      </c>
      <c r="AK104" s="13">
        <f t="shared" si="89"/>
        <v>87.949738529484478</v>
      </c>
      <c r="AL104" s="20">
        <f t="shared" si="58"/>
        <v>817.06058045885231</v>
      </c>
      <c r="AM104" s="59">
        <f t="shared" si="59"/>
        <v>1110.3939137921857</v>
      </c>
      <c r="AN104" s="59">
        <f ca="1">AVERAGE(OFFSET($AM$3,0,0,'Données projet'!$E$10+1,1))-AVERAGE(OFFSET($H$3,0,0,'Données projet'!$E$10+1,1))</f>
        <v>370.05613271587413</v>
      </c>
      <c r="AO104" s="59">
        <f t="shared" si="90"/>
        <v>183.24480056442525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121.73258062138733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121.73258062138733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9.7110000000000021</v>
      </c>
      <c r="BD104" s="12">
        <f>IF('Données projet'!$A$88&gt;35,BD103+BC104-BL103,IF(A104&lt;'Données projet'!$A$88,$BA$205^A104,IF(A104='Données projet'!$A$88,'Données projet'!$B$88,BD103+BC104-BL103)))</f>
        <v>421.28200000000015</v>
      </c>
      <c r="BE104" s="13">
        <f>BD104*VLOOKUP('Données projet'!$B$11,Paramètres!$A$1:$I$89,3,0)*VLOOKUP('Données projet'!$B$11,Paramètres!$A$1:$I$89,5,0)</f>
        <v>427.17994800000019</v>
      </c>
      <c r="BF104" s="13">
        <f t="shared" si="91"/>
        <v>97.265723026471477</v>
      </c>
      <c r="BG104" s="20">
        <f t="shared" si="61"/>
        <v>913.40954370443831</v>
      </c>
      <c r="BH104" s="59">
        <f t="shared" si="62"/>
        <v>1206.7428770377717</v>
      </c>
      <c r="BI104" s="59">
        <f ca="1">AVERAGE(OFFSET($BH$3,0,0,'Données projet'!$E$11+1,1))-AVERAGE(OFFSET($H$3,0,0,'Données projet'!$E$11+1,1))</f>
        <v>428.72181435671394</v>
      </c>
      <c r="BJ104" s="59">
        <f t="shared" si="92"/>
        <v>211.84936043087572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136.42444379983067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136.42444379983067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367.99999999999972</v>
      </c>
      <c r="BZ104" s="13">
        <f>BY104*VLOOKUP('Données projet'!$B$12,Paramètres!$A$1:$I$89,3,0)*VLOOKUP('Données projet'!$B$12,Paramètres!$A$1:$I$89,5,0)</f>
        <v>292.78079999999977</v>
      </c>
      <c r="CA104" s="13">
        <f t="shared" si="93"/>
        <v>69.660903052386217</v>
      </c>
      <c r="CB104" s="20">
        <f t="shared" si="64"/>
        <v>631.25263281623893</v>
      </c>
      <c r="CC104" s="59">
        <f t="shared" si="65"/>
        <v>924.58596614957219</v>
      </c>
      <c r="CD104" s="59">
        <f ca="1">AVERAGE(OFFSET($CC$3,0,0,'Données projet'!$E$12+1,1))-AVERAGE(OFFSET($H$3,0,0,'Données projet'!$E$12+1,1))</f>
        <v>296.737543892524</v>
      </c>
      <c r="CE104" s="59">
        <f t="shared" si="94"/>
        <v>296.38358650317099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40.662410447061511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40.662410447061511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7.8</v>
      </c>
      <c r="CT104" s="12">
        <f>IF('Données projet'!$A$140&gt;35,CT103+CS104-DB103,IF(A104&lt;'Données projet'!$A$140,$CQ$205^A104,IF(A104='Données projet'!$A$140,'Données projet'!$B$140,CT103+CS104-DB103)))</f>
        <v>452.8</v>
      </c>
      <c r="CU104" s="17">
        <f>CT104*VLOOKUP('Données projet'!$B$13,Paramètres!$A$1:$I$89,3,0)*VLOOKUP('Données projet'!$B$13,Paramètres!$A$1:$I$89,5,0)</f>
        <v>388.50240000000002</v>
      </c>
      <c r="CV104" s="13">
        <f t="shared" si="95"/>
        <v>89.441761444345047</v>
      </c>
      <c r="CW104" s="20">
        <f t="shared" si="67"/>
        <v>832.41941451556761</v>
      </c>
      <c r="CX104" s="59">
        <f t="shared" si="68"/>
        <v>1125.752747848901</v>
      </c>
      <c r="CY104" s="59">
        <f ca="1">AVERAGE(OFFSET($CX$3,0,0,'Données projet'!$E$13+1,1))-AVERAGE(OFFSET($H$3,0,0,'Données projet'!$E$13+1,1))</f>
        <v>391.93999504334352</v>
      </c>
      <c r="CZ104" s="59">
        <f t="shared" si="96"/>
        <v>215.4484906985528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129.35570246528803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129.35570246528803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367.99999999999972</v>
      </c>
      <c r="DP104" s="17">
        <f>DO104*VLOOKUP('Données projet'!$B$14,Paramètres!$A$1:$I$89,3,0)*VLOOKUP('Données projet'!$B$14,Paramètres!$A$1:$I$89,5,0)</f>
        <v>269.8175999999998</v>
      </c>
      <c r="DQ104" s="13">
        <f t="shared" si="97"/>
        <v>64.810557882019467</v>
      </c>
      <c r="DR104" s="20">
        <f t="shared" si="70"/>
        <v>582.81070831118348</v>
      </c>
      <c r="DS104" s="59">
        <f t="shared" si="71"/>
        <v>876.14404164451685</v>
      </c>
      <c r="DT104" s="59">
        <f ca="1">AVERAGE(OFFSET($DS$3,0,0,'Données projet'!$E$14+1,1))-AVERAGE(OFFSET($H$3,0,0,'Données projet'!$E$14+1,1))</f>
        <v>267.92147257573157</v>
      </c>
      <c r="DU104" s="59">
        <f t="shared" si="98"/>
        <v>269.06662611892438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30.402786353500332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30.402786353500332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0.8600000000003547</v>
      </c>
      <c r="EK104" s="17">
        <f>EJ104*VLOOKUP('Données projet'!$B$15,Paramètres!$A$1:$I$89,3,0)*VLOOKUP('Données projet'!$B$15,Paramètres!$A$1:$I$89,5,0)</f>
        <v>0.48074000000019829</v>
      </c>
      <c r="EL104" s="13">
        <f t="shared" si="99"/>
        <v>0.24126147010950588</v>
      </c>
      <c r="EM104" s="20">
        <f t="shared" si="73"/>
        <v>1.2574858937744013</v>
      </c>
      <c r="EN104" s="59">
        <f t="shared" si="74"/>
        <v>294.59081922710772</v>
      </c>
      <c r="EO104" s="59">
        <f ca="1">AVERAGE(OFFSET($EN$3,0,0,'Données projet'!$E$15+1,1))-AVERAGE(OFFSET($H$3,0,0,'Données projet'!$E$15+1,1))</f>
        <v>326.29985515186428</v>
      </c>
      <c r="EP104" s="59">
        <f t="shared" si="100"/>
        <v>437.68177084535927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149.50581626506255</v>
      </c>
      <c r="EW104" s="21">
        <f>EXP(-LN(2)/25)*EW103+(1-EXP(-LN(2)/25))/(LN(2)/25)*Calculateur!ER104*Calculateur!ET104*VLOOKUP('Données projet'!$B$15,Paramètres!$A$1:$I$89,3,0)*0.475*44/12</f>
        <v>7.062828905971207</v>
      </c>
      <c r="EX104" s="21">
        <f>EXP(-LN(2)/2)*EX103+(1-EXP(-LN(2)/2))/(LN(2)/2)*ER104*EU104*VLOOKUP('Données projet'!$B$15,Paramètres!$A$1:$I$89,3,0)*0.475*44/12</f>
        <v>1.5227206273686966E-11</v>
      </c>
      <c r="EY104" s="22">
        <f t="shared" si="75"/>
        <v>156.56864517104898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1.7053025658242404E-13</v>
      </c>
      <c r="FF104" s="17">
        <f>FE104*VLOOKUP('Données projet'!$B$16,Paramètres!$A$1:$I$89,3,0)*VLOOKUP('Données projet'!$B$16,Paramètres!$A$1:$I$89,5,0)</f>
        <v>9.7631982498569413E-14</v>
      </c>
      <c r="FG104" s="13">
        <f t="shared" si="101"/>
        <v>1.4708068762530911E-12</v>
      </c>
      <c r="FH104" s="20">
        <f t="shared" si="76"/>
        <v>2.7316976789924749E-12</v>
      </c>
      <c r="FI104" s="59">
        <f t="shared" si="77"/>
        <v>293.33333333333604</v>
      </c>
      <c r="FJ104" s="59">
        <f ca="1">AVERAGE(OFFSET($FI$3,0,0,'Données projet'!$E$16+1,1))-AVERAGE(OFFSET($H$3,0,0,'Données projet'!$E$16+1,1))</f>
        <v>211.14768428403215</v>
      </c>
      <c r="FK104" s="59">
        <f t="shared" si="102"/>
        <v>350.7800157534798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20.355871722612044</v>
      </c>
      <c r="FR104" s="21">
        <f>EXP(-LN(2)/25)*FR103+(1-EXP(-LN(2)/25))/(LN(2)/25)*Calculateur!FM104*Calculateur!FO104*VLOOKUP('Données projet'!$B$16,Paramètres!$A$1:$I$89,3,0)*0.475*44/12</f>
        <v>3.004682036965201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23.360553759577243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89.107200000000006</v>
      </c>
      <c r="D105" s="11">
        <f t="shared" si="86"/>
        <v>24.349778356363352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875.80825397894523</v>
      </c>
      <c r="H105" s="66">
        <f t="shared" si="56"/>
        <v>490.93757063733278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259.99999999999983</v>
      </c>
      <c r="O105" s="13">
        <f>N105*VLOOKUP('Données projet'!$B$9,Paramètres!$A$1:$I$89,3,0)*VLOOKUP('Données projet'!$B$9,Paramètres!$A$1:$I$89,5,0)</f>
        <v>227.13599999999985</v>
      </c>
      <c r="P105" s="13">
        <f t="shared" si="87"/>
        <v>55.662966886685133</v>
      </c>
      <c r="Q105" s="20">
        <f t="shared" si="107"/>
        <v>492.5415339943097</v>
      </c>
      <c r="R105" s="59">
        <f t="shared" si="55"/>
        <v>785.87486732764296</v>
      </c>
      <c r="S105" s="59">
        <f ca="1">AVERAGE(OFFSET($R$3,0,0,'Données projet'!$E$9+1,1))-AVERAGE(OFFSET($H$3,0,0,'Données projet'!$E$9+1,1))</f>
        <v>252.49539407921907</v>
      </c>
      <c r="T105" s="59">
        <f t="shared" si="88"/>
        <v>263.36387286233929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61.49571514018934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61.49571514018934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9.7110000000000021</v>
      </c>
      <c r="AI105" s="13">
        <f>IF('Données projet'!$A$62&gt;35,AI104+AH105-AQ104,IF(A105&lt;'Données projet'!$A$62,$AF$205^A105,IF(A105='Données projet'!$A$62,'Données projet'!$B$62,AI104+AH105-AQ104)))</f>
        <v>430.99300000000017</v>
      </c>
      <c r="AJ105" s="13">
        <f>AI105*VLOOKUP('Données projet'!$B$10,Paramètres!$A$1:$I$89,3,0)*VLOOKUP('Données projet'!$B$10,Paramètres!$A$1:$I$89,5,0)</f>
        <v>389.9624664000001</v>
      </c>
      <c r="AK105" s="13">
        <f t="shared" si="89"/>
        <v>89.738709223725238</v>
      </c>
      <c r="AL105" s="20">
        <f t="shared" si="58"/>
        <v>835.47954754465491</v>
      </c>
      <c r="AM105" s="59">
        <f t="shared" si="59"/>
        <v>1128.8128808779882</v>
      </c>
      <c r="AN105" s="59">
        <f ca="1">AVERAGE(OFFSET($AM$3,0,0,'Données projet'!$E$10+1,1))-AVERAGE(OFFSET($H$3,0,0,'Données projet'!$E$10+1,1))</f>
        <v>370.05613271587413</v>
      </c>
      <c r="AO105" s="59">
        <f t="shared" si="90"/>
        <v>183.24480056442525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119.34547896494456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119.34547896494456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9.7110000000000021</v>
      </c>
      <c r="BD105" s="12">
        <f>IF('Données projet'!$A$88&gt;35,BD104+BC105-BL104,IF(A105&lt;'Données projet'!$A$88,$BA$205^A105,IF(A105='Données projet'!$A$88,'Données projet'!$B$88,BD104+BC105-BL104)))</f>
        <v>430.99300000000017</v>
      </c>
      <c r="BE105" s="13">
        <f>BD105*VLOOKUP('Données projet'!$B$11,Paramètres!$A$1:$I$89,3,0)*VLOOKUP('Données projet'!$B$11,Paramètres!$A$1:$I$89,5,0)</f>
        <v>437.02690200000018</v>
      </c>
      <c r="BF105" s="13">
        <f t="shared" si="91"/>
        <v>99.244188579159314</v>
      </c>
      <c r="BG105" s="20">
        <f t="shared" si="61"/>
        <v>934.00548275870278</v>
      </c>
      <c r="BH105" s="59">
        <f t="shared" si="62"/>
        <v>1227.338816092036</v>
      </c>
      <c r="BI105" s="59">
        <f ca="1">AVERAGE(OFFSET($BH$3,0,0,'Données projet'!$E$11+1,1))-AVERAGE(OFFSET($H$3,0,0,'Données projet'!$E$11+1,1))</f>
        <v>428.72181435671394</v>
      </c>
      <c r="BJ105" s="59">
        <f t="shared" si="92"/>
        <v>211.84936043087572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133.74924366761033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133.74924366761033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367.99999999999972</v>
      </c>
      <c r="BZ105" s="13">
        <f>BY105*VLOOKUP('Données projet'!$B$12,Paramètres!$A$1:$I$89,3,0)*VLOOKUP('Données projet'!$B$12,Paramètres!$A$1:$I$89,5,0)</f>
        <v>292.78079999999977</v>
      </c>
      <c r="CA105" s="13">
        <f t="shared" si="93"/>
        <v>69.660903052386217</v>
      </c>
      <c r="CB105" s="20">
        <f t="shared" si="64"/>
        <v>631.25263281623893</v>
      </c>
      <c r="CC105" s="59">
        <f t="shared" si="65"/>
        <v>924.58596614957219</v>
      </c>
      <c r="CD105" s="59">
        <f ca="1">AVERAGE(OFFSET($CC$3,0,0,'Données projet'!$E$12+1,1))-AVERAGE(OFFSET($H$3,0,0,'Données projet'!$E$12+1,1))</f>
        <v>296.737543892524</v>
      </c>
      <c r="CE105" s="59">
        <f t="shared" si="94"/>
        <v>296.38358650317099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39.865045379816053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39.865045379816053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7.8</v>
      </c>
      <c r="CT105" s="12">
        <f>IF('Données projet'!$A$140&gt;35,CT104+CS105-DB104,IF(A105&lt;'Données projet'!$A$140,$CQ$205^A105,IF(A105='Données projet'!$A$140,'Données projet'!$B$140,CT104+CS105-DB104)))</f>
        <v>460.6</v>
      </c>
      <c r="CU105" s="17">
        <f>CT105*VLOOKUP('Données projet'!$B$13,Paramètres!$A$1:$I$89,3,0)*VLOOKUP('Données projet'!$B$13,Paramètres!$A$1:$I$89,5,0)</f>
        <v>395.1948000000001</v>
      </c>
      <c r="CV105" s="13">
        <f t="shared" si="95"/>
        <v>90.801800495271991</v>
      </c>
      <c r="CW105" s="20">
        <f t="shared" si="67"/>
        <v>846.4440791959322</v>
      </c>
      <c r="CX105" s="59">
        <f t="shared" si="68"/>
        <v>1139.7774125292656</v>
      </c>
      <c r="CY105" s="59">
        <f ca="1">AVERAGE(OFFSET($CX$3,0,0,'Données projet'!$E$13+1,1))-AVERAGE(OFFSET($H$3,0,0,'Données projet'!$E$13+1,1))</f>
        <v>391.93999504334352</v>
      </c>
      <c r="CZ105" s="59">
        <f t="shared" si="96"/>
        <v>215.4484906985528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126.81911603913159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126.81911603913159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367.99999999999972</v>
      </c>
      <c r="DP105" s="17">
        <f>DO105*VLOOKUP('Données projet'!$B$14,Paramètres!$A$1:$I$89,3,0)*VLOOKUP('Données projet'!$B$14,Paramètres!$A$1:$I$89,5,0)</f>
        <v>269.8175999999998</v>
      </c>
      <c r="DQ105" s="13">
        <f t="shared" si="97"/>
        <v>64.810557882019467</v>
      </c>
      <c r="DR105" s="20">
        <f t="shared" si="70"/>
        <v>582.81070831118348</v>
      </c>
      <c r="DS105" s="59">
        <f t="shared" si="71"/>
        <v>876.14404164451685</v>
      </c>
      <c r="DT105" s="59">
        <f ca="1">AVERAGE(OFFSET($DS$3,0,0,'Données projet'!$E$14+1,1))-AVERAGE(OFFSET($H$3,0,0,'Données projet'!$E$14+1,1))</f>
        <v>267.92147257573157</v>
      </c>
      <c r="DU105" s="59">
        <f t="shared" si="98"/>
        <v>269.06662611892438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29.80660625697681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29.80660625697681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0.8600000000003547</v>
      </c>
      <c r="EK105" s="17">
        <f>EJ105*VLOOKUP('Données projet'!$B$15,Paramètres!$A$1:$I$89,3,0)*VLOOKUP('Données projet'!$B$15,Paramètres!$A$1:$I$89,5,0)</f>
        <v>0.48074000000019829</v>
      </c>
      <c r="EL105" s="13">
        <f t="shared" si="99"/>
        <v>0.24126147010950588</v>
      </c>
      <c r="EM105" s="20">
        <f t="shared" si="73"/>
        <v>1.2574858937744013</v>
      </c>
      <c r="EN105" s="59">
        <f t="shared" si="74"/>
        <v>294.59081922710772</v>
      </c>
      <c r="EO105" s="59">
        <f ca="1">AVERAGE(OFFSET($EN$3,0,0,'Données projet'!$E$15+1,1))-AVERAGE(OFFSET($H$3,0,0,'Données projet'!$E$15+1,1))</f>
        <v>326.29985515186428</v>
      </c>
      <c r="EP105" s="59">
        <f t="shared" si="100"/>
        <v>437.68177084535927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146.57409839764838</v>
      </c>
      <c r="EW105" s="21">
        <f>EXP(-LN(2)/25)*EW104+(1-EXP(-LN(2)/25))/(LN(2)/25)*Calculateur!ER105*Calculateur!ET105*VLOOKUP('Données projet'!$B$15,Paramètres!$A$1:$I$89,3,0)*0.475*44/12</f>
        <v>6.8696954781193948</v>
      </c>
      <c r="EX105" s="21">
        <f>EXP(-LN(2)/2)*EX104+(1-EXP(-LN(2)/2))/(LN(2)/2)*ER105*EU105*VLOOKUP('Données projet'!$B$15,Paramètres!$A$1:$I$89,3,0)*0.475*44/12</f>
        <v>1.0767260814650394E-11</v>
      </c>
      <c r="EY105" s="22">
        <f t="shared" si="75"/>
        <v>153.44379387577854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1.7053025658242404E-13</v>
      </c>
      <c r="FF105" s="17">
        <f>FE105*VLOOKUP('Données projet'!$B$16,Paramètres!$A$1:$I$89,3,0)*VLOOKUP('Données projet'!$B$16,Paramètres!$A$1:$I$89,5,0)</f>
        <v>9.7631982498569413E-14</v>
      </c>
      <c r="FG105" s="13">
        <f t="shared" si="101"/>
        <v>1.4708068762530911E-12</v>
      </c>
      <c r="FH105" s="20">
        <f t="shared" si="76"/>
        <v>2.7316976789924749E-12</v>
      </c>
      <c r="FI105" s="59">
        <f t="shared" si="77"/>
        <v>293.33333333333604</v>
      </c>
      <c r="FJ105" s="59">
        <f ca="1">AVERAGE(OFFSET($FI$3,0,0,'Données projet'!$E$16+1,1))-AVERAGE(OFFSET($H$3,0,0,'Données projet'!$E$16+1,1))</f>
        <v>211.14768428403215</v>
      </c>
      <c r="FK105" s="59">
        <f t="shared" si="102"/>
        <v>350.7800157534798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19.956705493987407</v>
      </c>
      <c r="FR105" s="21">
        <f>EXP(-LN(2)/25)*FR104+(1-EXP(-LN(2)/25))/(LN(2)/25)*Calculateur!FM105*Calculateur!FO105*VLOOKUP('Données projet'!$B$16,Paramètres!$A$1:$I$89,3,0)*0.475*44/12</f>
        <v>2.9225188486550264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22.879224342642434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89.980800000000002</v>
      </c>
      <c r="D106" s="11">
        <f t="shared" si="86"/>
        <v>24.560594358746627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884.17918452365814</v>
      </c>
      <c r="H106" s="66">
        <f t="shared" si="56"/>
        <v>492.82626184148364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259.99999999999983</v>
      </c>
      <c r="O106" s="13">
        <f>N106*VLOOKUP('Données projet'!$B$9,Paramètres!$A$1:$I$89,3,0)*VLOOKUP('Données projet'!$B$9,Paramètres!$A$1:$I$89,5,0)</f>
        <v>227.13599999999985</v>
      </c>
      <c r="P106" s="13">
        <f t="shared" si="87"/>
        <v>55.662966886685133</v>
      </c>
      <c r="Q106" s="20">
        <f t="shared" si="107"/>
        <v>492.5415339943097</v>
      </c>
      <c r="R106" s="59">
        <f t="shared" si="55"/>
        <v>785.87486732764296</v>
      </c>
      <c r="S106" s="59">
        <f ca="1">AVERAGE(OFFSET($R$3,0,0,'Données projet'!$E$9+1,1))-AVERAGE(OFFSET($H$3,0,0,'Données projet'!$E$9+1,1))</f>
        <v>252.49539407921907</v>
      </c>
      <c r="T106" s="59">
        <f t="shared" si="88"/>
        <v>263.36387286233929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60.289821674972785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60.289821674972785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9.7110000000000021</v>
      </c>
      <c r="AI106" s="13">
        <f>IF('Données projet'!$A$62&gt;35,AI105+AH106-AQ105,IF(A106&lt;'Données projet'!$A$62,$AF$205^A106,IF(A106='Données projet'!$A$62,'Données projet'!$B$62,AI105+AH106-AQ105)))</f>
        <v>440.70400000000018</v>
      </c>
      <c r="AJ106" s="13">
        <f>AI106*VLOOKUP('Données projet'!$B$10,Paramètres!$A$1:$I$89,3,0)*VLOOKUP('Données projet'!$B$10,Paramètres!$A$1:$I$89,5,0)</f>
        <v>398.74897920000012</v>
      </c>
      <c r="AK106" s="13">
        <f t="shared" si="89"/>
        <v>91.522993733283613</v>
      </c>
      <c r="AL106" s="20">
        <f t="shared" si="58"/>
        <v>853.89035285880254</v>
      </c>
      <c r="AM106" s="59">
        <f t="shared" si="59"/>
        <v>1147.2236861921358</v>
      </c>
      <c r="AN106" s="59">
        <f ca="1">AVERAGE(OFFSET($AM$3,0,0,'Données projet'!$E$10+1,1))-AVERAGE(OFFSET($H$3,0,0,'Données projet'!$E$10+1,1))</f>
        <v>370.05613271587413</v>
      </c>
      <c r="AO106" s="59">
        <f t="shared" si="90"/>
        <v>183.24480056442525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117.0051869159964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117.0051869159964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9.7110000000000021</v>
      </c>
      <c r="BD106" s="12">
        <f>IF('Données projet'!$A$88&gt;35,BD105+BC106-BL105,IF(A106&lt;'Données projet'!$A$88,$BA$205^A106,IF(A106='Données projet'!$A$88,'Données projet'!$B$88,BD105+BC106-BL105)))</f>
        <v>440.70400000000018</v>
      </c>
      <c r="BE106" s="13">
        <f>BD106*VLOOKUP('Données projet'!$B$11,Paramètres!$A$1:$I$89,3,0)*VLOOKUP('Données projet'!$B$11,Paramètres!$A$1:$I$89,5,0)</f>
        <v>446.87385600000022</v>
      </c>
      <c r="BF106" s="13">
        <f t="shared" si="91"/>
        <v>101.21747156793077</v>
      </c>
      <c r="BG106" s="20">
        <f t="shared" si="61"/>
        <v>954.59239551414646</v>
      </c>
      <c r="BH106" s="59">
        <f t="shared" si="62"/>
        <v>1247.9257288474798</v>
      </c>
      <c r="BI106" s="59">
        <f ca="1">AVERAGE(OFFSET($BH$3,0,0,'Données projet'!$E$11+1,1))-AVERAGE(OFFSET($H$3,0,0,'Données projet'!$E$11+1,1))</f>
        <v>428.72181435671394</v>
      </c>
      <c r="BJ106" s="59">
        <f t="shared" si="92"/>
        <v>211.84936043087572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131.12650257827187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131.12650257827187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367.99999999999972</v>
      </c>
      <c r="BZ106" s="13">
        <f>BY106*VLOOKUP('Données projet'!$B$12,Paramètres!$A$1:$I$89,3,0)*VLOOKUP('Données projet'!$B$12,Paramètres!$A$1:$I$89,5,0)</f>
        <v>292.78079999999977</v>
      </c>
      <c r="CA106" s="13">
        <f t="shared" si="93"/>
        <v>69.660903052386217</v>
      </c>
      <c r="CB106" s="20">
        <f t="shared" si="64"/>
        <v>631.25263281623893</v>
      </c>
      <c r="CC106" s="59">
        <f t="shared" si="65"/>
        <v>924.58596614957219</v>
      </c>
      <c r="CD106" s="59">
        <f ca="1">AVERAGE(OFFSET($CC$3,0,0,'Données projet'!$E$12+1,1))-AVERAGE(OFFSET($H$3,0,0,'Données projet'!$E$12+1,1))</f>
        <v>296.737543892524</v>
      </c>
      <c r="CE106" s="59">
        <f t="shared" si="94"/>
        <v>296.38358650317099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39.083316155194609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39.083316155194609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7.8</v>
      </c>
      <c r="CT106" s="12">
        <f>IF('Données projet'!$A$140&gt;35,CT105+CS106-DB105,IF(A106&lt;'Données projet'!$A$140,$CQ$205^A106,IF(A106='Données projet'!$A$140,'Données projet'!$B$140,CT105+CS106-DB105)))</f>
        <v>468.40000000000003</v>
      </c>
      <c r="CU106" s="17">
        <f>CT106*VLOOKUP('Données projet'!$B$13,Paramètres!$A$1:$I$89,3,0)*VLOOKUP('Données projet'!$B$13,Paramètres!$A$1:$I$89,5,0)</f>
        <v>401.88720000000012</v>
      </c>
      <c r="CV106" s="13">
        <f t="shared" si="95"/>
        <v>92.159161185828268</v>
      </c>
      <c r="CW106" s="20">
        <f t="shared" si="67"/>
        <v>860.46407906531783</v>
      </c>
      <c r="CX106" s="59">
        <f t="shared" si="68"/>
        <v>1153.7974123986512</v>
      </c>
      <c r="CY106" s="59">
        <f ca="1">AVERAGE(OFFSET($CX$3,0,0,'Données projet'!$E$13+1,1))-AVERAGE(OFFSET($H$3,0,0,'Données projet'!$E$13+1,1))</f>
        <v>391.93999504334352</v>
      </c>
      <c r="CZ106" s="59">
        <f t="shared" si="96"/>
        <v>215.4484906985528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124.33227052562712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124.33227052562712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367.99999999999972</v>
      </c>
      <c r="DP106" s="17">
        <f>DO106*VLOOKUP('Données projet'!$B$14,Paramètres!$A$1:$I$89,3,0)*VLOOKUP('Données projet'!$B$14,Paramètres!$A$1:$I$89,5,0)</f>
        <v>269.8175999999998</v>
      </c>
      <c r="DQ106" s="13">
        <f t="shared" si="97"/>
        <v>64.810557882019467</v>
      </c>
      <c r="DR106" s="20">
        <f t="shared" si="70"/>
        <v>582.81070831118348</v>
      </c>
      <c r="DS106" s="59">
        <f t="shared" si="71"/>
        <v>876.14404164451685</v>
      </c>
      <c r="DT106" s="59">
        <f ca="1">AVERAGE(OFFSET($DS$3,0,0,'Données projet'!$E$14+1,1))-AVERAGE(OFFSET($H$3,0,0,'Données projet'!$E$14+1,1))</f>
        <v>267.92147257573157</v>
      </c>
      <c r="DU106" s="59">
        <f t="shared" si="98"/>
        <v>269.06662611892438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29.222116888512161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29.222116888512161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0.8600000000003547</v>
      </c>
      <c r="EK106" s="17">
        <f>EJ106*VLOOKUP('Données projet'!$B$15,Paramètres!$A$1:$I$89,3,0)*VLOOKUP('Données projet'!$B$15,Paramètres!$A$1:$I$89,5,0)</f>
        <v>0.48074000000019829</v>
      </c>
      <c r="EL106" s="13">
        <f t="shared" si="99"/>
        <v>0.24126147010950588</v>
      </c>
      <c r="EM106" s="20">
        <f t="shared" si="73"/>
        <v>1.2574858937744013</v>
      </c>
      <c r="EN106" s="59">
        <f t="shared" si="74"/>
        <v>294.59081922710772</v>
      </c>
      <c r="EO106" s="59">
        <f ca="1">AVERAGE(OFFSET($EN$3,0,0,'Données projet'!$E$15+1,1))-AVERAGE(OFFSET($H$3,0,0,'Données projet'!$E$15+1,1))</f>
        <v>326.29985515186428</v>
      </c>
      <c r="EP106" s="59">
        <f t="shared" si="100"/>
        <v>437.68177084535927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143.69986972944287</v>
      </c>
      <c r="EW106" s="21">
        <f>EXP(-LN(2)/25)*EW105+(1-EXP(-LN(2)/25))/(LN(2)/25)*Calculateur!ER106*Calculateur!ET106*VLOOKUP('Données projet'!$B$15,Paramètres!$A$1:$I$89,3,0)*0.475*44/12</f>
        <v>6.6818432940086359</v>
      </c>
      <c r="EX106" s="21">
        <f>EXP(-LN(2)/2)*EX105+(1-EXP(-LN(2)/2))/(LN(2)/2)*ER106*EU106*VLOOKUP('Données projet'!$B$15,Paramètres!$A$1:$I$89,3,0)*0.475*44/12</f>
        <v>7.6136031368434831E-12</v>
      </c>
      <c r="EY106" s="22">
        <f t="shared" si="75"/>
        <v>150.38171302345913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1.7053025658242404E-13</v>
      </c>
      <c r="FF106" s="17">
        <f>FE106*VLOOKUP('Données projet'!$B$16,Paramètres!$A$1:$I$89,3,0)*VLOOKUP('Données projet'!$B$16,Paramètres!$A$1:$I$89,5,0)</f>
        <v>9.7631982498569413E-14</v>
      </c>
      <c r="FG106" s="13">
        <f t="shared" si="101"/>
        <v>1.4708068762530911E-12</v>
      </c>
      <c r="FH106" s="20">
        <f t="shared" si="76"/>
        <v>2.7316976789924749E-12</v>
      </c>
      <c r="FI106" s="59">
        <f t="shared" si="77"/>
        <v>293.33333333333604</v>
      </c>
      <c r="FJ106" s="59">
        <f ca="1">AVERAGE(OFFSET($FI$3,0,0,'Données projet'!$E$16+1,1))-AVERAGE(OFFSET($H$3,0,0,'Données projet'!$E$16+1,1))</f>
        <v>211.14768428403215</v>
      </c>
      <c r="FK106" s="59">
        <f t="shared" si="102"/>
        <v>350.7800157534798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19.565366671638742</v>
      </c>
      <c r="FR106" s="21">
        <f>EXP(-LN(2)/25)*FR105+(1-EXP(-LN(2)/25))/(LN(2)/25)*Calculateur!FM106*Calculateur!FO106*VLOOKUP('Données projet'!$B$16,Paramètres!$A$1:$I$89,3,0)*0.475*44/12</f>
        <v>2.8426024170499682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22.407969088688709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90.854399999999998</v>
      </c>
      <c r="D107" s="11">
        <f t="shared" si="86"/>
        <v>24.771172249191284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892.54827701130114</v>
      </c>
      <c r="H107" s="66">
        <f t="shared" si="56"/>
        <v>494.71453833400813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259.99999999999983</v>
      </c>
      <c r="O107" s="13">
        <f>N107*VLOOKUP('Données projet'!$B$9,Paramètres!$A$1:$I$89,3,0)*VLOOKUP('Données projet'!$B$9,Paramètres!$A$1:$I$89,5,0)</f>
        <v>227.13599999999985</v>
      </c>
      <c r="P107" s="13">
        <f t="shared" si="87"/>
        <v>55.662966886685133</v>
      </c>
      <c r="Q107" s="20">
        <f t="shared" si="107"/>
        <v>492.5415339943097</v>
      </c>
      <c r="R107" s="59">
        <f t="shared" si="55"/>
        <v>785.87486732764296</v>
      </c>
      <c r="S107" s="59">
        <f ca="1">AVERAGE(OFFSET($R$3,0,0,'Données projet'!$E$9+1,1))-AVERAGE(OFFSET($H$3,0,0,'Données projet'!$E$9+1,1))</f>
        <v>252.49539407921907</v>
      </c>
      <c r="T107" s="59">
        <f t="shared" si="88"/>
        <v>263.36387286233929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59.10757504508674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59.10757504508674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9.7110000000000021</v>
      </c>
      <c r="AI107" s="13">
        <f>IF('Données projet'!$A$62&gt;35,AI106+AH107-AQ106,IF(A107&lt;'Données projet'!$A$62,$AF$205^A107,IF(A107='Données projet'!$A$62,'Données projet'!$B$62,AI106+AH107-AQ106)))</f>
        <v>450.41500000000019</v>
      </c>
      <c r="AJ107" s="13">
        <f>AI107*VLOOKUP('Données projet'!$B$10,Paramètres!$A$1:$I$89,3,0)*VLOOKUP('Données projet'!$B$10,Paramètres!$A$1:$I$89,5,0)</f>
        <v>407.5354920000002</v>
      </c>
      <c r="AK107" s="13">
        <f t="shared" si="89"/>
        <v>93.30270720985969</v>
      </c>
      <c r="AL107" s="20">
        <f t="shared" si="58"/>
        <v>872.29319695717265</v>
      </c>
      <c r="AM107" s="59">
        <f t="shared" si="59"/>
        <v>1165.626530290506</v>
      </c>
      <c r="AN107" s="59">
        <f ca="1">AVERAGE(OFFSET($AM$3,0,0,'Données projet'!$E$10+1,1))-AVERAGE(OFFSET($H$3,0,0,'Données projet'!$E$10+1,1))</f>
        <v>370.05613271587413</v>
      </c>
      <c r="AO107" s="59">
        <f t="shared" si="90"/>
        <v>183.24480056442525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114.71078656669091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114.71078656669091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9.7110000000000021</v>
      </c>
      <c r="BD107" s="12">
        <f>IF('Données projet'!$A$88&gt;35,BD106+BC107-BL106,IF(A107&lt;'Données projet'!$A$88,$BA$205^A107,IF(A107='Données projet'!$A$88,'Données projet'!$B$88,BD106+BC107-BL106)))</f>
        <v>450.41500000000019</v>
      </c>
      <c r="BE107" s="13">
        <f>BD107*VLOOKUP('Données projet'!$B$11,Paramètres!$A$1:$I$89,3,0)*VLOOKUP('Données projet'!$B$11,Paramètres!$A$1:$I$89,5,0)</f>
        <v>456.72081000000026</v>
      </c>
      <c r="BF107" s="13">
        <f t="shared" si="91"/>
        <v>103.18569934180985</v>
      </c>
      <c r="BG107" s="20">
        <f t="shared" si="61"/>
        <v>975.1705037703191</v>
      </c>
      <c r="BH107" s="59">
        <f t="shared" si="62"/>
        <v>1268.5038371036524</v>
      </c>
      <c r="BI107" s="59">
        <f ca="1">AVERAGE(OFFSET($BH$3,0,0,'Données projet'!$E$11+1,1))-AVERAGE(OFFSET($H$3,0,0,'Données projet'!$E$11+1,1))</f>
        <v>428.72181435671394</v>
      </c>
      <c r="BJ107" s="59">
        <f t="shared" si="92"/>
        <v>211.84936043087572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128.55519184198124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128.55519184198124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367.99999999999972</v>
      </c>
      <c r="BZ107" s="13">
        <f>BY107*VLOOKUP('Données projet'!$B$12,Paramètres!$A$1:$I$89,3,0)*VLOOKUP('Données projet'!$B$12,Paramètres!$A$1:$I$89,5,0)</f>
        <v>292.78079999999977</v>
      </c>
      <c r="CA107" s="13">
        <f t="shared" si="93"/>
        <v>69.660903052386217</v>
      </c>
      <c r="CB107" s="20">
        <f t="shared" si="64"/>
        <v>631.25263281623893</v>
      </c>
      <c r="CC107" s="59">
        <f t="shared" si="65"/>
        <v>924.58596614957219</v>
      </c>
      <c r="CD107" s="59">
        <f ca="1">AVERAGE(OFFSET($CC$3,0,0,'Données projet'!$E$12+1,1))-AVERAGE(OFFSET($H$3,0,0,'Données projet'!$E$12+1,1))</f>
        <v>296.737543892524</v>
      </c>
      <c r="CE107" s="59">
        <f t="shared" si="94"/>
        <v>296.38358650317099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38.316916163860242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38.316916163860242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7.8</v>
      </c>
      <c r="CT107" s="12">
        <f>IF('Données projet'!$A$140&gt;35,CT106+CS107-DB106,IF(A107&lt;'Données projet'!$A$140,$CQ$205^A107,IF(A107='Données projet'!$A$140,'Données projet'!$B$140,CT106+CS107-DB106)))</f>
        <v>476.20000000000005</v>
      </c>
      <c r="CU107" s="17">
        <f>CT107*VLOOKUP('Données projet'!$B$13,Paramètres!$A$1:$I$89,3,0)*VLOOKUP('Données projet'!$B$13,Paramètres!$A$1:$I$89,5,0)</f>
        <v>408.57960000000003</v>
      </c>
      <c r="CV107" s="13">
        <f t="shared" si="95"/>
        <v>93.513893265221384</v>
      </c>
      <c r="CW107" s="20">
        <f t="shared" si="67"/>
        <v>874.47950077026053</v>
      </c>
      <c r="CX107" s="59">
        <f t="shared" si="68"/>
        <v>1167.8128341035938</v>
      </c>
      <c r="CY107" s="59">
        <f ca="1">AVERAGE(OFFSET($CX$3,0,0,'Données projet'!$E$13+1,1))-AVERAGE(OFFSET($H$3,0,0,'Données projet'!$E$13+1,1))</f>
        <v>391.93999504334352</v>
      </c>
      <c r="CZ107" s="59">
        <f t="shared" si="96"/>
        <v>215.4484906985528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121.89419053581649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121.89419053581649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367.99999999999972</v>
      </c>
      <c r="DP107" s="17">
        <f>DO107*VLOOKUP('Données projet'!$B$14,Paramètres!$A$1:$I$89,3,0)*VLOOKUP('Données projet'!$B$14,Paramètres!$A$1:$I$89,5,0)</f>
        <v>269.8175999999998</v>
      </c>
      <c r="DQ107" s="13">
        <f t="shared" si="97"/>
        <v>64.810557882019467</v>
      </c>
      <c r="DR107" s="20">
        <f t="shared" si="70"/>
        <v>582.81070831118348</v>
      </c>
      <c r="DS107" s="59">
        <f t="shared" si="71"/>
        <v>876.14404164451685</v>
      </c>
      <c r="DT107" s="59">
        <f ca="1">AVERAGE(OFFSET($DS$3,0,0,'Données projet'!$E$14+1,1))-AVERAGE(OFFSET($H$3,0,0,'Données projet'!$E$14+1,1))</f>
        <v>267.92147257573157</v>
      </c>
      <c r="DU107" s="59">
        <f t="shared" si="98"/>
        <v>269.06662611892438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28.649089000059792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28.649089000059792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0.8600000000003547</v>
      </c>
      <c r="EK107" s="17">
        <f>EJ107*VLOOKUP('Données projet'!$B$15,Paramètres!$A$1:$I$89,3,0)*VLOOKUP('Données projet'!$B$15,Paramètres!$A$1:$I$89,5,0)</f>
        <v>0.48074000000019829</v>
      </c>
      <c r="EL107" s="13">
        <f t="shared" si="99"/>
        <v>0.24126147010950588</v>
      </c>
      <c r="EM107" s="20">
        <f t="shared" si="73"/>
        <v>1.2574858937744013</v>
      </c>
      <c r="EN107" s="59">
        <f t="shared" si="74"/>
        <v>294.59081922710772</v>
      </c>
      <c r="EO107" s="59">
        <f ca="1">AVERAGE(OFFSET($EN$3,0,0,'Données projet'!$E$15+1,1))-AVERAGE(OFFSET($H$3,0,0,'Données projet'!$E$15+1,1))</f>
        <v>326.29985515186428</v>
      </c>
      <c r="EP107" s="59">
        <f t="shared" si="100"/>
        <v>437.68177084535927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140.88200293231449</v>
      </c>
      <c r="EW107" s="21">
        <f>EXP(-LN(2)/25)*EW106+(1-EXP(-LN(2)/25))/(LN(2)/25)*Calculateur!ER107*Calculateur!ET107*VLOOKUP('Données projet'!$B$15,Paramètres!$A$1:$I$89,3,0)*0.475*44/12</f>
        <v>6.4991279377511022</v>
      </c>
      <c r="EX107" s="21">
        <f>EXP(-LN(2)/2)*EX106+(1-EXP(-LN(2)/2))/(LN(2)/2)*ER107*EU107*VLOOKUP('Données projet'!$B$15,Paramètres!$A$1:$I$89,3,0)*0.475*44/12</f>
        <v>5.3836304073251969E-12</v>
      </c>
      <c r="EY107" s="22">
        <f t="shared" si="75"/>
        <v>147.38113087007096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1.7053025658242404E-13</v>
      </c>
      <c r="FF107" s="17">
        <f>FE107*VLOOKUP('Données projet'!$B$16,Paramètres!$A$1:$I$89,3,0)*VLOOKUP('Données projet'!$B$16,Paramètres!$A$1:$I$89,5,0)</f>
        <v>9.7631982498569413E-14</v>
      </c>
      <c r="FG107" s="13">
        <f t="shared" si="101"/>
        <v>1.4708068762530911E-12</v>
      </c>
      <c r="FH107" s="20">
        <f t="shared" si="76"/>
        <v>2.7316976789924749E-12</v>
      </c>
      <c r="FI107" s="59">
        <f t="shared" si="77"/>
        <v>293.33333333333604</v>
      </c>
      <c r="FJ107" s="59">
        <f ca="1">AVERAGE(OFFSET($FI$3,0,0,'Données projet'!$E$16+1,1))-AVERAGE(OFFSET($H$3,0,0,'Données projet'!$E$16+1,1))</f>
        <v>211.14768428403215</v>
      </c>
      <c r="FK107" s="59">
        <f t="shared" si="102"/>
        <v>350.7800157534798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19.18170176490322</v>
      </c>
      <c r="FR107" s="21">
        <f>EXP(-LN(2)/25)*FR106+(1-EXP(-LN(2)/25))/(LN(2)/25)*Calculateur!FM107*Calculateur!FO107*VLOOKUP('Données projet'!$B$16,Paramètres!$A$1:$I$89,3,0)*0.475*44/12</f>
        <v>2.7648713044697724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21.946573069372992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91.727999999999994</v>
      </c>
      <c r="D108" s="11">
        <f t="shared" si="86"/>
        <v>24.981514582386563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900.91555116228221</v>
      </c>
      <c r="H108" s="66">
        <f t="shared" si="56"/>
        <v>496.60240456432325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259.99999999999983</v>
      </c>
      <c r="O108" s="13">
        <f>N108*VLOOKUP('Données projet'!$B$9,Paramètres!$A$1:$I$89,3,0)*VLOOKUP('Données projet'!$B$9,Paramètres!$A$1:$I$89,5,0)</f>
        <v>227.13599999999985</v>
      </c>
      <c r="P108" s="13">
        <f t="shared" si="87"/>
        <v>55.662966886685133</v>
      </c>
      <c r="Q108" s="20">
        <f t="shared" si="107"/>
        <v>492.5415339943097</v>
      </c>
      <c r="R108" s="59">
        <f t="shared" si="55"/>
        <v>785.87486732764296</v>
      </c>
      <c r="S108" s="59">
        <f ca="1">AVERAGE(OFFSET($R$3,0,0,'Données projet'!$E$9+1,1))-AVERAGE(OFFSET($H$3,0,0,'Données projet'!$E$9+1,1))</f>
        <v>252.49539407921907</v>
      </c>
      <c r="T108" s="59">
        <f t="shared" si="88"/>
        <v>263.36387286233929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57.948511550513523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57.948511550513523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9.7110000000000021</v>
      </c>
      <c r="AI108" s="13">
        <f>IF('Données projet'!$A$62&gt;35,AI107+AH108-AQ107,IF(A108&lt;'Données projet'!$A$62,$AF$205^A108,IF(A108='Données projet'!$A$62,'Données projet'!$B$62,AI107+AH108-AQ107)))</f>
        <v>460.1260000000002</v>
      </c>
      <c r="AJ108" s="13">
        <f>AI108*VLOOKUP('Données projet'!$B$10,Paramètres!$A$1:$I$89,3,0)*VLOOKUP('Données projet'!$B$10,Paramètres!$A$1:$I$89,5,0)</f>
        <v>416.32200480000012</v>
      </c>
      <c r="AK108" s="13">
        <f t="shared" si="89"/>
        <v>95.077959556166732</v>
      </c>
      <c r="AL108" s="20">
        <f t="shared" si="58"/>
        <v>890.68827125365715</v>
      </c>
      <c r="AM108" s="59">
        <f t="shared" si="59"/>
        <v>1184.0216045869904</v>
      </c>
      <c r="AN108" s="59">
        <f ca="1">AVERAGE(OFFSET($AM$3,0,0,'Données projet'!$E$10+1,1))-AVERAGE(OFFSET($H$3,0,0,'Données projet'!$E$10+1,1))</f>
        <v>370.05613271587413</v>
      </c>
      <c r="AO108" s="59">
        <f t="shared" si="90"/>
        <v>183.24480056442525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112.46137800878928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112.46137800878928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9.7110000000000021</v>
      </c>
      <c r="BD108" s="12">
        <f>IF('Données projet'!$A$88&gt;35,BD107+BC108-BL107,IF(A108&lt;'Données projet'!$A$88,$BA$205^A108,IF(A108='Données projet'!$A$88,'Données projet'!$B$88,BD107+BC108-BL107)))</f>
        <v>460.1260000000002</v>
      </c>
      <c r="BE108" s="13">
        <f>BD108*VLOOKUP('Données projet'!$B$11,Paramètres!$A$1:$I$89,3,0)*VLOOKUP('Données projet'!$B$11,Paramètres!$A$1:$I$89,5,0)</f>
        <v>466.56776400000024</v>
      </c>
      <c r="BF108" s="13">
        <f t="shared" si="91"/>
        <v>105.14899344484016</v>
      </c>
      <c r="BG108" s="20">
        <f t="shared" si="61"/>
        <v>995.74001921643037</v>
      </c>
      <c r="BH108" s="59">
        <f t="shared" si="62"/>
        <v>1289.0733525497637</v>
      </c>
      <c r="BI108" s="59">
        <f ca="1">AVERAGE(OFFSET($BH$3,0,0,'Données projet'!$E$11+1,1))-AVERAGE(OFFSET($H$3,0,0,'Données projet'!$E$11+1,1))</f>
        <v>428.72181435671394</v>
      </c>
      <c r="BJ108" s="59">
        <f t="shared" si="92"/>
        <v>211.84936043087572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126.03430294088457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126.03430294088457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367.99999999999972</v>
      </c>
      <c r="BZ108" s="13">
        <f>BY108*VLOOKUP('Données projet'!$B$12,Paramètres!$A$1:$I$89,3,0)*VLOOKUP('Données projet'!$B$12,Paramètres!$A$1:$I$89,5,0)</f>
        <v>292.78079999999977</v>
      </c>
      <c r="CA108" s="13">
        <f t="shared" si="93"/>
        <v>69.660903052386217</v>
      </c>
      <c r="CB108" s="20">
        <f t="shared" si="64"/>
        <v>631.25263281623893</v>
      </c>
      <c r="CC108" s="59">
        <f t="shared" si="65"/>
        <v>924.58596614957219</v>
      </c>
      <c r="CD108" s="59">
        <f ca="1">AVERAGE(OFFSET($CC$3,0,0,'Données projet'!$E$12+1,1))-AVERAGE(OFFSET($H$3,0,0,'Données projet'!$E$12+1,1))</f>
        <v>296.737543892524</v>
      </c>
      <c r="CE108" s="59">
        <f t="shared" si="94"/>
        <v>296.38358650317099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37.565544808898103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37.565544808898103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>
        <f>VLOOKUP(A108,'Données projet'!$A$139:$I$159,2,0)</f>
        <v>484</v>
      </c>
      <c r="CR108" s="12">
        <f>VLOOKUP(A108,'Données projet'!$A$139:$I$159,9,0)</f>
        <v>7.8</v>
      </c>
      <c r="CS108" s="12">
        <f t="array" ref="CS108">INDEX(CR:CR,MIN(IF(ISNUMBER(CR108:CR304),ROW(CR108:CR304),"")))</f>
        <v>7.8</v>
      </c>
      <c r="CT108" s="12">
        <f>IF('Données projet'!$A$140&gt;35,CT107+CS108-DB107,IF(A108&lt;'Données projet'!$A$140,$CQ$205^A108,IF(A108='Données projet'!$A$140,'Données projet'!$B$140,CT107+CS108-DB107)))</f>
        <v>484.00000000000006</v>
      </c>
      <c r="CU108" s="17">
        <f>CT108*VLOOKUP('Données projet'!$B$13,Paramètres!$A$1:$I$89,3,0)*VLOOKUP('Données projet'!$B$13,Paramètres!$A$1:$I$89,5,0)</f>
        <v>415.27200000000011</v>
      </c>
      <c r="CV108" s="13">
        <f t="shared" si="95"/>
        <v>94.866044759468508</v>
      </c>
      <c r="CW108" s="20">
        <f t="shared" si="67"/>
        <v>888.49042795607431</v>
      </c>
      <c r="CX108" s="59">
        <f t="shared" si="68"/>
        <v>1181.8237612894077</v>
      </c>
      <c r="CY108" s="59">
        <f ca="1">AVERAGE(OFFSET($CX$3,0,0,'Données projet'!$E$13+1,1))-AVERAGE(OFFSET($H$3,0,0,'Données projet'!$E$13+1,1))</f>
        <v>391.93999504334352</v>
      </c>
      <c r="CZ108" s="59">
        <f t="shared" si="96"/>
        <v>215.4484906985528</v>
      </c>
      <c r="DA108" s="15">
        <f>IF(ISNA(VLOOKUP(A108,'Données projet'!$A$139:$I$159,3,0)),0,VLOOKUP(A108,'Données projet'!$A$139:$I$159,3,0))</f>
        <v>17</v>
      </c>
      <c r="DB108" s="15">
        <f>IF(ISNA(VLOOKUP(A108,'Données projet'!$A$139:$I$159,4,0)),0,VLOOKUP(A108,'Données projet'!$A$139:$I$159,4,0))</f>
        <v>28</v>
      </c>
      <c r="DC108" s="16">
        <f>IF(ISNA(VLOOKUP(A108,'Données projet'!$A$139:$I$159,5,0)),0%,VLOOKUP(A108,'Données projet'!$A$139:$I$159,5,0)*VLOOKUP('Données projet'!$B$13,Paramètres!$A$1:$I$89,7,0))</f>
        <v>0.53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133.57956461841087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133.57956461841087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367.99999999999972</v>
      </c>
      <c r="DP108" s="17">
        <f>DO108*VLOOKUP('Données projet'!$B$14,Paramètres!$A$1:$I$89,3,0)*VLOOKUP('Données projet'!$B$14,Paramètres!$A$1:$I$89,5,0)</f>
        <v>269.8175999999998</v>
      </c>
      <c r="DQ108" s="13">
        <f t="shared" si="97"/>
        <v>64.810557882019467</v>
      </c>
      <c r="DR108" s="20">
        <f t="shared" si="70"/>
        <v>582.81070831118348</v>
      </c>
      <c r="DS108" s="59">
        <f t="shared" si="71"/>
        <v>876.14404164451685</v>
      </c>
      <c r="DT108" s="59">
        <f ca="1">AVERAGE(OFFSET($DS$3,0,0,'Données projet'!$E$14+1,1))-AVERAGE(OFFSET($H$3,0,0,'Données projet'!$E$14+1,1))</f>
        <v>267.92147257573157</v>
      </c>
      <c r="DU108" s="59">
        <f t="shared" si="98"/>
        <v>269.06662611892438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28.087297838987475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28.087297838987475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0.8600000000003547</v>
      </c>
      <c r="EK108" s="17">
        <f>EJ108*VLOOKUP('Données projet'!$B$15,Paramètres!$A$1:$I$89,3,0)*VLOOKUP('Données projet'!$B$15,Paramètres!$A$1:$I$89,5,0)</f>
        <v>0.48074000000019829</v>
      </c>
      <c r="EL108" s="13">
        <f t="shared" si="99"/>
        <v>0.24126147010950588</v>
      </c>
      <c r="EM108" s="20">
        <f t="shared" si="73"/>
        <v>1.2574858937744013</v>
      </c>
      <c r="EN108" s="59">
        <f t="shared" si="74"/>
        <v>294.59081922710772</v>
      </c>
      <c r="EO108" s="59">
        <f ca="1">AVERAGE(OFFSET($EN$3,0,0,'Données projet'!$E$15+1,1))-AVERAGE(OFFSET($H$3,0,0,'Données projet'!$E$15+1,1))</f>
        <v>326.29985515186428</v>
      </c>
      <c r="EP108" s="59">
        <f t="shared" si="100"/>
        <v>437.68177084535927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138.11939278434875</v>
      </c>
      <c r="EW108" s="21">
        <f>EXP(-LN(2)/25)*EW107+(1-EXP(-LN(2)/25))/(LN(2)/25)*Calculateur!ER108*Calculateur!ET108*VLOOKUP('Données projet'!$B$15,Paramètres!$A$1:$I$89,3,0)*0.475*44/12</f>
        <v>6.3214089425190139</v>
      </c>
      <c r="EX108" s="21">
        <f>EXP(-LN(2)/2)*EX107+(1-EXP(-LN(2)/2))/(LN(2)/2)*ER108*EU108*VLOOKUP('Données projet'!$B$15,Paramètres!$A$1:$I$89,3,0)*0.475*44/12</f>
        <v>3.8068015684217416E-12</v>
      </c>
      <c r="EY108" s="22">
        <f t="shared" si="75"/>
        <v>144.44080172687157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1.7053025658242404E-13</v>
      </c>
      <c r="FF108" s="17">
        <f>FE108*VLOOKUP('Données projet'!$B$16,Paramètres!$A$1:$I$89,3,0)*VLOOKUP('Données projet'!$B$16,Paramètres!$A$1:$I$89,5,0)</f>
        <v>9.7631982498569413E-14</v>
      </c>
      <c r="FG108" s="13">
        <f t="shared" si="101"/>
        <v>1.4708068762530911E-12</v>
      </c>
      <c r="FH108" s="20">
        <f t="shared" si="76"/>
        <v>2.7316976789924749E-12</v>
      </c>
      <c r="FI108" s="59">
        <f t="shared" si="77"/>
        <v>293.33333333333604</v>
      </c>
      <c r="FJ108" s="59">
        <f ca="1">AVERAGE(OFFSET($FI$3,0,0,'Données projet'!$E$16+1,1))-AVERAGE(OFFSET($H$3,0,0,'Données projet'!$E$16+1,1))</f>
        <v>211.14768428403215</v>
      </c>
      <c r="FK108" s="59">
        <f t="shared" si="102"/>
        <v>350.7800157534798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18.805560292976296</v>
      </c>
      <c r="FR108" s="21">
        <f>EXP(-LN(2)/25)*FR107+(1-EXP(-LN(2)/25))/(LN(2)/25)*Calculateur!FM108*Calculateur!FO108*VLOOKUP('Données projet'!$B$16,Paramètres!$A$1:$I$89,3,0)*0.475*44/12</f>
        <v>2.6892657532507838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21.494826046227079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92.601599999999991</v>
      </c>
      <c r="D109" s="11">
        <f t="shared" si="86"/>
        <v>25.191623861555186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909.2810262997242</v>
      </c>
      <c r="H109" s="66">
        <f t="shared" si="56"/>
        <v>498.48986489220857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259.99999999999983</v>
      </c>
      <c r="O109" s="13">
        <f>N109*VLOOKUP('Données projet'!$B$9,Paramètres!$A$1:$I$89,3,0)*VLOOKUP('Données projet'!$B$9,Paramètres!$A$1:$I$89,5,0)</f>
        <v>227.13599999999985</v>
      </c>
      <c r="P109" s="13">
        <f t="shared" si="87"/>
        <v>55.662966886685133</v>
      </c>
      <c r="Q109" s="20">
        <f t="shared" si="107"/>
        <v>492.5415339943097</v>
      </c>
      <c r="R109" s="59">
        <f t="shared" si="55"/>
        <v>785.87486732764296</v>
      </c>
      <c r="S109" s="59">
        <f ca="1">AVERAGE(OFFSET($R$3,0,0,'Données projet'!$E$9+1,1))-AVERAGE(OFFSET($H$3,0,0,'Données projet'!$E$9+1,1))</f>
        <v>252.49539407921907</v>
      </c>
      <c r="T109" s="59">
        <f t="shared" si="88"/>
        <v>263.36387286233929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56.812176584109956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56.812176584109956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9.7110000000000021</v>
      </c>
      <c r="AI109" s="13">
        <f>IF('Données projet'!$A$62&gt;35,AI108+AH109-AQ108,IF(A109&lt;'Données projet'!$A$62,$AF$205^A109,IF(A109='Données projet'!$A$62,'Données projet'!$B$62,AI108+AH109-AQ108)))</f>
        <v>469.83700000000022</v>
      </c>
      <c r="AJ109" s="13">
        <f>AI109*VLOOKUP('Données projet'!$B$10,Paramètres!$A$1:$I$89,3,0)*VLOOKUP('Données projet'!$B$10,Paramètres!$A$1:$I$89,5,0)</f>
        <v>425.10851760000014</v>
      </c>
      <c r="AK109" s="13">
        <f t="shared" si="89"/>
        <v>96.848855770846484</v>
      </c>
      <c r="AL109" s="20">
        <f t="shared" si="58"/>
        <v>909.07575862089118</v>
      </c>
      <c r="AM109" s="59">
        <f t="shared" si="59"/>
        <v>1202.4090919542246</v>
      </c>
      <c r="AN109" s="59">
        <f ca="1">AVERAGE(OFFSET($AM$3,0,0,'Données projet'!$E$10+1,1))-AVERAGE(OFFSET($H$3,0,0,'Données projet'!$E$10+1,1))</f>
        <v>370.05613271587413</v>
      </c>
      <c r="AO109" s="59">
        <f t="shared" si="90"/>
        <v>183.24480056442525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110.25607898070434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110.25607898070434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9.7110000000000021</v>
      </c>
      <c r="BD109" s="12">
        <f>IF('Données projet'!$A$88&gt;35,BD108+BC109-BL108,IF(A109&lt;'Données projet'!$A$88,$BA$205^A109,IF(A109='Données projet'!$A$88,'Données projet'!$B$88,BD108+BC109-BL108)))</f>
        <v>469.83700000000022</v>
      </c>
      <c r="BE109" s="13">
        <f>BD109*VLOOKUP('Données projet'!$B$11,Paramètres!$A$1:$I$89,3,0)*VLOOKUP('Données projet'!$B$11,Paramètres!$A$1:$I$89,5,0)</f>
        <v>476.41471800000028</v>
      </c>
      <c r="BF109" s="13">
        <f t="shared" si="91"/>
        <v>107.10746999753525</v>
      </c>
      <c r="BG109" s="20">
        <f t="shared" si="61"/>
        <v>1016.3011440957075</v>
      </c>
      <c r="BH109" s="59">
        <f t="shared" si="62"/>
        <v>1309.6344774290408</v>
      </c>
      <c r="BI109" s="59">
        <f ca="1">AVERAGE(OFFSET($BH$3,0,0,'Données projet'!$E$11+1,1))-AVERAGE(OFFSET($H$3,0,0,'Données projet'!$E$11+1,1))</f>
        <v>428.72181435671394</v>
      </c>
      <c r="BJ109" s="59">
        <f t="shared" si="92"/>
        <v>211.84936043087572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123.562847133548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123.562847133548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367.99999999999972</v>
      </c>
      <c r="BZ109" s="13">
        <f>BY109*VLOOKUP('Données projet'!$B$12,Paramètres!$A$1:$I$89,3,0)*VLOOKUP('Données projet'!$B$12,Paramètres!$A$1:$I$89,5,0)</f>
        <v>292.78079999999977</v>
      </c>
      <c r="CA109" s="13">
        <f t="shared" si="93"/>
        <v>69.660903052386217</v>
      </c>
      <c r="CB109" s="20">
        <f t="shared" si="64"/>
        <v>631.25263281623893</v>
      </c>
      <c r="CC109" s="59">
        <f t="shared" si="65"/>
        <v>924.58596614957219</v>
      </c>
      <c r="CD109" s="59">
        <f ca="1">AVERAGE(OFFSET($CC$3,0,0,'Données projet'!$E$12+1,1))-AVERAGE(OFFSET($H$3,0,0,'Données projet'!$E$12+1,1))</f>
        <v>296.737543892524</v>
      </c>
      <c r="CE109" s="59">
        <f t="shared" si="94"/>
        <v>296.38358650317099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36.8289073879155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36.8289073879155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7.4</v>
      </c>
      <c r="CT109" s="12">
        <f>IF('Données projet'!$A$140&gt;35,CT108+CS109-DB108,IF(A109&lt;'Données projet'!$A$140,$CQ$205^A109,IF(A109='Données projet'!$A$140,'Données projet'!$B$140,CT108+CS109-DB108)))</f>
        <v>463.40000000000003</v>
      </c>
      <c r="CU109" s="17">
        <f>CT109*VLOOKUP('Données projet'!$B$13,Paramètres!$A$1:$I$89,3,0)*VLOOKUP('Données projet'!$B$13,Paramètres!$A$1:$I$89,5,0)</f>
        <v>397.59720000000004</v>
      </c>
      <c r="CV109" s="13">
        <f t="shared" si="95"/>
        <v>91.289363709423512</v>
      </c>
      <c r="CW109" s="20">
        <f t="shared" si="67"/>
        <v>851.47743179391273</v>
      </c>
      <c r="CX109" s="59">
        <f t="shared" si="68"/>
        <v>1144.810765127246</v>
      </c>
      <c r="CY109" s="59">
        <f ca="1">AVERAGE(OFFSET($CX$3,0,0,'Données projet'!$E$13+1,1))-AVERAGE(OFFSET($H$3,0,0,'Données projet'!$E$13+1,1))</f>
        <v>391.93999504334352</v>
      </c>
      <c r="CZ109" s="59">
        <f t="shared" si="96"/>
        <v>215.4484906985528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130.96015083173322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130.96015083173322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367.99999999999972</v>
      </c>
      <c r="DP109" s="17">
        <f>DO109*VLOOKUP('Données projet'!$B$14,Paramètres!$A$1:$I$89,3,0)*VLOOKUP('Données projet'!$B$14,Paramètres!$A$1:$I$89,5,0)</f>
        <v>269.8175999999998</v>
      </c>
      <c r="DQ109" s="13">
        <f t="shared" si="97"/>
        <v>64.810557882019467</v>
      </c>
      <c r="DR109" s="20">
        <f t="shared" si="70"/>
        <v>582.81070831118348</v>
      </c>
      <c r="DS109" s="59">
        <f t="shared" si="71"/>
        <v>876.14404164451685</v>
      </c>
      <c r="DT109" s="59">
        <f ca="1">AVERAGE(OFFSET($DS$3,0,0,'Données projet'!$E$14+1,1))-AVERAGE(OFFSET($H$3,0,0,'Données projet'!$E$14+1,1))</f>
        <v>267.92147257573157</v>
      </c>
      <c r="DU109" s="59">
        <f t="shared" si="98"/>
        <v>269.06662611892438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27.53652305992501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27.53652305992501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0.8600000000003547</v>
      </c>
      <c r="EK109" s="17">
        <f>EJ109*VLOOKUP('Données projet'!$B$15,Paramètres!$A$1:$I$89,3,0)*VLOOKUP('Données projet'!$B$15,Paramètres!$A$1:$I$89,5,0)</f>
        <v>0.48074000000019829</v>
      </c>
      <c r="EL109" s="13">
        <f t="shared" si="99"/>
        <v>0.24126147010950588</v>
      </c>
      <c r="EM109" s="20">
        <f t="shared" si="73"/>
        <v>1.2574858937744013</v>
      </c>
      <c r="EN109" s="59">
        <f t="shared" si="74"/>
        <v>294.59081922710772</v>
      </c>
      <c r="EO109" s="59">
        <f ca="1">AVERAGE(OFFSET($EN$3,0,0,'Données projet'!$E$15+1,1))-AVERAGE(OFFSET($H$3,0,0,'Données projet'!$E$15+1,1))</f>
        <v>326.29985515186428</v>
      </c>
      <c r="EP109" s="59">
        <f t="shared" si="100"/>
        <v>437.68177084535927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135.4109557363588</v>
      </c>
      <c r="EW109" s="21">
        <f>EXP(-LN(2)/25)*EW108+(1-EXP(-LN(2)/25))/(LN(2)/25)*Calculateur!ER109*Calculateur!ET109*VLOOKUP('Données projet'!$B$15,Paramètres!$A$1:$I$89,3,0)*0.475*44/12</f>
        <v>6.1485496825573831</v>
      </c>
      <c r="EX109" s="21">
        <f>EXP(-LN(2)/2)*EX108+(1-EXP(-LN(2)/2))/(LN(2)/2)*ER109*EU109*VLOOKUP('Données projet'!$B$15,Paramètres!$A$1:$I$89,3,0)*0.475*44/12</f>
        <v>2.6918152036625984E-12</v>
      </c>
      <c r="EY109" s="22">
        <f t="shared" si="75"/>
        <v>141.55950541891889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1.7053025658242404E-13</v>
      </c>
      <c r="FF109" s="17">
        <f>FE109*VLOOKUP('Données projet'!$B$16,Paramètres!$A$1:$I$89,3,0)*VLOOKUP('Données projet'!$B$16,Paramètres!$A$1:$I$89,5,0)</f>
        <v>9.7631982498569413E-14</v>
      </c>
      <c r="FG109" s="13">
        <f t="shared" si="101"/>
        <v>1.4708068762530911E-12</v>
      </c>
      <c r="FH109" s="20">
        <f t="shared" si="76"/>
        <v>2.7316976789924749E-12</v>
      </c>
      <c r="FI109" s="59">
        <f t="shared" si="77"/>
        <v>293.33333333333604</v>
      </c>
      <c r="FJ109" s="59">
        <f ca="1">AVERAGE(OFFSET($FI$3,0,0,'Données projet'!$E$16+1,1))-AVERAGE(OFFSET($H$3,0,0,'Données projet'!$E$16+1,1))</f>
        <v>211.14768428403215</v>
      </c>
      <c r="FK109" s="59">
        <f t="shared" si="102"/>
        <v>350.7800157534798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18.436794725890216</v>
      </c>
      <c r="FR109" s="21">
        <f>EXP(-LN(2)/25)*FR108+(1-EXP(-LN(2)/25))/(LN(2)/25)*Calculateur!FM109*Calculateur!FO109*VLOOKUP('Données projet'!$B$16,Paramètres!$A$1:$I$89,3,0)*0.475*44/12</f>
        <v>2.6157276398058014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21.052522365696017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93.475199999999987</v>
      </c>
      <c r="D110" s="11">
        <f t="shared" si="86"/>
        <v>25.401502539965662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917.64472136113852</v>
      </c>
      <c r="H110" s="66">
        <f t="shared" si="56"/>
        <v>500.37692359044013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259.99999999999983</v>
      </c>
      <c r="O110" s="13">
        <f>N110*VLOOKUP('Données projet'!$B$9,Paramètres!$A$1:$I$89,3,0)*VLOOKUP('Données projet'!$B$9,Paramètres!$A$1:$I$89,5,0)</f>
        <v>227.13599999999985</v>
      </c>
      <c r="P110" s="13">
        <f t="shared" si="87"/>
        <v>55.662966886685133</v>
      </c>
      <c r="Q110" s="20">
        <f t="shared" si="107"/>
        <v>492.5415339943097</v>
      </c>
      <c r="R110" s="59">
        <f t="shared" si="55"/>
        <v>785.87486732764296</v>
      </c>
      <c r="S110" s="59">
        <f ca="1">AVERAGE(OFFSET($R$3,0,0,'Données projet'!$E$9+1,1))-AVERAGE(OFFSET($H$3,0,0,'Données projet'!$E$9+1,1))</f>
        <v>252.49539407921907</v>
      </c>
      <c r="T110" s="59">
        <f t="shared" si="88"/>
        <v>263.36387286233929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55.698124453301673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55.698124453301673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9.7110000000000021</v>
      </c>
      <c r="AI110" s="13">
        <f>IF('Données projet'!$A$62&gt;35,AI109+AH110-AQ109,IF(A110&lt;'Données projet'!$A$62,$AF$205^A110,IF(A110='Données projet'!$A$62,'Données projet'!$B$62,AI109+AH110-AQ109)))</f>
        <v>479.54800000000023</v>
      </c>
      <c r="AJ110" s="13">
        <f>AI110*VLOOKUP('Données projet'!$B$10,Paramètres!$A$1:$I$89,3,0)*VLOOKUP('Données projet'!$B$10,Paramètres!$A$1:$I$89,5,0)</f>
        <v>433.89503040000017</v>
      </c>
      <c r="AK110" s="13">
        <f t="shared" si="89"/>
        <v>98.615496264061846</v>
      </c>
      <c r="AL110" s="20">
        <f t="shared" si="58"/>
        <v>927.45583393990785</v>
      </c>
      <c r="AM110" s="59">
        <f t="shared" si="59"/>
        <v>1220.7891672732412</v>
      </c>
      <c r="AN110" s="59">
        <f ca="1">AVERAGE(OFFSET($AM$3,0,0,'Données projet'!$E$10+1,1))-AVERAGE(OFFSET($H$3,0,0,'Données projet'!$E$10+1,1))</f>
        <v>370.05613271587413</v>
      </c>
      <c r="AO110" s="59">
        <f t="shared" si="90"/>
        <v>183.24480056442525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108.09402452146057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108.09402452146057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9.7110000000000021</v>
      </c>
      <c r="BD110" s="12">
        <f>IF('Données projet'!$A$88&gt;35,BD109+BC110-BL109,IF(A110&lt;'Données projet'!$A$88,$BA$205^A110,IF(A110='Données projet'!$A$88,'Données projet'!$B$88,BD109+BC110-BL109)))</f>
        <v>479.54800000000023</v>
      </c>
      <c r="BE110" s="13">
        <f>BD110*VLOOKUP('Données projet'!$B$11,Paramètres!$A$1:$I$89,3,0)*VLOOKUP('Données projet'!$B$11,Paramètres!$A$1:$I$89,5,0)</f>
        <v>486.2616720000002</v>
      </c>
      <c r="BF110" s="13">
        <f t="shared" si="91"/>
        <v>109.06124004590019</v>
      </c>
      <c r="BG110" s="20">
        <f t="shared" si="61"/>
        <v>1036.8540718132763</v>
      </c>
      <c r="BH110" s="59">
        <f t="shared" si="62"/>
        <v>1330.1874051466095</v>
      </c>
      <c r="BI110" s="59">
        <f ca="1">AVERAGE(OFFSET($BH$3,0,0,'Données projet'!$E$11+1,1))-AVERAGE(OFFSET($H$3,0,0,'Données projet'!$E$11+1,1))</f>
        <v>428.72181435671394</v>
      </c>
      <c r="BJ110" s="59">
        <f t="shared" si="92"/>
        <v>211.84936043087572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121.13985506715412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121.13985506715412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367.99999999999972</v>
      </c>
      <c r="BZ110" s="13">
        <f>BY110*VLOOKUP('Données projet'!$B$12,Paramètres!$A$1:$I$89,3,0)*VLOOKUP('Données projet'!$B$12,Paramètres!$A$1:$I$89,5,0)</f>
        <v>292.78079999999977</v>
      </c>
      <c r="CA110" s="13">
        <f t="shared" si="93"/>
        <v>69.660903052386217</v>
      </c>
      <c r="CB110" s="20">
        <f t="shared" si="64"/>
        <v>631.25263281623893</v>
      </c>
      <c r="CC110" s="59">
        <f t="shared" si="65"/>
        <v>924.58596614957219</v>
      </c>
      <c r="CD110" s="59">
        <f ca="1">AVERAGE(OFFSET($CC$3,0,0,'Données projet'!$E$12+1,1))-AVERAGE(OFFSET($H$3,0,0,'Données projet'!$E$12+1,1))</f>
        <v>296.737543892524</v>
      </c>
      <c r="CE110" s="59">
        <f t="shared" si="94"/>
        <v>296.38358650317099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36.106714977453905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36.106714977453905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7.4</v>
      </c>
      <c r="CT110" s="12">
        <f>IF('Données projet'!$A$140&gt;35,CT109+CS110-DB109,IF(A110&lt;'Données projet'!$A$140,$CQ$205^A110,IF(A110='Données projet'!$A$140,'Données projet'!$B$140,CT109+CS110-DB109)))</f>
        <v>470.8</v>
      </c>
      <c r="CU110" s="17">
        <f>CT110*VLOOKUP('Données projet'!$B$13,Paramètres!$A$1:$I$89,3,0)*VLOOKUP('Données projet'!$B$13,Paramètres!$A$1:$I$89,5,0)</f>
        <v>403.9464000000001</v>
      </c>
      <c r="CV110" s="13">
        <f t="shared" si="95"/>
        <v>92.576279533320715</v>
      </c>
      <c r="CW110" s="20">
        <f t="shared" si="67"/>
        <v>864.77700018720031</v>
      </c>
      <c r="CX110" s="59">
        <f t="shared" si="68"/>
        <v>1158.1103335205337</v>
      </c>
      <c r="CY110" s="59">
        <f ca="1">AVERAGE(OFFSET($CX$3,0,0,'Données projet'!$E$13+1,1))-AVERAGE(OFFSET($H$3,0,0,'Données projet'!$E$13+1,1))</f>
        <v>391.93999504334352</v>
      </c>
      <c r="CZ110" s="59">
        <f t="shared" si="96"/>
        <v>215.4484906985528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128.39210215172767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128.39210215172767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367.99999999999972</v>
      </c>
      <c r="DP110" s="17">
        <f>DO110*VLOOKUP('Données projet'!$B$14,Paramètres!$A$1:$I$89,3,0)*VLOOKUP('Données projet'!$B$14,Paramètres!$A$1:$I$89,5,0)</f>
        <v>269.8175999999998</v>
      </c>
      <c r="DQ110" s="13">
        <f t="shared" si="97"/>
        <v>64.810557882019467</v>
      </c>
      <c r="DR110" s="20">
        <f t="shared" si="70"/>
        <v>582.81070831118348</v>
      </c>
      <c r="DS110" s="59">
        <f t="shared" si="71"/>
        <v>876.14404164451685</v>
      </c>
      <c r="DT110" s="59">
        <f ca="1">AVERAGE(OFFSET($DS$3,0,0,'Données projet'!$E$14+1,1))-AVERAGE(OFFSET($H$3,0,0,'Données projet'!$E$14+1,1))</f>
        <v>267.92147257573157</v>
      </c>
      <c r="DU110" s="59">
        <f t="shared" si="98"/>
        <v>269.06662611892438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26.996548638340517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26.996548638340517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0.8600000000003547</v>
      </c>
      <c r="EK110" s="17">
        <f>EJ110*VLOOKUP('Données projet'!$B$15,Paramètres!$A$1:$I$89,3,0)*VLOOKUP('Données projet'!$B$15,Paramètres!$A$1:$I$89,5,0)</f>
        <v>0.48074000000019829</v>
      </c>
      <c r="EL110" s="13">
        <f t="shared" si="99"/>
        <v>0.24126147010950588</v>
      </c>
      <c r="EM110" s="20">
        <f t="shared" si="73"/>
        <v>1.2574858937744013</v>
      </c>
      <c r="EN110" s="59">
        <f t="shared" si="74"/>
        <v>294.59081922710772</v>
      </c>
      <c r="EO110" s="59">
        <f ca="1">AVERAGE(OFFSET($EN$3,0,0,'Données projet'!$E$15+1,1))-AVERAGE(OFFSET($H$3,0,0,'Données projet'!$E$15+1,1))</f>
        <v>326.29985515186428</v>
      </c>
      <c r="EP110" s="59">
        <f t="shared" si="100"/>
        <v>437.68177084535927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132.75562948689648</v>
      </c>
      <c r="EW110" s="21">
        <f>EXP(-LN(2)/25)*EW109+(1-EXP(-LN(2)/25))/(LN(2)/25)*Calculateur!ER110*Calculateur!ET110*VLOOKUP('Données projet'!$B$15,Paramètres!$A$1:$I$89,3,0)*0.475*44/12</f>
        <v>5.9804172681496768</v>
      </c>
      <c r="EX110" s="21">
        <f>EXP(-LN(2)/2)*EX109+(1-EXP(-LN(2)/2))/(LN(2)/2)*ER110*EU110*VLOOKUP('Données projet'!$B$15,Paramètres!$A$1:$I$89,3,0)*0.475*44/12</f>
        <v>1.9034007842108708E-12</v>
      </c>
      <c r="EY110" s="22">
        <f t="shared" si="75"/>
        <v>138.73604675504805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1.7053025658242404E-13</v>
      </c>
      <c r="FF110" s="17">
        <f>FE110*VLOOKUP('Données projet'!$B$16,Paramètres!$A$1:$I$89,3,0)*VLOOKUP('Données projet'!$B$16,Paramètres!$A$1:$I$89,5,0)</f>
        <v>9.7631982498569413E-14</v>
      </c>
      <c r="FG110" s="13">
        <f t="shared" si="101"/>
        <v>1.4708068762530911E-12</v>
      </c>
      <c r="FH110" s="20">
        <f t="shared" si="76"/>
        <v>2.7316976789924749E-12</v>
      </c>
      <c r="FI110" s="59">
        <f t="shared" si="77"/>
        <v>293.33333333333604</v>
      </c>
      <c r="FJ110" s="59">
        <f ca="1">AVERAGE(OFFSET($FI$3,0,0,'Données projet'!$E$16+1,1))-AVERAGE(OFFSET($H$3,0,0,'Données projet'!$E$16+1,1))</f>
        <v>211.14768428403215</v>
      </c>
      <c r="FK110" s="59">
        <f t="shared" si="102"/>
        <v>350.7800157534798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18.075260426649908</v>
      </c>
      <c r="FR110" s="21">
        <f>EXP(-LN(2)/25)*FR109+(1-EXP(-LN(2)/25))/(LN(2)/25)*Calculateur!FM110*Calculateur!FO110*VLOOKUP('Données projet'!$B$16,Paramètres!$A$1:$I$89,3,0)*0.475*44/12</f>
        <v>2.5442004299401733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20.619460856590081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94.348799999999983</v>
      </c>
      <c r="D111" s="11">
        <f t="shared" si="86"/>
        <v>25.611153022386461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926.00665490964991</v>
      </c>
      <c r="H111" s="66">
        <f t="shared" si="56"/>
        <v>502.26358484732305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259.99999999999983</v>
      </c>
      <c r="O111" s="13">
        <f>N111*VLOOKUP('Données projet'!$B$9,Paramètres!$A$1:$I$89,3,0)*VLOOKUP('Données projet'!$B$9,Paramètres!$A$1:$I$89,5,0)</f>
        <v>227.13599999999985</v>
      </c>
      <c r="P111" s="13">
        <f t="shared" si="87"/>
        <v>55.662966886685133</v>
      </c>
      <c r="Q111" s="20">
        <f t="shared" si="107"/>
        <v>492.5415339943097</v>
      </c>
      <c r="R111" s="59">
        <f t="shared" si="55"/>
        <v>785.87486732764296</v>
      </c>
      <c r="S111" s="59">
        <f ca="1">AVERAGE(OFFSET($R$3,0,0,'Données projet'!$E$9+1,1))-AVERAGE(OFFSET($H$3,0,0,'Données projet'!$E$9+1,1))</f>
        <v>252.49539407921907</v>
      </c>
      <c r="T111" s="59">
        <f t="shared" si="88"/>
        <v>263.36387286233929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54.605918205273838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54.605918205273838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9.7110000000000021</v>
      </c>
      <c r="AI111" s="13">
        <f>IF('Données projet'!$A$62&gt;35,AI110+AH111-AQ110,IF(A111&lt;'Données projet'!$A$62,$AF$205^A111,IF(A111='Données projet'!$A$62,'Données projet'!$B$62,AI110+AH111-AQ110)))</f>
        <v>489.25900000000024</v>
      </c>
      <c r="AJ111" s="13">
        <f>AI111*VLOOKUP('Données projet'!$B$10,Paramètres!$A$1:$I$89,3,0)*VLOOKUP('Données projet'!$B$10,Paramètres!$A$1:$I$89,5,0)</f>
        <v>442.68154320000019</v>
      </c>
      <c r="AK111" s="13">
        <f t="shared" si="89"/>
        <v>100.37797714680627</v>
      </c>
      <c r="AL111" s="20">
        <f t="shared" si="58"/>
        <v>945.82866460402113</v>
      </c>
      <c r="AM111" s="59">
        <f t="shared" si="59"/>
        <v>1239.1619979373545</v>
      </c>
      <c r="AN111" s="59">
        <f ca="1">AVERAGE(OFFSET($AM$3,0,0,'Données projet'!$E$10+1,1))-AVERAGE(OFFSET($H$3,0,0,'Données projet'!$E$10+1,1))</f>
        <v>370.05613271587413</v>
      </c>
      <c r="AO111" s="59">
        <f t="shared" si="90"/>
        <v>183.24480056442525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105.97436663143955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105.97436663143955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9.7110000000000021</v>
      </c>
      <c r="BD111" s="12">
        <f>IF('Données projet'!$A$88&gt;35,BD110+BC111-BL110,IF(A111&lt;'Données projet'!$A$88,$BA$205^A111,IF(A111='Données projet'!$A$88,'Données projet'!$B$88,BD110+BC111-BL110)))</f>
        <v>489.25900000000024</v>
      </c>
      <c r="BE111" s="13">
        <f>BD111*VLOOKUP('Données projet'!$B$11,Paramètres!$A$1:$I$89,3,0)*VLOOKUP('Données projet'!$B$11,Paramètres!$A$1:$I$89,5,0)</f>
        <v>496.1086260000003</v>
      </c>
      <c r="BF111" s="13">
        <f t="shared" si="91"/>
        <v>111.01040988138524</v>
      </c>
      <c r="BG111" s="20">
        <f t="shared" si="61"/>
        <v>1057.3989874934132</v>
      </c>
      <c r="BH111" s="59">
        <f t="shared" si="62"/>
        <v>1350.7323208267464</v>
      </c>
      <c r="BI111" s="59">
        <f ca="1">AVERAGE(OFFSET($BH$3,0,0,'Données projet'!$E$11+1,1))-AVERAGE(OFFSET($H$3,0,0,'Données projet'!$E$11+1,1))</f>
        <v>428.72181435671394</v>
      </c>
      <c r="BJ111" s="59">
        <f t="shared" si="92"/>
        <v>211.84936043087572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118.76437639730298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118.76437639730298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367.99999999999972</v>
      </c>
      <c r="BZ111" s="13">
        <f>BY111*VLOOKUP('Données projet'!$B$12,Paramètres!$A$1:$I$89,3,0)*VLOOKUP('Données projet'!$B$12,Paramètres!$A$1:$I$89,5,0)</f>
        <v>292.78079999999977</v>
      </c>
      <c r="CA111" s="13">
        <f t="shared" si="93"/>
        <v>69.660903052386217</v>
      </c>
      <c r="CB111" s="20">
        <f t="shared" si="64"/>
        <v>631.25263281623893</v>
      </c>
      <c r="CC111" s="59">
        <f t="shared" si="65"/>
        <v>924.58596614957219</v>
      </c>
      <c r="CD111" s="59">
        <f ca="1">AVERAGE(OFFSET($CC$3,0,0,'Données projet'!$E$12+1,1))-AVERAGE(OFFSET($H$3,0,0,'Données projet'!$E$12+1,1))</f>
        <v>296.737543892524</v>
      </c>
      <c r="CE111" s="59">
        <f t="shared" si="94"/>
        <v>296.38358650317099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35.398684319667588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35.398684319667588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7.4</v>
      </c>
      <c r="CT111" s="12">
        <f>IF('Données projet'!$A$140&gt;35,CT110+CS111-DB110,IF(A111&lt;'Données projet'!$A$140,$CQ$205^A111,IF(A111='Données projet'!$A$140,'Données projet'!$B$140,CT110+CS111-DB110)))</f>
        <v>478.2</v>
      </c>
      <c r="CU111" s="17">
        <f>CT111*VLOOKUP('Données projet'!$B$13,Paramètres!$A$1:$I$89,3,0)*VLOOKUP('Données projet'!$B$13,Paramètres!$A$1:$I$89,5,0)</f>
        <v>410.29559999999998</v>
      </c>
      <c r="CV111" s="13">
        <f t="shared" si="95"/>
        <v>93.860842909017109</v>
      </c>
      <c r="CW111" s="20">
        <f t="shared" si="67"/>
        <v>878.07247139987146</v>
      </c>
      <c r="CX111" s="59">
        <f t="shared" si="68"/>
        <v>1171.4058047332048</v>
      </c>
      <c r="CY111" s="59">
        <f ca="1">AVERAGE(OFFSET($CX$3,0,0,'Données projet'!$E$13+1,1))-AVERAGE(OFFSET($H$3,0,0,'Données projet'!$E$13+1,1))</f>
        <v>391.93999504334352</v>
      </c>
      <c r="CZ111" s="59">
        <f t="shared" si="96"/>
        <v>215.4484906985528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125.87441133998199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125.87441133998199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367.99999999999972</v>
      </c>
      <c r="DP111" s="17">
        <f>DO111*VLOOKUP('Données projet'!$B$14,Paramètres!$A$1:$I$89,3,0)*VLOOKUP('Données projet'!$B$14,Paramètres!$A$1:$I$89,5,0)</f>
        <v>269.8175999999998</v>
      </c>
      <c r="DQ111" s="13">
        <f t="shared" si="97"/>
        <v>64.810557882019467</v>
      </c>
      <c r="DR111" s="20">
        <f t="shared" si="70"/>
        <v>582.81070831118348</v>
      </c>
      <c r="DS111" s="59">
        <f t="shared" si="71"/>
        <v>876.14404164451685</v>
      </c>
      <c r="DT111" s="59">
        <f ca="1">AVERAGE(OFFSET($DS$3,0,0,'Données projet'!$E$14+1,1))-AVERAGE(OFFSET($H$3,0,0,'Données projet'!$E$14+1,1))</f>
        <v>267.92147257573157</v>
      </c>
      <c r="DU111" s="59">
        <f t="shared" si="98"/>
        <v>269.06662611892438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26.467162785811421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26.467162785811421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0.8600000000003547</v>
      </c>
      <c r="EK111" s="17">
        <f>EJ111*VLOOKUP('Données projet'!$B$15,Paramètres!$A$1:$I$89,3,0)*VLOOKUP('Données projet'!$B$15,Paramètres!$A$1:$I$89,5,0)</f>
        <v>0.48074000000019829</v>
      </c>
      <c r="EL111" s="13">
        <f t="shared" si="99"/>
        <v>0.24126147010950588</v>
      </c>
      <c r="EM111" s="20">
        <f t="shared" si="73"/>
        <v>1.2574858937744013</v>
      </c>
      <c r="EN111" s="59">
        <f t="shared" si="74"/>
        <v>294.59081922710772</v>
      </c>
      <c r="EO111" s="59">
        <f ca="1">AVERAGE(OFFSET($EN$3,0,0,'Données projet'!$E$15+1,1))-AVERAGE(OFFSET($H$3,0,0,'Données projet'!$E$15+1,1))</f>
        <v>326.29985515186428</v>
      </c>
      <c r="EP111" s="59">
        <f t="shared" si="100"/>
        <v>437.68177084535927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130.15237256559701</v>
      </c>
      <c r="EW111" s="21">
        <f>EXP(-LN(2)/25)*EW110+(1-EXP(-LN(2)/25))/(LN(2)/25)*Calculateur!ER111*Calculateur!ET111*VLOOKUP('Données projet'!$B$15,Paramètres!$A$1:$I$89,3,0)*0.475*44/12</f>
        <v>5.8168824434556479</v>
      </c>
      <c r="EX111" s="21">
        <f>EXP(-LN(2)/2)*EX110+(1-EXP(-LN(2)/2))/(LN(2)/2)*ER111*EU111*VLOOKUP('Données projet'!$B$15,Paramètres!$A$1:$I$89,3,0)*0.475*44/12</f>
        <v>1.3459076018312992E-12</v>
      </c>
      <c r="EY111" s="22">
        <f t="shared" si="75"/>
        <v>135.969255009054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1.7053025658242404E-13</v>
      </c>
      <c r="FF111" s="17">
        <f>FE111*VLOOKUP('Données projet'!$B$16,Paramètres!$A$1:$I$89,3,0)*VLOOKUP('Données projet'!$B$16,Paramètres!$A$1:$I$89,5,0)</f>
        <v>9.7631982498569413E-14</v>
      </c>
      <c r="FG111" s="13">
        <f t="shared" si="101"/>
        <v>1.4708068762530911E-12</v>
      </c>
      <c r="FH111" s="20">
        <f t="shared" si="76"/>
        <v>2.7316976789924749E-12</v>
      </c>
      <c r="FI111" s="59">
        <f t="shared" si="77"/>
        <v>293.33333333333604</v>
      </c>
      <c r="FJ111" s="59">
        <f ca="1">AVERAGE(OFFSET($FI$3,0,0,'Données projet'!$E$16+1,1))-AVERAGE(OFFSET($H$3,0,0,'Données projet'!$E$16+1,1))</f>
        <v>211.14768428403215</v>
      </c>
      <c r="FK111" s="59">
        <f t="shared" si="102"/>
        <v>350.7800157534798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17.720815594503552</v>
      </c>
      <c r="FR111" s="21">
        <f>EXP(-LN(2)/25)*FR110+(1-EXP(-LN(2)/25))/(LN(2)/25)*Calculateur!FM111*Calculateur!FO111*VLOOKUP('Données projet'!$B$16,Paramètres!$A$1:$I$89,3,0)*0.475*44/12</f>
        <v>2.4746291353897734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20.195444729893325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95.222399999999979</v>
      </c>
      <c r="D112" s="11">
        <f t="shared" si="86"/>
        <v>25.820577666484969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934.36684514479612</v>
      </c>
      <c r="H112" s="66">
        <f t="shared" si="56"/>
        <v>504.1498527691279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259.99999999999983</v>
      </c>
      <c r="O112" s="13">
        <f>N112*VLOOKUP('Données projet'!$B$9,Paramètres!$A$1:$I$89,3,0)*VLOOKUP('Données projet'!$B$9,Paramètres!$A$1:$I$89,5,0)</f>
        <v>227.13599999999985</v>
      </c>
      <c r="P112" s="13">
        <f t="shared" si="87"/>
        <v>55.662966886685133</v>
      </c>
      <c r="Q112" s="20">
        <f t="shared" si="107"/>
        <v>492.5415339943097</v>
      </c>
      <c r="R112" s="59">
        <f t="shared" si="55"/>
        <v>785.87486732764296</v>
      </c>
      <c r="S112" s="59">
        <f ca="1">AVERAGE(OFFSET($R$3,0,0,'Données projet'!$E$9+1,1))-AVERAGE(OFFSET($H$3,0,0,'Données projet'!$E$9+1,1))</f>
        <v>252.49539407921907</v>
      </c>
      <c r="T112" s="59">
        <f t="shared" si="88"/>
        <v>263.36387286233929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53.535129455589797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53.535129455589797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projet'!$A$61:$I$81,2,0)</f>
        <v>498.97</v>
      </c>
      <c r="AG112" s="12">
        <f>VLOOKUP(A112,'Données projet'!$A$61:$I$81,9,0)</f>
        <v>9.7110000000000021</v>
      </c>
      <c r="AH112" s="12">
        <f t="array" ref="AH112">INDEX(AG:AG,MIN(IF(ISNUMBER(AG112:AG308),ROW(AG112:AG308),"")))</f>
        <v>9.7110000000000021</v>
      </c>
      <c r="AI112" s="13">
        <f>IF('Données projet'!$A$62&gt;35,AI111+AH112-AQ111,IF(A112&lt;'Données projet'!$A$62,$AF$205^A112,IF(A112='Données projet'!$A$62,'Données projet'!$B$62,AI111+AH112-AQ111)))</f>
        <v>498.97000000000025</v>
      </c>
      <c r="AJ112" s="13">
        <f>AI112*VLOOKUP('Données projet'!$B$10,Paramètres!$A$1:$I$89,3,0)*VLOOKUP('Données projet'!$B$10,Paramètres!$A$1:$I$89,5,0)</f>
        <v>451.46805600000022</v>
      </c>
      <c r="AK112" s="13">
        <f t="shared" si="89"/>
        <v>102.13639049659324</v>
      </c>
      <c r="AL112" s="20">
        <f t="shared" si="58"/>
        <v>964.19441098156688</v>
      </c>
      <c r="AM112" s="59">
        <f t="shared" si="59"/>
        <v>1257.5277443149002</v>
      </c>
      <c r="AN112" s="59">
        <f ca="1">AVERAGE(OFFSET($AM$3,0,0,'Données projet'!$E$10+1,1))-AVERAGE(OFFSET($H$3,0,0,'Données projet'!$E$10+1,1))</f>
        <v>370.05613271587413</v>
      </c>
      <c r="AO112" s="59">
        <f t="shared" si="90"/>
        <v>183.24480056442525</v>
      </c>
      <c r="AP112" s="15">
        <f>IF(ISNA(VLOOKUP(A112,'Données projet'!$A$61:$I$81,3,0)),0,VLOOKUP(A112,'Données projet'!$A$61:$I$81,3,0))</f>
        <v>10</v>
      </c>
      <c r="AQ112" s="15">
        <f>IF(ISNA(VLOOKUP(A112,'Données projet'!$A$61:$I$81,4,0)),0,VLOOKUP(A112,'Données projet'!$A$61:$I$81,4,0))</f>
        <v>66.959999999999994</v>
      </c>
      <c r="AR112" s="16">
        <f>IF(ISNA(VLOOKUP(A112,'Données projet'!$A$61:$I$81,5,0)),0%,VLOOKUP(A112,'Données projet'!$A$61:$I$81,5,0)*VLOOKUP('Données projet'!$B$10,Paramètres!$A$1:$I$89,7,0))</f>
        <v>0.43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132.69568474942321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132.69568474942321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>
        <f>VLOOKUP(A112,'Données projet'!$A$87:$I$107,2,0)</f>
        <v>498.97</v>
      </c>
      <c r="BB112" s="12">
        <f>VLOOKUP(A112,'Données projet'!$A$87:$I$107,9,0)</f>
        <v>9.7110000000000021</v>
      </c>
      <c r="BC112" s="12">
        <f t="array" ref="BC112">INDEX(BB:BB,MIN(IF(ISNUMBER(BB112:BB308),ROW(BB112:BB308),"")))</f>
        <v>9.7110000000000021</v>
      </c>
      <c r="BD112" s="12">
        <f>IF('Données projet'!$A$88&gt;35,BD111+BC112-BL111,IF(A112&lt;'Données projet'!$A$88,$BA$205^A112,IF(A112='Données projet'!$A$88,'Données projet'!$B$88,BD111+BC112-BL111)))</f>
        <v>498.97000000000025</v>
      </c>
      <c r="BE112" s="13">
        <f>BD112*VLOOKUP('Données projet'!$B$11,Paramètres!$A$1:$I$89,3,0)*VLOOKUP('Données projet'!$B$11,Paramètres!$A$1:$I$89,5,0)</f>
        <v>505.95558000000034</v>
      </c>
      <c r="BF112" s="13">
        <f t="shared" si="91"/>
        <v>112.9550813347188</v>
      </c>
      <c r="BG112" s="20">
        <f t="shared" si="61"/>
        <v>1077.9360684913026</v>
      </c>
      <c r="BH112" s="59">
        <f t="shared" si="62"/>
        <v>1371.2694018246359</v>
      </c>
      <c r="BI112" s="59">
        <f ca="1">AVERAGE(OFFSET($BH$3,0,0,'Données projet'!$E$11+1,1))-AVERAGE(OFFSET($H$3,0,0,'Données projet'!$E$11+1,1))</f>
        <v>428.72181435671394</v>
      </c>
      <c r="BJ112" s="59">
        <f t="shared" si="92"/>
        <v>211.84936043087572</v>
      </c>
      <c r="BK112" s="15">
        <f>IF(ISNA(VLOOKUP(A112,'Données projet'!$A$87:$I$107,3,0)),0,VLOOKUP(A112,'Données projet'!$A$87:$I$107,3,0))</f>
        <v>10</v>
      </c>
      <c r="BL112" s="15">
        <f>IF(ISNA(VLOOKUP(A112,'Données projet'!$A$87:$I$107,4,0)),0,VLOOKUP(A112,'Données projet'!$A$87:$I$107,4,0))</f>
        <v>66.959999999999994</v>
      </c>
      <c r="BM112" s="16">
        <f>IF(ISNA(VLOOKUP(A112,'Données projet'!$A$87:$I$107,5,0)),0%,VLOOKUP(A112,'Données projet'!$A$87:$I$107,5,0)*VLOOKUP('Données projet'!$B$11,Paramètres!$A$1:$I$89,7,0))</f>
        <v>0.43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148.71068118469847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148.71068118469847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367.99999999999972</v>
      </c>
      <c r="BZ112" s="13">
        <f>BY112*VLOOKUP('Données projet'!$B$12,Paramètres!$A$1:$I$89,3,0)*VLOOKUP('Données projet'!$B$12,Paramètres!$A$1:$I$89,5,0)</f>
        <v>292.78079999999977</v>
      </c>
      <c r="CA112" s="13">
        <f t="shared" si="93"/>
        <v>69.660903052386217</v>
      </c>
      <c r="CB112" s="20">
        <f t="shared" si="64"/>
        <v>631.25263281623893</v>
      </c>
      <c r="CC112" s="59">
        <f t="shared" si="65"/>
        <v>924.58596614957219</v>
      </c>
      <c r="CD112" s="59">
        <f ca="1">AVERAGE(OFFSET($CC$3,0,0,'Données projet'!$E$12+1,1))-AVERAGE(OFFSET($H$3,0,0,'Données projet'!$E$12+1,1))</f>
        <v>296.737543892524</v>
      </c>
      <c r="CE112" s="59">
        <f t="shared" si="94"/>
        <v>296.38358650317099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34.704537711224404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34.704537711224404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7.4</v>
      </c>
      <c r="CT112" s="12">
        <f>IF('Données projet'!$A$140&gt;35,CT111+CS112-DB111,IF(A112&lt;'Données projet'!$A$140,$CQ$205^A112,IF(A112='Données projet'!$A$140,'Données projet'!$B$140,CT111+CS112-DB111)))</f>
        <v>485.59999999999997</v>
      </c>
      <c r="CU112" s="17">
        <f>CT112*VLOOKUP('Données projet'!$B$13,Paramètres!$A$1:$I$89,3,0)*VLOOKUP('Données projet'!$B$13,Paramètres!$A$1:$I$89,5,0)</f>
        <v>416.64479999999998</v>
      </c>
      <c r="CV112" s="13">
        <f t="shared" si="95"/>
        <v>95.143094443977361</v>
      </c>
      <c r="CW112" s="20">
        <f t="shared" si="67"/>
        <v>891.36391615659386</v>
      </c>
      <c r="CX112" s="59">
        <f t="shared" si="68"/>
        <v>1184.6972494899271</v>
      </c>
      <c r="CY112" s="59">
        <f ca="1">AVERAGE(OFFSET($CX$3,0,0,'Données projet'!$E$13+1,1))-AVERAGE(OFFSET($H$3,0,0,'Données projet'!$E$13+1,1))</f>
        <v>391.93999504334352</v>
      </c>
      <c r="CZ112" s="59">
        <f t="shared" si="96"/>
        <v>215.4484906985528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123.40609090941489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123.40609090941489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367.99999999999972</v>
      </c>
      <c r="DP112" s="17">
        <f>DO112*VLOOKUP('Données projet'!$B$14,Paramètres!$A$1:$I$89,3,0)*VLOOKUP('Données projet'!$B$14,Paramètres!$A$1:$I$89,5,0)</f>
        <v>269.8175999999998</v>
      </c>
      <c r="DQ112" s="13">
        <f t="shared" si="97"/>
        <v>64.810557882019467</v>
      </c>
      <c r="DR112" s="20">
        <f t="shared" si="70"/>
        <v>582.81070831118348</v>
      </c>
      <c r="DS112" s="59">
        <f t="shared" si="71"/>
        <v>876.14404164451685</v>
      </c>
      <c r="DT112" s="59">
        <f ca="1">AVERAGE(OFFSET($DS$3,0,0,'Données projet'!$E$14+1,1))-AVERAGE(OFFSET($H$3,0,0,'Données projet'!$E$14+1,1))</f>
        <v>267.92147257573157</v>
      </c>
      <c r="DU112" s="59">
        <f t="shared" si="98"/>
        <v>269.06662611892438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25.948157866956933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25.948157866956933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0.8600000000003547</v>
      </c>
      <c r="EK112" s="17">
        <f>EJ112*VLOOKUP('Données projet'!$B$15,Paramètres!$A$1:$I$89,3,0)*VLOOKUP('Données projet'!$B$15,Paramètres!$A$1:$I$89,5,0)</f>
        <v>0.48074000000019829</v>
      </c>
      <c r="EL112" s="13">
        <f t="shared" si="99"/>
        <v>0.24126147010950588</v>
      </c>
      <c r="EM112" s="20">
        <f t="shared" si="73"/>
        <v>1.2574858937744013</v>
      </c>
      <c r="EN112" s="59">
        <f t="shared" si="74"/>
        <v>294.59081922710772</v>
      </c>
      <c r="EO112" s="59">
        <f ca="1">AVERAGE(OFFSET($EN$3,0,0,'Données projet'!$E$15+1,1))-AVERAGE(OFFSET($H$3,0,0,'Données projet'!$E$15+1,1))</f>
        <v>326.29985515186428</v>
      </c>
      <c r="EP112" s="59">
        <f t="shared" si="100"/>
        <v>437.68177084535927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127.60016392469429</v>
      </c>
      <c r="EW112" s="21">
        <f>EXP(-LN(2)/25)*EW111+(1-EXP(-LN(2)/25))/(LN(2)/25)*Calculateur!ER112*Calculateur!ET112*VLOOKUP('Données projet'!$B$15,Paramètres!$A$1:$I$89,3,0)*0.475*44/12</f>
        <v>5.6578194871427998</v>
      </c>
      <c r="EX112" s="21">
        <f>EXP(-LN(2)/2)*EX111+(1-EXP(-LN(2)/2))/(LN(2)/2)*ER112*EU112*VLOOKUP('Données projet'!$B$15,Paramètres!$A$1:$I$89,3,0)*0.475*44/12</f>
        <v>9.5170039210543539E-13</v>
      </c>
      <c r="EY112" s="22">
        <f t="shared" si="75"/>
        <v>133.25798341183801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1.7053025658242404E-13</v>
      </c>
      <c r="FF112" s="17">
        <f>FE112*VLOOKUP('Données projet'!$B$16,Paramètres!$A$1:$I$89,3,0)*VLOOKUP('Données projet'!$B$16,Paramètres!$A$1:$I$89,5,0)</f>
        <v>9.7631982498569413E-14</v>
      </c>
      <c r="FG112" s="13">
        <f t="shared" si="101"/>
        <v>1.4708068762530911E-12</v>
      </c>
      <c r="FH112" s="20">
        <f t="shared" si="76"/>
        <v>2.7316976789924749E-12</v>
      </c>
      <c r="FI112" s="59">
        <f t="shared" si="77"/>
        <v>293.33333333333604</v>
      </c>
      <c r="FJ112" s="59">
        <f ca="1">AVERAGE(OFFSET($FI$3,0,0,'Données projet'!$E$16+1,1))-AVERAGE(OFFSET($H$3,0,0,'Données projet'!$E$16+1,1))</f>
        <v>211.14768428403215</v>
      </c>
      <c r="FK112" s="59">
        <f t="shared" si="102"/>
        <v>350.7800157534798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17.373321209325585</v>
      </c>
      <c r="FR112" s="21">
        <f>EXP(-LN(2)/25)*FR111+(1-EXP(-LN(2)/25))/(LN(2)/25)*Calculateur!FM112*Calculateur!FO112*VLOOKUP('Données projet'!$B$16,Paramètres!$A$1:$I$89,3,0)*0.475*44/12</f>
        <v>2.4069602715474496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19.780281480873036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96.095999999999975</v>
      </c>
      <c r="D113" s="11">
        <f t="shared" si="86"/>
        <v>26.029778784173352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942.72530991291694</v>
      </c>
      <c r="H113" s="66">
        <f t="shared" si="56"/>
        <v>506.03573138243519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259.99999999999983</v>
      </c>
      <c r="O113" s="13">
        <f>N113*VLOOKUP('Données projet'!$B$9,Paramètres!$A$1:$I$89,3,0)*VLOOKUP('Données projet'!$B$9,Paramètres!$A$1:$I$89,5,0)</f>
        <v>227.13599999999985</v>
      </c>
      <c r="P113" s="13">
        <f t="shared" si="87"/>
        <v>55.662966886685133</v>
      </c>
      <c r="Q113" s="20">
        <f t="shared" si="107"/>
        <v>492.5415339943097</v>
      </c>
      <c r="R113" s="59">
        <f t="shared" si="55"/>
        <v>785.87486732764296</v>
      </c>
      <c r="S113" s="59">
        <f ca="1">AVERAGE(OFFSET($R$3,0,0,'Données projet'!$E$9+1,1))-AVERAGE(OFFSET($H$3,0,0,'Données projet'!$E$9+1,1))</f>
        <v>252.49539407921907</v>
      </c>
      <c r="T113" s="59">
        <f t="shared" si="88"/>
        <v>263.36387286233929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52.485338220170412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52.485338220170412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9.4029999999999916</v>
      </c>
      <c r="AI113" s="13">
        <f>IF('Données projet'!$A$62&gt;35,AI112+AH113-AQ112,IF(A113&lt;'Données projet'!$A$62,$AF$205^A113,IF(A113='Données projet'!$A$62,'Données projet'!$B$62,AI112+AH113-AQ112)))</f>
        <v>441.4130000000003</v>
      </c>
      <c r="AJ113" s="13">
        <f>AI113*VLOOKUP('Données projet'!$B$10,Paramètres!$A$1:$I$89,3,0)*VLOOKUP('Données projet'!$B$10,Paramètres!$A$1:$I$89,5,0)</f>
        <v>399.39048240000028</v>
      </c>
      <c r="AK113" s="13">
        <f t="shared" si="89"/>
        <v>91.653083916792113</v>
      </c>
      <c r="AL113" s="20">
        <f t="shared" si="58"/>
        <v>855.23421133508009</v>
      </c>
      <c r="AM113" s="59">
        <f t="shared" si="59"/>
        <v>1148.5675446684133</v>
      </c>
      <c r="AN113" s="59">
        <f ca="1">AVERAGE(OFFSET($AM$3,0,0,'Données projet'!$E$10+1,1))-AVERAGE(OFFSET($H$3,0,0,'Données projet'!$E$10+1,1))</f>
        <v>370.05613271587413</v>
      </c>
      <c r="AO113" s="59">
        <f t="shared" si="90"/>
        <v>183.24480056442525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130.09360330786291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130.09360330786291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9.4029999999999916</v>
      </c>
      <c r="BD113" s="12">
        <f>IF('Données projet'!$A$88&gt;35,BD112+BC113-BL112,IF(A113&lt;'Données projet'!$A$88,$BA$205^A113,IF(A113='Données projet'!$A$88,'Données projet'!$B$88,BD112+BC113-BL112)))</f>
        <v>441.4130000000003</v>
      </c>
      <c r="BE113" s="13">
        <f>BD113*VLOOKUP('Données projet'!$B$11,Paramètres!$A$1:$I$89,3,0)*VLOOKUP('Données projet'!$B$11,Paramètres!$A$1:$I$89,5,0)</f>
        <v>447.59278200000028</v>
      </c>
      <c r="BF113" s="13">
        <f t="shared" si="91"/>
        <v>101.36134141870193</v>
      </c>
      <c r="BG113" s="20">
        <f t="shared" si="61"/>
        <v>956.09509828757302</v>
      </c>
      <c r="BH113" s="59">
        <f t="shared" si="62"/>
        <v>1249.4284316209064</v>
      </c>
      <c r="BI113" s="59">
        <f ca="1">AVERAGE(OFFSET($BH$3,0,0,'Données projet'!$E$11+1,1))-AVERAGE(OFFSET($H$3,0,0,'Données projet'!$E$11+1,1))</f>
        <v>428.72181435671394</v>
      </c>
      <c r="BJ113" s="59">
        <f t="shared" si="92"/>
        <v>211.84936043087572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145.79455543122572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145.79455543122572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367.99999999999972</v>
      </c>
      <c r="BZ113" s="13">
        <f>BY113*VLOOKUP('Données projet'!$B$12,Paramètres!$A$1:$I$89,3,0)*VLOOKUP('Données projet'!$B$12,Paramètres!$A$1:$I$89,5,0)</f>
        <v>292.78079999999977</v>
      </c>
      <c r="CA113" s="13">
        <f t="shared" si="93"/>
        <v>69.660903052386217</v>
      </c>
      <c r="CB113" s="20">
        <f t="shared" si="64"/>
        <v>631.25263281623893</v>
      </c>
      <c r="CC113" s="59">
        <f t="shared" si="65"/>
        <v>924.58596614957219</v>
      </c>
      <c r="CD113" s="59">
        <f ca="1">AVERAGE(OFFSET($CC$3,0,0,'Données projet'!$E$12+1,1))-AVERAGE(OFFSET($H$3,0,0,'Données projet'!$E$12+1,1))</f>
        <v>296.737543892524</v>
      </c>
      <c r="CE113" s="59">
        <f t="shared" si="94"/>
        <v>296.38358650317099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34.024002894385163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34.024002894385163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493</v>
      </c>
      <c r="CR113" s="12">
        <f>VLOOKUP(A113,'Données projet'!$A$139:$I$159,9,0)</f>
        <v>7.4</v>
      </c>
      <c r="CS113" s="12">
        <f t="array" ref="CS113">INDEX(CR:CR,MIN(IF(ISNUMBER(CR113:CR309),ROW(CR113:CR309),"")))</f>
        <v>7.4</v>
      </c>
      <c r="CT113" s="12">
        <f>IF('Données projet'!$A$140&gt;35,CT112+CS113-DB112,IF(A113&lt;'Données projet'!$A$140,$CQ$205^A113,IF(A113='Données projet'!$A$140,'Données projet'!$B$140,CT112+CS113-DB112)))</f>
        <v>492.99999999999994</v>
      </c>
      <c r="CU113" s="17">
        <f>CT113*VLOOKUP('Données projet'!$B$13,Paramètres!$A$1:$I$89,3,0)*VLOOKUP('Données projet'!$B$13,Paramètres!$A$1:$I$89,5,0)</f>
        <v>422.99399999999997</v>
      </c>
      <c r="CV113" s="13">
        <f t="shared" si="95"/>
        <v>96.423073437021841</v>
      </c>
      <c r="CW113" s="20">
        <f t="shared" si="67"/>
        <v>904.65140290281306</v>
      </c>
      <c r="CX113" s="59">
        <f t="shared" si="68"/>
        <v>1197.9847362361463</v>
      </c>
      <c r="CY113" s="59">
        <f ca="1">AVERAGE(OFFSET($CX$3,0,0,'Données projet'!$E$13+1,1))-AVERAGE(OFFSET($H$3,0,0,'Données projet'!$E$13+1,1))</f>
        <v>391.93999504334352</v>
      </c>
      <c r="CZ113" s="59">
        <f t="shared" si="96"/>
        <v>215.4484906985528</v>
      </c>
      <c r="DA113" s="15">
        <f>IF(ISNA(VLOOKUP(A113,'Données projet'!$A$139:$I$159,3,0)),0,VLOOKUP(A113,'Données projet'!$A$139:$I$159,3,0))</f>
        <v>18</v>
      </c>
      <c r="DB113" s="15">
        <f>IF(ISNA(VLOOKUP(A113,'Données projet'!$A$139:$I$159,4,0)),0,VLOOKUP(A113,'Données projet'!$A$139:$I$159,4,0))</f>
        <v>27</v>
      </c>
      <c r="DC113" s="16">
        <f>IF(ISNA(VLOOKUP(A113,'Données projet'!$A$139:$I$159,5,0)),0%,VLOOKUP(A113,'Données projet'!$A$139:$I$159,5,0)*VLOOKUP('Données projet'!$B$13,Paramètres!$A$1:$I$89,7,0))</f>
        <v>0.53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134.55911594746237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134.55911594746237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367.99999999999972</v>
      </c>
      <c r="DP113" s="17">
        <f>DO113*VLOOKUP('Données projet'!$B$14,Paramètres!$A$1:$I$89,3,0)*VLOOKUP('Données projet'!$B$14,Paramètres!$A$1:$I$89,5,0)</f>
        <v>269.8175999999998</v>
      </c>
      <c r="DQ113" s="13">
        <f t="shared" si="97"/>
        <v>64.810557882019467</v>
      </c>
      <c r="DR113" s="20">
        <f t="shared" si="70"/>
        <v>582.81070831118348</v>
      </c>
      <c r="DS113" s="59">
        <f t="shared" si="71"/>
        <v>876.14404164451685</v>
      </c>
      <c r="DT113" s="59">
        <f ca="1">AVERAGE(OFFSET($DS$3,0,0,'Données projet'!$E$14+1,1))-AVERAGE(OFFSET($H$3,0,0,'Données projet'!$E$14+1,1))</f>
        <v>267.92147257573157</v>
      </c>
      <c r="DU113" s="59">
        <f t="shared" si="98"/>
        <v>269.06662611892438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25.439330317999438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25.439330317999438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0.8600000000003547</v>
      </c>
      <c r="EK113" s="17">
        <f>EJ113*VLOOKUP('Données projet'!$B$15,Paramètres!$A$1:$I$89,3,0)*VLOOKUP('Données projet'!$B$15,Paramètres!$A$1:$I$89,5,0)</f>
        <v>0.48074000000019829</v>
      </c>
      <c r="EL113" s="13">
        <f t="shared" si="99"/>
        <v>0.24126147010950588</v>
      </c>
      <c r="EM113" s="20">
        <f t="shared" si="73"/>
        <v>1.2574858937744013</v>
      </c>
      <c r="EN113" s="59">
        <f t="shared" si="74"/>
        <v>294.59081922710772</v>
      </c>
      <c r="EO113" s="59">
        <f ca="1">AVERAGE(OFFSET($EN$3,0,0,'Données projet'!$E$15+1,1))-AVERAGE(OFFSET($H$3,0,0,'Données projet'!$E$15+1,1))</f>
        <v>326.29985515186428</v>
      </c>
      <c r="EP113" s="59">
        <f t="shared" si="100"/>
        <v>437.68177084535927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125.09800253854611</v>
      </c>
      <c r="EW113" s="21">
        <f>EXP(-LN(2)/25)*EW112+(1-EXP(-LN(2)/25))/(LN(2)/25)*Calculateur!ER113*Calculateur!ET113*VLOOKUP('Données projet'!$B$15,Paramètres!$A$1:$I$89,3,0)*0.475*44/12</f>
        <v>5.5031061157350845</v>
      </c>
      <c r="EX113" s="21">
        <f>EXP(-LN(2)/2)*EX112+(1-EXP(-LN(2)/2))/(LN(2)/2)*ER113*EU113*VLOOKUP('Données projet'!$B$15,Paramètres!$A$1:$I$89,3,0)*0.475*44/12</f>
        <v>6.7295380091564961E-13</v>
      </c>
      <c r="EY113" s="22">
        <f t="shared" si="75"/>
        <v>130.60110865428189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1.7053025658242404E-13</v>
      </c>
      <c r="FF113" s="17">
        <f>FE113*VLOOKUP('Données projet'!$B$16,Paramètres!$A$1:$I$89,3,0)*VLOOKUP('Données projet'!$B$16,Paramètres!$A$1:$I$89,5,0)</f>
        <v>9.7631982498569413E-14</v>
      </c>
      <c r="FG113" s="13">
        <f t="shared" si="101"/>
        <v>1.4708068762530911E-12</v>
      </c>
      <c r="FH113" s="20">
        <f t="shared" si="76"/>
        <v>2.7316976789924749E-12</v>
      </c>
      <c r="FI113" s="59">
        <f t="shared" si="77"/>
        <v>293.33333333333604</v>
      </c>
      <c r="FJ113" s="59">
        <f ca="1">AVERAGE(OFFSET($FI$3,0,0,'Données projet'!$E$16+1,1))-AVERAGE(OFFSET($H$3,0,0,'Données projet'!$E$16+1,1))</f>
        <v>211.14768428403215</v>
      </c>
      <c r="FK113" s="59">
        <f t="shared" si="102"/>
        <v>350.7800157534798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17.032640977090313</v>
      </c>
      <c r="FR113" s="21">
        <f>EXP(-LN(2)/25)*FR112+(1-EXP(-LN(2)/25))/(LN(2)/25)*Calculateur!FM113*Calculateur!FO113*VLOOKUP('Données projet'!$B$16,Paramètres!$A$1:$I$89,3,0)*0.475*44/12</f>
        <v>2.3411418163454449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19.373782793435758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96.969599999999971</v>
      </c>
      <c r="D114" s="11">
        <f t="shared" si="86"/>
        <v>26.238758642904312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951.08206671715607</v>
      </c>
      <c r="H114" s="66">
        <f t="shared" si="56"/>
        <v>507.92122463639157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259.99999999999983</v>
      </c>
      <c r="O114" s="13">
        <f>N114*VLOOKUP('Données projet'!$B$9,Paramètres!$A$1:$I$89,3,0)*VLOOKUP('Données projet'!$B$9,Paramètres!$A$1:$I$89,5,0)</f>
        <v>227.13599999999985</v>
      </c>
      <c r="P114" s="13">
        <f t="shared" si="87"/>
        <v>55.662966886685133</v>
      </c>
      <c r="Q114" s="20">
        <f t="shared" si="107"/>
        <v>492.5415339943097</v>
      </c>
      <c r="R114" s="59">
        <f t="shared" si="55"/>
        <v>785.87486732764296</v>
      </c>
      <c r="S114" s="59">
        <f ca="1">AVERAGE(OFFSET($R$3,0,0,'Données projet'!$E$9+1,1))-AVERAGE(OFFSET($H$3,0,0,'Données projet'!$E$9+1,1))</f>
        <v>252.49539407921907</v>
      </c>
      <c r="T114" s="59">
        <f t="shared" si="88"/>
        <v>263.36387286233929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51.456132750568173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51.456132750568173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9.4029999999999916</v>
      </c>
      <c r="AI114" s="13">
        <f>IF('Données projet'!$A$62&gt;35,AI113+AH114-AQ113,IF(A114&lt;'Données projet'!$A$62,$AF$205^A114,IF(A114='Données projet'!$A$62,'Données projet'!$B$62,AI113+AH114-AQ113)))</f>
        <v>450.81600000000026</v>
      </c>
      <c r="AJ114" s="13">
        <f>AI114*VLOOKUP('Données projet'!$B$10,Paramètres!$A$1:$I$89,3,0)*VLOOKUP('Données projet'!$B$10,Paramètres!$A$1:$I$89,5,0)</f>
        <v>407.89831680000026</v>
      </c>
      <c r="AK114" s="13">
        <f t="shared" si="89"/>
        <v>93.376100943881056</v>
      </c>
      <c r="AL114" s="20">
        <f t="shared" si="58"/>
        <v>873.05294423725991</v>
      </c>
      <c r="AM114" s="59">
        <f t="shared" si="59"/>
        <v>1166.3862775705932</v>
      </c>
      <c r="AN114" s="59">
        <f ca="1">AVERAGE(OFFSET($AM$3,0,0,'Données projet'!$E$10+1,1))-AVERAGE(OFFSET($H$3,0,0,'Données projet'!$E$10+1,1))</f>
        <v>370.05613271587413</v>
      </c>
      <c r="AO114" s="59">
        <f t="shared" si="90"/>
        <v>183.24480056442525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127.54254709625864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127.54254709625864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9.4029999999999916</v>
      </c>
      <c r="BD114" s="12">
        <f>IF('Données projet'!$A$88&gt;35,BD113+BC114-BL113,IF(A114&lt;'Données projet'!$A$88,$BA$205^A114,IF(A114='Données projet'!$A$88,'Données projet'!$B$88,BD113+BC114-BL113)))</f>
        <v>450.81600000000026</v>
      </c>
      <c r="BE114" s="13">
        <f>BD114*VLOOKUP('Données projet'!$B$11,Paramètres!$A$1:$I$89,3,0)*VLOOKUP('Données projet'!$B$11,Paramètres!$A$1:$I$89,5,0)</f>
        <v>457.12742400000025</v>
      </c>
      <c r="BF114" s="13">
        <f t="shared" si="91"/>
        <v>103.26686723070357</v>
      </c>
      <c r="BG114" s="20">
        <f t="shared" si="61"/>
        <v>976.02005722680917</v>
      </c>
      <c r="BH114" s="59">
        <f t="shared" si="62"/>
        <v>1269.3533905601425</v>
      </c>
      <c r="BI114" s="59">
        <f ca="1">AVERAGE(OFFSET($BH$3,0,0,'Données projet'!$E$11+1,1))-AVERAGE(OFFSET($H$3,0,0,'Données projet'!$E$11+1,1))</f>
        <v>428.72181435671394</v>
      </c>
      <c r="BJ114" s="59">
        <f t="shared" si="92"/>
        <v>211.84936043087572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142.9356131251175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142.9356131251175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367.99999999999972</v>
      </c>
      <c r="BZ114" s="13">
        <f>BY114*VLOOKUP('Données projet'!$B$12,Paramètres!$A$1:$I$89,3,0)*VLOOKUP('Données projet'!$B$12,Paramètres!$A$1:$I$89,5,0)</f>
        <v>292.78079999999977</v>
      </c>
      <c r="CA114" s="13">
        <f t="shared" si="93"/>
        <v>69.660903052386217</v>
      </c>
      <c r="CB114" s="20">
        <f t="shared" si="64"/>
        <v>631.25263281623893</v>
      </c>
      <c r="CC114" s="59">
        <f t="shared" si="65"/>
        <v>924.58596614957219</v>
      </c>
      <c r="CD114" s="59">
        <f ca="1">AVERAGE(OFFSET($CC$3,0,0,'Données projet'!$E$12+1,1))-AVERAGE(OFFSET($H$3,0,0,'Données projet'!$E$12+1,1))</f>
        <v>296.737543892524</v>
      </c>
      <c r="CE114" s="59">
        <f t="shared" si="94"/>
        <v>296.38358650317099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33.356812950218888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33.356812950218888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7</v>
      </c>
      <c r="CT114" s="12">
        <f>IF('Données projet'!$A$140&gt;35,CT113+CS114-DB113,IF(A114&lt;'Données projet'!$A$140,$CQ$205^A114,IF(A114='Données projet'!$A$140,'Données projet'!$B$140,CT113+CS114-DB113)))</f>
        <v>472.99999999999994</v>
      </c>
      <c r="CU114" s="17">
        <f>CT114*VLOOKUP('Données projet'!$B$13,Paramètres!$A$1:$I$89,3,0)*VLOOKUP('Données projet'!$B$13,Paramètres!$A$1:$I$89,5,0)</f>
        <v>405.834</v>
      </c>
      <c r="CV114" s="13">
        <f t="shared" si="95"/>
        <v>92.958420619932326</v>
      </c>
      <c r="CW114" s="20">
        <f t="shared" si="67"/>
        <v>868.73013257971536</v>
      </c>
      <c r="CX114" s="59">
        <f t="shared" si="68"/>
        <v>1162.0634659130487</v>
      </c>
      <c r="CY114" s="59">
        <f ca="1">AVERAGE(OFFSET($CX$3,0,0,'Données projet'!$E$13+1,1))-AVERAGE(OFFSET($H$3,0,0,'Données projet'!$E$13+1,1))</f>
        <v>391.93999504334352</v>
      </c>
      <c r="CZ114" s="59">
        <f t="shared" si="96"/>
        <v>215.4484906985528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131.92049375668932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131.92049375668932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367.99999999999972</v>
      </c>
      <c r="DP114" s="17">
        <f>DO114*VLOOKUP('Données projet'!$B$14,Paramètres!$A$1:$I$89,3,0)*VLOOKUP('Données projet'!$B$14,Paramètres!$A$1:$I$89,5,0)</f>
        <v>269.8175999999998</v>
      </c>
      <c r="DQ114" s="13">
        <f t="shared" si="97"/>
        <v>64.810557882019467</v>
      </c>
      <c r="DR114" s="20">
        <f t="shared" si="70"/>
        <v>582.81070831118348</v>
      </c>
      <c r="DS114" s="59">
        <f t="shared" si="71"/>
        <v>876.14404164451685</v>
      </c>
      <c r="DT114" s="59">
        <f ca="1">AVERAGE(OFFSET($DS$3,0,0,'Données projet'!$E$14+1,1))-AVERAGE(OFFSET($H$3,0,0,'Données projet'!$E$14+1,1))</f>
        <v>267.92147257573157</v>
      </c>
      <c r="DU114" s="59">
        <f t="shared" si="98"/>
        <v>269.06662611892438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24.94048056692284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24.94048056692284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0.8600000000003547</v>
      </c>
      <c r="EK114" s="17">
        <f>EJ114*VLOOKUP('Données projet'!$B$15,Paramètres!$A$1:$I$89,3,0)*VLOOKUP('Données projet'!$B$15,Paramètres!$A$1:$I$89,5,0)</f>
        <v>0.48074000000019829</v>
      </c>
      <c r="EL114" s="13">
        <f t="shared" si="99"/>
        <v>0.24126147010950588</v>
      </c>
      <c r="EM114" s="20">
        <f t="shared" si="73"/>
        <v>1.2574858937744013</v>
      </c>
      <c r="EN114" s="59">
        <f t="shared" si="74"/>
        <v>294.59081922710772</v>
      </c>
      <c r="EO114" s="59">
        <f ca="1">AVERAGE(OFFSET($EN$3,0,0,'Données projet'!$E$15+1,1))-AVERAGE(OFFSET($H$3,0,0,'Données projet'!$E$15+1,1))</f>
        <v>326.29985515186428</v>
      </c>
      <c r="EP114" s="59">
        <f t="shared" si="100"/>
        <v>437.68177084535927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122.64490701101255</v>
      </c>
      <c r="EW114" s="21">
        <f>EXP(-LN(2)/25)*EW113+(1-EXP(-LN(2)/25))/(LN(2)/25)*Calculateur!ER114*Calculateur!ET114*VLOOKUP('Données projet'!$B$15,Paramètres!$A$1:$I$89,3,0)*0.475*44/12</f>
        <v>5.3526233896045357</v>
      </c>
      <c r="EX114" s="21">
        <f>EXP(-LN(2)/2)*EX113+(1-EXP(-LN(2)/2))/(LN(2)/2)*ER114*EU114*VLOOKUP('Données projet'!$B$15,Paramètres!$A$1:$I$89,3,0)*0.475*44/12</f>
        <v>4.758501960527177E-13</v>
      </c>
      <c r="EY114" s="22">
        <f t="shared" si="75"/>
        <v>127.99753040061755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1.7053025658242404E-13</v>
      </c>
      <c r="FF114" s="17">
        <f>FE114*VLOOKUP('Données projet'!$B$16,Paramètres!$A$1:$I$89,3,0)*VLOOKUP('Données projet'!$B$16,Paramètres!$A$1:$I$89,5,0)</f>
        <v>9.7631982498569413E-14</v>
      </c>
      <c r="FG114" s="13">
        <f t="shared" si="101"/>
        <v>1.4708068762530911E-12</v>
      </c>
      <c r="FH114" s="20">
        <f t="shared" si="76"/>
        <v>2.7316976789924749E-12</v>
      </c>
      <c r="FI114" s="59">
        <f t="shared" si="77"/>
        <v>293.33333333333604</v>
      </c>
      <c r="FJ114" s="59">
        <f ca="1">AVERAGE(OFFSET($FI$3,0,0,'Données projet'!$E$16+1,1))-AVERAGE(OFFSET($H$3,0,0,'Données projet'!$E$16+1,1))</f>
        <v>211.14768428403215</v>
      </c>
      <c r="FK114" s="59">
        <f t="shared" si="102"/>
        <v>350.7800157534798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16.698641276414751</v>
      </c>
      <c r="FR114" s="21">
        <f>EXP(-LN(2)/25)*FR113+(1-EXP(-LN(2)/25))/(LN(2)/25)*Calculateur!FM114*Calculateur!FO114*VLOOKUP('Données projet'!$B$16,Paramètres!$A$1:$I$89,3,0)*0.475*44/12</f>
        <v>2.2771231702621813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18.975764446676934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97.843199999999968</v>
      </c>
      <c r="D115" s="11">
        <f t="shared" si="86"/>
        <v>26.447519466918756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959.43713272709192</v>
      </c>
      <c r="H115" s="66">
        <f t="shared" si="56"/>
        <v>509.80633640488338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259.99999999999983</v>
      </c>
      <c r="O115" s="13">
        <f>N115*VLOOKUP('Données projet'!$B$9,Paramètres!$A$1:$I$89,3,0)*VLOOKUP('Données projet'!$B$9,Paramètres!$A$1:$I$89,5,0)</f>
        <v>227.13599999999985</v>
      </c>
      <c r="P115" s="13">
        <f t="shared" si="87"/>
        <v>55.662966886685133</v>
      </c>
      <c r="Q115" s="20">
        <f t="shared" si="107"/>
        <v>492.5415339943097</v>
      </c>
      <c r="R115" s="59">
        <f t="shared" si="55"/>
        <v>785.87486732764296</v>
      </c>
      <c r="S115" s="59">
        <f ca="1">AVERAGE(OFFSET($R$3,0,0,'Données projet'!$E$9+1,1))-AVERAGE(OFFSET($H$3,0,0,'Données projet'!$E$9+1,1))</f>
        <v>252.49539407921907</v>
      </c>
      <c r="T115" s="59">
        <f t="shared" si="88"/>
        <v>263.36387286233929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50.447109372471481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50.447109372471481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9.4029999999999916</v>
      </c>
      <c r="AI115" s="13">
        <f>IF('Données projet'!$A$62&gt;35,AI114+AH115-AQ114,IF(A115&lt;'Données projet'!$A$62,$AF$205^A115,IF(A115='Données projet'!$A$62,'Données projet'!$B$62,AI114+AH115-AQ114)))</f>
        <v>460.21900000000028</v>
      </c>
      <c r="AJ115" s="13">
        <f>AI115*VLOOKUP('Données projet'!$B$10,Paramètres!$A$1:$I$89,3,0)*VLOOKUP('Données projet'!$B$10,Paramètres!$A$1:$I$89,5,0)</f>
        <v>416.40615120000024</v>
      </c>
      <c r="AK115" s="13">
        <f t="shared" si="89"/>
        <v>95.094939514723933</v>
      </c>
      <c r="AL115" s="20">
        <f t="shared" si="58"/>
        <v>890.86439966147793</v>
      </c>
      <c r="AM115" s="59">
        <f t="shared" si="59"/>
        <v>1184.1977329948113</v>
      </c>
      <c r="AN115" s="59">
        <f ca="1">AVERAGE(OFFSET($AM$3,0,0,'Données projet'!$E$10+1,1))-AVERAGE(OFFSET($H$3,0,0,'Données projet'!$E$10+1,1))</f>
        <v>370.05613271587413</v>
      </c>
      <c r="AO115" s="59">
        <f t="shared" si="90"/>
        <v>183.24480056442525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125.04151554097329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125.04151554097329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9.4029999999999916</v>
      </c>
      <c r="BD115" s="12">
        <f>IF('Données projet'!$A$88&gt;35,BD114+BC115-BL114,IF(A115&lt;'Données projet'!$A$88,$BA$205^A115,IF(A115='Données projet'!$A$88,'Données projet'!$B$88,BD114+BC115-BL114)))</f>
        <v>460.21900000000028</v>
      </c>
      <c r="BE115" s="13">
        <f>BD115*VLOOKUP('Données projet'!$B$11,Paramètres!$A$1:$I$89,3,0)*VLOOKUP('Données projet'!$B$11,Paramètres!$A$1:$I$89,5,0)</f>
        <v>466.66206600000032</v>
      </c>
      <c r="BF115" s="13">
        <f t="shared" si="91"/>
        <v>105.1677719878311</v>
      </c>
      <c r="BG115" s="20">
        <f t="shared" si="61"/>
        <v>995.93696782880636</v>
      </c>
      <c r="BH115" s="59">
        <f t="shared" si="62"/>
        <v>1289.2703011621397</v>
      </c>
      <c r="BI115" s="59">
        <f ca="1">AVERAGE(OFFSET($BH$3,0,0,'Données projet'!$E$11+1,1))-AVERAGE(OFFSET($H$3,0,0,'Données projet'!$E$11+1,1))</f>
        <v>428.72181435671394</v>
      </c>
      <c r="BJ115" s="59">
        <f t="shared" si="92"/>
        <v>211.84936043087572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140.13273293384944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140.13273293384944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367.99999999999972</v>
      </c>
      <c r="BZ115" s="13">
        <f>BY115*VLOOKUP('Données projet'!$B$12,Paramètres!$A$1:$I$89,3,0)*VLOOKUP('Données projet'!$B$12,Paramètres!$A$1:$I$89,5,0)</f>
        <v>292.78079999999977</v>
      </c>
      <c r="CA115" s="13">
        <f t="shared" si="93"/>
        <v>69.660903052386217</v>
      </c>
      <c r="CB115" s="20">
        <f t="shared" si="64"/>
        <v>631.25263281623893</v>
      </c>
      <c r="CC115" s="59">
        <f t="shared" si="65"/>
        <v>924.58596614957219</v>
      </c>
      <c r="CD115" s="59">
        <f ca="1">AVERAGE(OFFSET($CC$3,0,0,'Données projet'!$E$12+1,1))-AVERAGE(OFFSET($H$3,0,0,'Données projet'!$E$12+1,1))</f>
        <v>296.737543892524</v>
      </c>
      <c r="CE115" s="59">
        <f t="shared" si="94"/>
        <v>296.38358650317099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32.702706193912029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32.702706193912029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7</v>
      </c>
      <c r="CT115" s="12">
        <f>IF('Données projet'!$A$140&gt;35,CT114+CS115-DB114,IF(A115&lt;'Données projet'!$A$140,$CQ$205^A115,IF(A115='Données projet'!$A$140,'Données projet'!$B$140,CT114+CS115-DB114)))</f>
        <v>479.99999999999994</v>
      </c>
      <c r="CU115" s="17">
        <f>CT115*VLOOKUP('Données projet'!$B$13,Paramètres!$A$1:$I$89,3,0)*VLOOKUP('Données projet'!$B$13,Paramètres!$A$1:$I$89,5,0)</f>
        <v>411.84000000000003</v>
      </c>
      <c r="CV115" s="13">
        <f t="shared" si="95"/>
        <v>94.172953187816049</v>
      </c>
      <c r="CW115" s="20">
        <f t="shared" si="67"/>
        <v>881.30589346877969</v>
      </c>
      <c r="CX115" s="59">
        <f t="shared" si="68"/>
        <v>1174.6392268021129</v>
      </c>
      <c r="CY115" s="59">
        <f ca="1">AVERAGE(OFFSET($CX$3,0,0,'Données projet'!$E$13+1,1))-AVERAGE(OFFSET($H$3,0,0,'Données projet'!$E$13+1,1))</f>
        <v>391.93999504334352</v>
      </c>
      <c r="CZ115" s="59">
        <f t="shared" si="96"/>
        <v>215.4484906985528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129.33361333767672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129.33361333767672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367.99999999999972</v>
      </c>
      <c r="DP115" s="17">
        <f>DO115*VLOOKUP('Données projet'!$B$14,Paramètres!$A$1:$I$89,3,0)*VLOOKUP('Données projet'!$B$14,Paramètres!$A$1:$I$89,5,0)</f>
        <v>269.8175999999998</v>
      </c>
      <c r="DQ115" s="13">
        <f t="shared" si="97"/>
        <v>64.810557882019467</v>
      </c>
      <c r="DR115" s="20">
        <f t="shared" si="70"/>
        <v>582.81070831118348</v>
      </c>
      <c r="DS115" s="59">
        <f t="shared" si="71"/>
        <v>876.14404164451685</v>
      </c>
      <c r="DT115" s="59">
        <f ca="1">AVERAGE(OFFSET($DS$3,0,0,'Données projet'!$E$14+1,1))-AVERAGE(OFFSET($H$3,0,0,'Données projet'!$E$14+1,1))</f>
        <v>267.92147257573157</v>
      </c>
      <c r="DU115" s="59">
        <f t="shared" si="98"/>
        <v>269.06662611892438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24.451412955196549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24.451412955196549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0.8600000000003547</v>
      </c>
      <c r="EK115" s="17">
        <f>EJ115*VLOOKUP('Données projet'!$B$15,Paramètres!$A$1:$I$89,3,0)*VLOOKUP('Données projet'!$B$15,Paramètres!$A$1:$I$89,5,0)</f>
        <v>0.48074000000019829</v>
      </c>
      <c r="EL115" s="13">
        <f t="shared" si="99"/>
        <v>0.24126147010950588</v>
      </c>
      <c r="EM115" s="20">
        <f t="shared" si="73"/>
        <v>1.2574858937744013</v>
      </c>
      <c r="EN115" s="59">
        <f t="shared" si="74"/>
        <v>294.59081922710772</v>
      </c>
      <c r="EO115" s="59">
        <f ca="1">AVERAGE(OFFSET($EN$3,0,0,'Données projet'!$E$15+1,1))-AVERAGE(OFFSET($H$3,0,0,'Données projet'!$E$15+1,1))</f>
        <v>326.29985515186428</v>
      </c>
      <c r="EP115" s="59">
        <f t="shared" si="100"/>
        <v>437.68177084535927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120.2399151905334</v>
      </c>
      <c r="EW115" s="21">
        <f>EXP(-LN(2)/25)*EW114+(1-EXP(-LN(2)/25))/(LN(2)/25)*Calculateur!ER115*Calculateur!ET115*VLOOKUP('Données projet'!$B$15,Paramètres!$A$1:$I$89,3,0)*0.475*44/12</f>
        <v>5.2062556215335691</v>
      </c>
      <c r="EX115" s="21">
        <f>EXP(-LN(2)/2)*EX114+(1-EXP(-LN(2)/2))/(LN(2)/2)*ER115*EU115*VLOOKUP('Données projet'!$B$15,Paramètres!$A$1:$I$89,3,0)*0.475*44/12</f>
        <v>3.364769004578248E-13</v>
      </c>
      <c r="EY115" s="22">
        <f t="shared" si="75"/>
        <v>125.44617081206731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1.7053025658242404E-13</v>
      </c>
      <c r="FF115" s="17">
        <f>FE115*VLOOKUP('Données projet'!$B$16,Paramètres!$A$1:$I$89,3,0)*VLOOKUP('Données projet'!$B$16,Paramètres!$A$1:$I$89,5,0)</f>
        <v>9.7631982498569413E-14</v>
      </c>
      <c r="FG115" s="13">
        <f t="shared" si="101"/>
        <v>1.4708068762530911E-12</v>
      </c>
      <c r="FH115" s="20">
        <f t="shared" si="76"/>
        <v>2.7316976789924749E-12</v>
      </c>
      <c r="FI115" s="59">
        <f t="shared" si="77"/>
        <v>293.33333333333604</v>
      </c>
      <c r="FJ115" s="59">
        <f ca="1">AVERAGE(OFFSET($FI$3,0,0,'Données projet'!$E$16+1,1))-AVERAGE(OFFSET($H$3,0,0,'Données projet'!$E$16+1,1))</f>
        <v>211.14768428403215</v>
      </c>
      <c r="FK115" s="59">
        <f t="shared" si="102"/>
        <v>350.7800157534798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16.371191106149734</v>
      </c>
      <c r="FR115" s="21">
        <f>EXP(-LN(2)/25)*FR114+(1-EXP(-LN(2)/25))/(LN(2)/25)*Calculateur!FM115*Calculateur!FO115*VLOOKUP('Données projet'!$B$16,Paramètres!$A$1:$I$89,3,0)*0.475*44/12</f>
        <v>2.2148551174226587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18.586046223572392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98.716799999999964</v>
      </c>
      <c r="D116" s="11">
        <f t="shared" si="86"/>
        <v>26.656063438447475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967.79052478801532</v>
      </c>
      <c r="H116" s="66">
        <f t="shared" si="56"/>
        <v>511.69107048862929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259.99999999999983</v>
      </c>
      <c r="O116" s="13">
        <f>N116*VLOOKUP('Données projet'!$B$9,Paramètres!$A$1:$I$89,3,0)*VLOOKUP('Données projet'!$B$9,Paramètres!$A$1:$I$89,5,0)</f>
        <v>227.13599999999985</v>
      </c>
      <c r="P116" s="13">
        <f t="shared" si="87"/>
        <v>55.662966886685133</v>
      </c>
      <c r="Q116" s="20">
        <f t="shared" si="107"/>
        <v>492.5415339943097</v>
      </c>
      <c r="R116" s="59">
        <f t="shared" si="55"/>
        <v>785.87486732764296</v>
      </c>
      <c r="S116" s="59">
        <f ca="1">AVERAGE(OFFSET($R$3,0,0,'Données projet'!$E$9+1,1))-AVERAGE(OFFSET($H$3,0,0,'Données projet'!$E$9+1,1))</f>
        <v>252.49539407921907</v>
      </c>
      <c r="T116" s="59">
        <f t="shared" si="88"/>
        <v>263.36387286233929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49.457872327375775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49.457872327375775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9.4029999999999916</v>
      </c>
      <c r="AI116" s="13">
        <f>IF('Données projet'!$A$62&gt;35,AI115+AH116-AQ115,IF(A116&lt;'Données projet'!$A$62,$AF$205^A116,IF(A116='Données projet'!$A$62,'Données projet'!$B$62,AI115+AH116-AQ115)))</f>
        <v>469.6220000000003</v>
      </c>
      <c r="AJ116" s="13">
        <f>AI116*VLOOKUP('Données projet'!$B$10,Paramètres!$A$1:$I$89,3,0)*VLOOKUP('Données projet'!$B$10,Paramètres!$A$1:$I$89,5,0)</f>
        <v>424.91398560000027</v>
      </c>
      <c r="AK116" s="13">
        <f t="shared" si="89"/>
        <v>96.809694839252401</v>
      </c>
      <c r="AL116" s="20">
        <f t="shared" si="58"/>
        <v>908.66874343169832</v>
      </c>
      <c r="AM116" s="59">
        <f t="shared" si="59"/>
        <v>1202.0020767650317</v>
      </c>
      <c r="AN116" s="59">
        <f ca="1">AVERAGE(OFFSET($AM$3,0,0,'Données projet'!$E$10+1,1))-AVERAGE(OFFSET($H$3,0,0,'Données projet'!$E$10+1,1))</f>
        <v>370.05613271587413</v>
      </c>
      <c r="AO116" s="59">
        <f t="shared" si="90"/>
        <v>183.24480056442525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122.58952768900846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122.58952768900846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9.4029999999999916</v>
      </c>
      <c r="BD116" s="12">
        <f>IF('Données projet'!$A$88&gt;35,BD115+BC116-BL115,IF(A116&lt;'Données projet'!$A$88,$BA$205^A116,IF(A116='Données projet'!$A$88,'Données projet'!$B$88,BD115+BC116-BL115)))</f>
        <v>469.6220000000003</v>
      </c>
      <c r="BE116" s="13">
        <f>BD116*VLOOKUP('Données projet'!$B$11,Paramètres!$A$1:$I$89,3,0)*VLOOKUP('Données projet'!$B$11,Paramètres!$A$1:$I$89,5,0)</f>
        <v>476.1967080000004</v>
      </c>
      <c r="BF116" s="13">
        <f t="shared" si="91"/>
        <v>107.06416098502906</v>
      </c>
      <c r="BG116" s="20">
        <f t="shared" si="61"/>
        <v>1015.8460134822595</v>
      </c>
      <c r="BH116" s="59">
        <f t="shared" si="62"/>
        <v>1309.1793468155929</v>
      </c>
      <c r="BI116" s="59">
        <f ca="1">AVERAGE(OFFSET($BH$3,0,0,'Données projet'!$E$11+1,1))-AVERAGE(OFFSET($H$3,0,0,'Données projet'!$E$11+1,1))</f>
        <v>428.72181435671394</v>
      </c>
      <c r="BJ116" s="59">
        <f t="shared" si="92"/>
        <v>211.84936043087572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137.38481551354403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137.38481551354403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367.99999999999972</v>
      </c>
      <c r="BZ116" s="13">
        <f>BY116*VLOOKUP('Données projet'!$B$12,Paramètres!$A$1:$I$89,3,0)*VLOOKUP('Données projet'!$B$12,Paramètres!$A$1:$I$89,5,0)</f>
        <v>292.78079999999977</v>
      </c>
      <c r="CA116" s="13">
        <f t="shared" si="93"/>
        <v>69.660903052386217</v>
      </c>
      <c r="CB116" s="20">
        <f t="shared" si="64"/>
        <v>631.25263281623893</v>
      </c>
      <c r="CC116" s="59">
        <f t="shared" si="65"/>
        <v>924.58596614957219</v>
      </c>
      <c r="CD116" s="59">
        <f ca="1">AVERAGE(OFFSET($CC$3,0,0,'Données projet'!$E$12+1,1))-AVERAGE(OFFSET($H$3,0,0,'Données projet'!$E$12+1,1))</f>
        <v>296.737543892524</v>
      </c>
      <c r="CE116" s="59">
        <f t="shared" si="94"/>
        <v>296.38358650317099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32.061426072130622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32.061426072130622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7</v>
      </c>
      <c r="CT116" s="12">
        <f>IF('Données projet'!$A$140&gt;35,CT115+CS116-DB115,IF(A116&lt;'Données projet'!$A$140,$CQ$205^A116,IF(A116='Données projet'!$A$140,'Données projet'!$B$140,CT115+CS116-DB115)))</f>
        <v>486.99999999999994</v>
      </c>
      <c r="CU116" s="17">
        <f>CT116*VLOOKUP('Données projet'!$B$13,Paramètres!$A$1:$I$89,3,0)*VLOOKUP('Données projet'!$B$13,Paramètres!$A$1:$I$89,5,0)</f>
        <v>417.84599999999995</v>
      </c>
      <c r="CV116" s="13">
        <f t="shared" si="95"/>
        <v>95.385425758311655</v>
      </c>
      <c r="CW116" s="20">
        <f t="shared" si="67"/>
        <v>893.87806652905931</v>
      </c>
      <c r="CX116" s="59">
        <f t="shared" si="68"/>
        <v>1187.2113998623927</v>
      </c>
      <c r="CY116" s="59">
        <f ca="1">AVERAGE(OFFSET($CX$3,0,0,'Données projet'!$E$13+1,1))-AVERAGE(OFFSET($H$3,0,0,'Données projet'!$E$13+1,1))</f>
        <v>391.93999504334352</v>
      </c>
      <c r="CZ116" s="59">
        <f t="shared" si="96"/>
        <v>215.4484906985528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126.7974600658397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126.7974600658397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367.99999999999972</v>
      </c>
      <c r="DP116" s="17">
        <f>DO116*VLOOKUP('Données projet'!$B$14,Paramètres!$A$1:$I$89,3,0)*VLOOKUP('Données projet'!$B$14,Paramètres!$A$1:$I$89,5,0)</f>
        <v>269.8175999999998</v>
      </c>
      <c r="DQ116" s="13">
        <f t="shared" si="97"/>
        <v>64.810557882019467</v>
      </c>
      <c r="DR116" s="20">
        <f t="shared" si="70"/>
        <v>582.81070831118348</v>
      </c>
      <c r="DS116" s="59">
        <f t="shared" si="71"/>
        <v>876.14404164451685</v>
      </c>
      <c r="DT116" s="59">
        <f ca="1">AVERAGE(OFFSET($DS$3,0,0,'Données projet'!$E$14+1,1))-AVERAGE(OFFSET($H$3,0,0,'Données projet'!$E$14+1,1))</f>
        <v>267.92147257573157</v>
      </c>
      <c r="DU116" s="59">
        <f t="shared" si="98"/>
        <v>269.06662611892438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23.971935661034422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23.971935661034422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0.8600000000003547</v>
      </c>
      <c r="EK116" s="17">
        <f>EJ116*VLOOKUP('Données projet'!$B$15,Paramètres!$A$1:$I$89,3,0)*VLOOKUP('Données projet'!$B$15,Paramètres!$A$1:$I$89,5,0)</f>
        <v>0.48074000000019829</v>
      </c>
      <c r="EL116" s="13">
        <f t="shared" si="99"/>
        <v>0.24126147010950588</v>
      </c>
      <c r="EM116" s="20">
        <f t="shared" si="73"/>
        <v>1.2574858937744013</v>
      </c>
      <c r="EN116" s="59">
        <f t="shared" si="74"/>
        <v>294.59081922710772</v>
      </c>
      <c r="EO116" s="59">
        <f ca="1">AVERAGE(OFFSET($EN$3,0,0,'Données projet'!$E$15+1,1))-AVERAGE(OFFSET($H$3,0,0,'Données projet'!$E$15+1,1))</f>
        <v>326.29985515186428</v>
      </c>
      <c r="EP116" s="59">
        <f t="shared" si="100"/>
        <v>437.68177084535927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117.88208379275366</v>
      </c>
      <c r="EW116" s="21">
        <f>EXP(-LN(2)/25)*EW115+(1-EXP(-LN(2)/25))/(LN(2)/25)*Calculateur!ER116*Calculateur!ET116*VLOOKUP('Données projet'!$B$15,Paramètres!$A$1:$I$89,3,0)*0.475*44/12</f>
        <v>5.0638902877776495</v>
      </c>
      <c r="EX116" s="21">
        <f>EXP(-LN(2)/2)*EX115+(1-EXP(-LN(2)/2))/(LN(2)/2)*ER116*EU116*VLOOKUP('Données projet'!$B$15,Paramètres!$A$1:$I$89,3,0)*0.475*44/12</f>
        <v>2.3792509802635885E-13</v>
      </c>
      <c r="EY116" s="22">
        <f t="shared" si="75"/>
        <v>122.94597408053156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1.7053025658242404E-13</v>
      </c>
      <c r="FF116" s="17">
        <f>FE116*VLOOKUP('Données projet'!$B$16,Paramètres!$A$1:$I$89,3,0)*VLOOKUP('Données projet'!$B$16,Paramètres!$A$1:$I$89,5,0)</f>
        <v>9.7631982498569413E-14</v>
      </c>
      <c r="FG116" s="13">
        <f t="shared" si="101"/>
        <v>1.4708068762530911E-12</v>
      </c>
      <c r="FH116" s="20">
        <f t="shared" si="76"/>
        <v>2.7316976789924749E-12</v>
      </c>
      <c r="FI116" s="59">
        <f t="shared" si="77"/>
        <v>293.33333333333604</v>
      </c>
      <c r="FJ116" s="59">
        <f ca="1">AVERAGE(OFFSET($FI$3,0,0,'Données projet'!$E$16+1,1))-AVERAGE(OFFSET($H$3,0,0,'Données projet'!$E$16+1,1))</f>
        <v>211.14768428403215</v>
      </c>
      <c r="FK116" s="59">
        <f t="shared" si="102"/>
        <v>350.7800157534798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16.050162033998731</v>
      </c>
      <c r="FR116" s="21">
        <f>EXP(-LN(2)/25)*FR115+(1-EXP(-LN(2)/25))/(LN(2)/25)*Calculateur!FM116*Calculateur!FO116*VLOOKUP('Données projet'!$B$16,Paramètres!$A$1:$I$89,3,0)*0.475*44/12</f>
        <v>2.1542897877625675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18.2044518217613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99.59039999999996</v>
      </c>
      <c r="D117" s="11">
        <f t="shared" si="86"/>
        <v>26.864392698869324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976.14225942986832</v>
      </c>
      <c r="H117" s="66">
        <f t="shared" si="56"/>
        <v>513.5754306171973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259.99999999999983</v>
      </c>
      <c r="O117" s="13">
        <f>N117*VLOOKUP('Données projet'!$B$9,Paramètres!$A$1:$I$89,3,0)*VLOOKUP('Données projet'!$B$9,Paramètres!$A$1:$I$89,5,0)</f>
        <v>227.13599999999985</v>
      </c>
      <c r="P117" s="13">
        <f t="shared" si="87"/>
        <v>55.662966886685133</v>
      </c>
      <c r="Q117" s="20">
        <f t="shared" si="107"/>
        <v>492.5415339943097</v>
      </c>
      <c r="R117" s="59">
        <f t="shared" si="55"/>
        <v>785.87486732764296</v>
      </c>
      <c r="S117" s="59">
        <f ca="1">AVERAGE(OFFSET($R$3,0,0,'Données projet'!$E$9+1,1))-AVERAGE(OFFSET($H$3,0,0,'Données projet'!$E$9+1,1))</f>
        <v>252.49539407921907</v>
      </c>
      <c r="T117" s="59">
        <f t="shared" si="88"/>
        <v>263.36387286233929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48.488033617359378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48.488033617359378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9.4029999999999916</v>
      </c>
      <c r="AI117" s="13">
        <f>IF('Données projet'!$A$62&gt;35,AI116+AH117-AQ116,IF(A117&lt;'Données projet'!$A$62,$AF$205^A117,IF(A117='Données projet'!$A$62,'Données projet'!$B$62,AI116+AH117-AQ116)))</f>
        <v>479.02500000000032</v>
      </c>
      <c r="AJ117" s="13">
        <f>AI117*VLOOKUP('Données projet'!$B$10,Paramètres!$A$1:$I$89,3,0)*VLOOKUP('Données projet'!$B$10,Paramètres!$A$1:$I$89,5,0)</f>
        <v>433.42182000000025</v>
      </c>
      <c r="AK117" s="13">
        <f t="shared" si="89"/>
        <v>98.520458096711138</v>
      </c>
      <c r="AL117" s="20">
        <f t="shared" si="58"/>
        <v>926.46613435177221</v>
      </c>
      <c r="AM117" s="59">
        <f t="shared" si="59"/>
        <v>1219.7994676851056</v>
      </c>
      <c r="AN117" s="59">
        <f ca="1">AVERAGE(OFFSET($AM$3,0,0,'Données projet'!$E$10+1,1))-AVERAGE(OFFSET($H$3,0,0,'Données projet'!$E$10+1,1))</f>
        <v>370.05613271587413</v>
      </c>
      <c r="AO117" s="59">
        <f t="shared" si="90"/>
        <v>183.24480056442525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120.18562182325576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120.18562182325576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9.4029999999999916</v>
      </c>
      <c r="BD117" s="12">
        <f>IF('Données projet'!$A$88&gt;35,BD116+BC117-BL116,IF(A117&lt;'Données projet'!$A$88,$BA$205^A117,IF(A117='Données projet'!$A$88,'Données projet'!$B$88,BD116+BC117-BL116)))</f>
        <v>479.02500000000032</v>
      </c>
      <c r="BE117" s="13">
        <f>BD117*VLOOKUP('Données projet'!$B$11,Paramètres!$A$1:$I$89,3,0)*VLOOKUP('Données projet'!$B$11,Paramètres!$A$1:$I$89,5,0)</f>
        <v>485.73135000000036</v>
      </c>
      <c r="BF117" s="13">
        <f t="shared" si="91"/>
        <v>108.95613505960884</v>
      </c>
      <c r="BG117" s="20">
        <f t="shared" si="61"/>
        <v>1035.7473698121528</v>
      </c>
      <c r="BH117" s="59">
        <f t="shared" si="62"/>
        <v>1329.080703145486</v>
      </c>
      <c r="BI117" s="59">
        <f ca="1">AVERAGE(OFFSET($BH$3,0,0,'Données projet'!$E$11+1,1))-AVERAGE(OFFSET($H$3,0,0,'Données projet'!$E$11+1,1))</f>
        <v>428.72181435671394</v>
      </c>
      <c r="BJ117" s="59">
        <f t="shared" si="92"/>
        <v>211.84936043087572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134.69078307778668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134.69078307778668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367.99999999999972</v>
      </c>
      <c r="BZ117" s="13">
        <f>BY117*VLOOKUP('Données projet'!$B$12,Paramètres!$A$1:$I$89,3,0)*VLOOKUP('Données projet'!$B$12,Paramètres!$A$1:$I$89,5,0)</f>
        <v>292.78079999999977</v>
      </c>
      <c r="CA117" s="13">
        <f t="shared" si="93"/>
        <v>69.660903052386217</v>
      </c>
      <c r="CB117" s="20">
        <f t="shared" si="64"/>
        <v>631.25263281623893</v>
      </c>
      <c r="CC117" s="59">
        <f t="shared" si="65"/>
        <v>924.58596614957219</v>
      </c>
      <c r="CD117" s="59">
        <f ca="1">AVERAGE(OFFSET($CC$3,0,0,'Données projet'!$E$12+1,1))-AVERAGE(OFFSET($H$3,0,0,'Données projet'!$E$12+1,1))</f>
        <v>296.737543892524</v>
      </c>
      <c r="CE117" s="59">
        <f t="shared" si="94"/>
        <v>296.38358650317099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31.432721062395096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31.432721062395096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7</v>
      </c>
      <c r="CT117" s="12">
        <f>IF('Données projet'!$A$140&gt;35,CT116+CS117-DB116,IF(A117&lt;'Données projet'!$A$140,$CQ$205^A117,IF(A117='Données projet'!$A$140,'Données projet'!$B$140,CT116+CS117-DB116)))</f>
        <v>493.99999999999994</v>
      </c>
      <c r="CU117" s="17">
        <f>CT117*VLOOKUP('Données projet'!$B$13,Paramètres!$A$1:$I$89,3,0)*VLOOKUP('Données projet'!$B$13,Paramètres!$A$1:$I$89,5,0)</f>
        <v>423.85199999999998</v>
      </c>
      <c r="CV117" s="13">
        <f t="shared" si="95"/>
        <v>96.595871362472579</v>
      </c>
      <c r="CW117" s="20">
        <f t="shared" si="67"/>
        <v>906.44670928963967</v>
      </c>
      <c r="CX117" s="59">
        <f t="shared" si="68"/>
        <v>1199.780042622973</v>
      </c>
      <c r="CY117" s="59">
        <f ca="1">AVERAGE(OFFSET($CX$3,0,0,'Données projet'!$E$13+1,1))-AVERAGE(OFFSET($H$3,0,0,'Données projet'!$E$13+1,1))</f>
        <v>391.93999504334352</v>
      </c>
      <c r="CZ117" s="59">
        <f t="shared" si="96"/>
        <v>215.4484906985528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124.31103921276265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124.31103921276265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367.99999999999972</v>
      </c>
      <c r="DP117" s="17">
        <f>DO117*VLOOKUP('Données projet'!$B$14,Paramètres!$A$1:$I$89,3,0)*VLOOKUP('Données projet'!$B$14,Paramètres!$A$1:$I$89,5,0)</f>
        <v>269.8175999999998</v>
      </c>
      <c r="DQ117" s="13">
        <f t="shared" si="97"/>
        <v>64.810557882019467</v>
      </c>
      <c r="DR117" s="20">
        <f t="shared" si="70"/>
        <v>582.81070831118348</v>
      </c>
      <c r="DS117" s="59">
        <f t="shared" si="71"/>
        <v>876.14404164451685</v>
      </c>
      <c r="DT117" s="59">
        <f ca="1">AVERAGE(OFFSET($DS$3,0,0,'Données projet'!$E$14+1,1))-AVERAGE(OFFSET($H$3,0,0,'Données projet'!$E$14+1,1))</f>
        <v>267.92147257573157</v>
      </c>
      <c r="DU117" s="59">
        <f t="shared" si="98"/>
        <v>269.06662611892438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23.501860624158542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23.501860624158542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0.8600000000003547</v>
      </c>
      <c r="EK117" s="17">
        <f>EJ117*VLOOKUP('Données projet'!$B$15,Paramètres!$A$1:$I$89,3,0)*VLOOKUP('Données projet'!$B$15,Paramètres!$A$1:$I$89,5,0)</f>
        <v>0.48074000000019829</v>
      </c>
      <c r="EL117" s="13">
        <f t="shared" si="99"/>
        <v>0.24126147010950588</v>
      </c>
      <c r="EM117" s="20">
        <f t="shared" si="73"/>
        <v>1.2574858937744013</v>
      </c>
      <c r="EN117" s="59">
        <f t="shared" si="74"/>
        <v>294.59081922710772</v>
      </c>
      <c r="EO117" s="59">
        <f ca="1">AVERAGE(OFFSET($EN$3,0,0,'Données projet'!$E$15+1,1))-AVERAGE(OFFSET($H$3,0,0,'Données projet'!$E$15+1,1))</f>
        <v>326.29985515186428</v>
      </c>
      <c r="EP117" s="59">
        <f t="shared" si="100"/>
        <v>437.68177084535927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115.57048803054924</v>
      </c>
      <c r="EW117" s="21">
        <f>EXP(-LN(2)/25)*EW116+(1-EXP(-LN(2)/25))/(LN(2)/25)*Calculateur!ER117*Calculateur!ET117*VLOOKUP('Données projet'!$B$15,Paramètres!$A$1:$I$89,3,0)*0.475*44/12</f>
        <v>4.9254179415599531</v>
      </c>
      <c r="EX117" s="21">
        <f>EXP(-LN(2)/2)*EX116+(1-EXP(-LN(2)/2))/(LN(2)/2)*ER117*EU117*VLOOKUP('Données projet'!$B$15,Paramètres!$A$1:$I$89,3,0)*0.475*44/12</f>
        <v>1.682384502289124E-13</v>
      </c>
      <c r="EY117" s="22">
        <f t="shared" si="75"/>
        <v>120.49590597210937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1.7053025658242404E-13</v>
      </c>
      <c r="FF117" s="17">
        <f>FE117*VLOOKUP('Données projet'!$B$16,Paramètres!$A$1:$I$89,3,0)*VLOOKUP('Données projet'!$B$16,Paramètres!$A$1:$I$89,5,0)</f>
        <v>9.7631982498569413E-14</v>
      </c>
      <c r="FG117" s="13">
        <f t="shared" si="101"/>
        <v>1.4708068762530911E-12</v>
      </c>
      <c r="FH117" s="20">
        <f t="shared" si="76"/>
        <v>2.7316976789924749E-12</v>
      </c>
      <c r="FI117" s="59">
        <f t="shared" si="77"/>
        <v>293.33333333333604</v>
      </c>
      <c r="FJ117" s="59">
        <f ca="1">AVERAGE(OFFSET($FI$3,0,0,'Données projet'!$E$16+1,1))-AVERAGE(OFFSET($H$3,0,0,'Données projet'!$E$16+1,1))</f>
        <v>211.14768428403215</v>
      </c>
      <c r="FK117" s="59">
        <f t="shared" si="102"/>
        <v>350.7800157534798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15.73542814614421</v>
      </c>
      <c r="FR117" s="21">
        <f>EXP(-LN(2)/25)*FR116+(1-EXP(-LN(2)/25))/(LN(2)/25)*Calculateur!FM117*Calculateur!FO117*VLOOKUP('Données projet'!$B$16,Paramètres!$A$1:$I$89,3,0)*0.475*44/12</f>
        <v>2.095380620227024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17.830808766371234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100.46399999999996</v>
      </c>
      <c r="D118" s="11">
        <f t="shared" si="86"/>
        <v>27.072509349827456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984.49235287586089</v>
      </c>
      <c r="H118" s="66">
        <f t="shared" si="56"/>
        <v>515.45942045094944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259.99999999999983</v>
      </c>
      <c r="O118" s="13">
        <f>N118*VLOOKUP('Données projet'!$B$9,Paramètres!$A$1:$I$89,3,0)*VLOOKUP('Données projet'!$B$9,Paramètres!$A$1:$I$89,5,0)</f>
        <v>227.13599999999985</v>
      </c>
      <c r="P118" s="13">
        <f t="shared" si="87"/>
        <v>55.662966886685133</v>
      </c>
      <c r="Q118" s="20">
        <f t="shared" si="107"/>
        <v>492.5415339943097</v>
      </c>
      <c r="R118" s="59">
        <f t="shared" si="55"/>
        <v>785.87486732764296</v>
      </c>
      <c r="S118" s="59">
        <f ca="1">AVERAGE(OFFSET($R$3,0,0,'Données projet'!$E$9+1,1))-AVERAGE(OFFSET($H$3,0,0,'Données projet'!$E$9+1,1))</f>
        <v>252.49539407921907</v>
      </c>
      <c r="T118" s="59">
        <f t="shared" si="88"/>
        <v>263.36387286233929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47.537212852903203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47.537212852903203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9.4029999999999916</v>
      </c>
      <c r="AI118" s="13">
        <f>IF('Données projet'!$A$62&gt;35,AI117+AH118-AQ117,IF(A118&lt;'Données projet'!$A$62,$AF$205^A118,IF(A118='Données projet'!$A$62,'Données projet'!$B$62,AI117+AH118-AQ117)))</f>
        <v>488.42800000000034</v>
      </c>
      <c r="AJ118" s="13">
        <f>AI118*VLOOKUP('Données projet'!$B$10,Paramètres!$A$1:$I$89,3,0)*VLOOKUP('Données projet'!$B$10,Paramètres!$A$1:$I$89,5,0)</f>
        <v>441.92965440000035</v>
      </c>
      <c r="AK118" s="13">
        <f t="shared" si="89"/>
        <v>100.22731668201004</v>
      </c>
      <c r="AL118" s="20">
        <f t="shared" si="58"/>
        <v>944.25672463450144</v>
      </c>
      <c r="AM118" s="59">
        <f t="shared" si="59"/>
        <v>1237.5900579678348</v>
      </c>
      <c r="AN118" s="59">
        <f ca="1">AVERAGE(OFFSET($AM$3,0,0,'Données projet'!$E$10+1,1))-AVERAGE(OFFSET($H$3,0,0,'Données projet'!$E$10+1,1))</f>
        <v>370.05613271587413</v>
      </c>
      <c r="AO118" s="59">
        <f t="shared" si="90"/>
        <v>183.24480056442525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117.82885508529266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117.82885508529266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9.4029999999999916</v>
      </c>
      <c r="BD118" s="12">
        <f>IF('Données projet'!$A$88&gt;35,BD117+BC118-BL117,IF(A118&lt;'Données projet'!$A$88,$BA$205^A118,IF(A118='Données projet'!$A$88,'Données projet'!$B$88,BD117+BC118-BL117)))</f>
        <v>488.42800000000034</v>
      </c>
      <c r="BE118" s="13">
        <f>BD118*VLOOKUP('Données projet'!$B$11,Paramètres!$A$1:$I$89,3,0)*VLOOKUP('Données projet'!$B$11,Paramètres!$A$1:$I$89,5,0)</f>
        <v>495.26599200000038</v>
      </c>
      <c r="BF118" s="13">
        <f t="shared" si="91"/>
        <v>110.84379086369486</v>
      </c>
      <c r="BG118" s="20">
        <f t="shared" si="61"/>
        <v>1055.6412051542693</v>
      </c>
      <c r="BH118" s="59">
        <f t="shared" si="62"/>
        <v>1348.9745384876026</v>
      </c>
      <c r="BI118" s="59">
        <f ca="1">AVERAGE(OFFSET($BH$3,0,0,'Données projet'!$E$11+1,1))-AVERAGE(OFFSET($H$3,0,0,'Données projet'!$E$11+1,1))</f>
        <v>428.72181435671394</v>
      </c>
      <c r="BJ118" s="59">
        <f t="shared" si="92"/>
        <v>211.84936043087572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132.049578974897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132.049578974897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367.99999999999972</v>
      </c>
      <c r="BZ118" s="13">
        <f>BY118*VLOOKUP('Données projet'!$B$12,Paramètres!$A$1:$I$89,3,0)*VLOOKUP('Données projet'!$B$12,Paramètres!$A$1:$I$89,5,0)</f>
        <v>292.78079999999977</v>
      </c>
      <c r="CA118" s="13">
        <f t="shared" si="93"/>
        <v>69.660903052386217</v>
      </c>
      <c r="CB118" s="20">
        <f t="shared" si="64"/>
        <v>631.25263281623893</v>
      </c>
      <c r="CC118" s="59">
        <f t="shared" si="65"/>
        <v>924.58596614957219</v>
      </c>
      <c r="CD118" s="59">
        <f ca="1">AVERAGE(OFFSET($CC$3,0,0,'Données projet'!$E$12+1,1))-AVERAGE(OFFSET($H$3,0,0,'Données projet'!$E$12+1,1))</f>
        <v>296.737543892524</v>
      </c>
      <c r="CE118" s="59">
        <f t="shared" si="94"/>
        <v>296.38358650317099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30.816344574428292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30.816344574428292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>
        <f>VLOOKUP(A118,'Données projet'!$A$139:$I$159,2,0)</f>
        <v>501</v>
      </c>
      <c r="CR118" s="12">
        <f>VLOOKUP(A118,'Données projet'!$A$139:$I$159,9,0)</f>
        <v>7</v>
      </c>
      <c r="CS118" s="12">
        <f t="array" ref="CS118">INDEX(CR:CR,MIN(IF(ISNUMBER(CR118:CR314),ROW(CR118:CR314),"")))</f>
        <v>7</v>
      </c>
      <c r="CT118" s="12">
        <f>IF('Données projet'!$A$140&gt;35,CT117+CS118-DB117,IF(A118&lt;'Données projet'!$A$140,$CQ$205^A118,IF(A118='Données projet'!$A$140,'Données projet'!$B$140,CT117+CS118-DB117)))</f>
        <v>500.99999999999994</v>
      </c>
      <c r="CU118" s="17">
        <f>CT118*VLOOKUP('Données projet'!$B$13,Paramètres!$A$1:$I$89,3,0)*VLOOKUP('Données projet'!$B$13,Paramètres!$A$1:$I$89,5,0)</f>
        <v>429.858</v>
      </c>
      <c r="CV118" s="13">
        <f t="shared" si="95"/>
        <v>97.804322041485804</v>
      </c>
      <c r="CW118" s="20">
        <f t="shared" si="67"/>
        <v>919.01187755558783</v>
      </c>
      <c r="CX118" s="59">
        <f t="shared" si="68"/>
        <v>1212.3452108889212</v>
      </c>
      <c r="CY118" s="59">
        <f ca="1">AVERAGE(OFFSET($CX$3,0,0,'Données projet'!$E$13+1,1))-AVERAGE(OFFSET($H$3,0,0,'Données projet'!$E$13+1,1))</f>
        <v>391.93999504334352</v>
      </c>
      <c r="CZ118" s="59">
        <f t="shared" si="96"/>
        <v>215.4484906985528</v>
      </c>
      <c r="DA118" s="15">
        <f>IF(ISNA(VLOOKUP(A118,'Données projet'!$A$139:$I$159,3,0)),0,VLOOKUP(A118,'Données projet'!$A$139:$I$159,3,0))</f>
        <v>19</v>
      </c>
      <c r="DB118" s="15">
        <f>IF(ISNA(VLOOKUP(A118,'Données projet'!$A$139:$I$159,4,0)),0,VLOOKUP(A118,'Données projet'!$A$139:$I$159,4,0))</f>
        <v>26</v>
      </c>
      <c r="DC118" s="16">
        <f>IF(ISNA(VLOOKUP(A118,'Données projet'!$A$139:$I$159,5,0)),0%,VLOOKUP(A118,'Données projet'!$A$139:$I$159,5,0)*VLOOKUP('Données projet'!$B$13,Paramètres!$A$1:$I$89,7,0))</f>
        <v>0.53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134.94361716615663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134.94361716615663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367.99999999999972</v>
      </c>
      <c r="DP118" s="17">
        <f>DO118*VLOOKUP('Données projet'!$B$14,Paramètres!$A$1:$I$89,3,0)*VLOOKUP('Données projet'!$B$14,Paramètres!$A$1:$I$89,5,0)</f>
        <v>269.8175999999998</v>
      </c>
      <c r="DQ118" s="13">
        <f t="shared" si="97"/>
        <v>64.810557882019467</v>
      </c>
      <c r="DR118" s="20">
        <f t="shared" si="70"/>
        <v>582.81070831118348</v>
      </c>
      <c r="DS118" s="59">
        <f t="shared" si="71"/>
        <v>876.14404164451685</v>
      </c>
      <c r="DT118" s="59">
        <f ca="1">AVERAGE(OFFSET($DS$3,0,0,'Données projet'!$E$14+1,1))-AVERAGE(OFFSET($H$3,0,0,'Données projet'!$E$14+1,1))</f>
        <v>267.92147257573157</v>
      </c>
      <c r="DU118" s="59">
        <f t="shared" si="98"/>
        <v>269.06662611892438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23.041003472038337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23.041003472038337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0.8600000000003547</v>
      </c>
      <c r="EK118" s="17">
        <f>EJ118*VLOOKUP('Données projet'!$B$15,Paramètres!$A$1:$I$89,3,0)*VLOOKUP('Données projet'!$B$15,Paramètres!$A$1:$I$89,5,0)</f>
        <v>0.48074000000019829</v>
      </c>
      <c r="EL118" s="13">
        <f t="shared" si="99"/>
        <v>0.24126147010950588</v>
      </c>
      <c r="EM118" s="20">
        <f t="shared" si="73"/>
        <v>1.2574858937744013</v>
      </c>
      <c r="EN118" s="59">
        <f t="shared" si="74"/>
        <v>294.59081922710772</v>
      </c>
      <c r="EO118" s="59">
        <f ca="1">AVERAGE(OFFSET($EN$3,0,0,'Données projet'!$E$15+1,1))-AVERAGE(OFFSET($H$3,0,0,'Données projet'!$E$15+1,1))</f>
        <v>326.29985515186428</v>
      </c>
      <c r="EP118" s="59">
        <f t="shared" si="100"/>
        <v>437.68177084535927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113.30422125130745</v>
      </c>
      <c r="EW118" s="21">
        <f>EXP(-LN(2)/25)*EW117+(1-EXP(-LN(2)/25))/(LN(2)/25)*Calculateur!ER118*Calculateur!ET118*VLOOKUP('Données projet'!$B$15,Paramètres!$A$1:$I$89,3,0)*0.475*44/12</f>
        <v>4.7907321289315234</v>
      </c>
      <c r="EX118" s="21">
        <f>EXP(-LN(2)/2)*EX117+(1-EXP(-LN(2)/2))/(LN(2)/2)*ER118*EU118*VLOOKUP('Données projet'!$B$15,Paramètres!$A$1:$I$89,3,0)*0.475*44/12</f>
        <v>1.1896254901317942E-13</v>
      </c>
      <c r="EY118" s="22">
        <f t="shared" si="75"/>
        <v>118.09495338023909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1.7053025658242404E-13</v>
      </c>
      <c r="FF118" s="17">
        <f>FE118*VLOOKUP('Données projet'!$B$16,Paramètres!$A$1:$I$89,3,0)*VLOOKUP('Données projet'!$B$16,Paramètres!$A$1:$I$89,5,0)</f>
        <v>9.7631982498569413E-14</v>
      </c>
      <c r="FG118" s="13">
        <f t="shared" si="101"/>
        <v>1.4708068762530911E-12</v>
      </c>
      <c r="FH118" s="20">
        <f t="shared" si="76"/>
        <v>2.7316976789924749E-12</v>
      </c>
      <c r="FI118" s="59">
        <f t="shared" si="77"/>
        <v>293.33333333333604</v>
      </c>
      <c r="FJ118" s="59">
        <f ca="1">AVERAGE(OFFSET($FI$3,0,0,'Données projet'!$E$16+1,1))-AVERAGE(OFFSET($H$3,0,0,'Données projet'!$E$16+1,1))</f>
        <v>211.14768428403215</v>
      </c>
      <c r="FK118" s="59">
        <f t="shared" si="102"/>
        <v>350.7800157534798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15.426865997861801</v>
      </c>
      <c r="FR118" s="21">
        <f>EXP(-LN(2)/25)*FR117+(1-EXP(-LN(2)/25))/(LN(2)/25)*Calculateur!FM118*Calculateur!FO118*VLOOKUP('Données projet'!$B$16,Paramètres!$A$1:$I$89,3,0)*0.475*44/12</f>
        <v>2.0380823269756383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17.46494832483744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101.33759999999995</v>
      </c>
      <c r="D119" s="11">
        <f t="shared" si="86"/>
        <v>27.28041545430554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992.84082105077925</v>
      </c>
      <c r="H119" s="66">
        <f t="shared" si="56"/>
        <v>517.34304358291536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259.99999999999983</v>
      </c>
      <c r="O119" s="13">
        <f>N119*VLOOKUP('Données projet'!$B$9,Paramètres!$A$1:$I$89,3,0)*VLOOKUP('Données projet'!$B$9,Paramètres!$A$1:$I$89,5,0)</f>
        <v>227.13599999999985</v>
      </c>
      <c r="P119" s="13">
        <f t="shared" si="87"/>
        <v>55.662966886685133</v>
      </c>
      <c r="Q119" s="20">
        <f t="shared" si="107"/>
        <v>492.5415339943097</v>
      </c>
      <c r="R119" s="59">
        <f t="shared" si="55"/>
        <v>785.87486732764296</v>
      </c>
      <c r="S119" s="59">
        <f ca="1">AVERAGE(OFFSET($R$3,0,0,'Données projet'!$E$9+1,1))-AVERAGE(OFFSET($H$3,0,0,'Données projet'!$E$9+1,1))</f>
        <v>252.49539407921907</v>
      </c>
      <c r="T119" s="59">
        <f t="shared" si="88"/>
        <v>263.36387286233929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46.605037103694606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46.605037103694606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9.4029999999999916</v>
      </c>
      <c r="AI119" s="13">
        <f>IF('Données projet'!$A$62&gt;35,AI118+AH119-AQ118,IF(A119&lt;'Données projet'!$A$62,$AF$205^A119,IF(A119='Données projet'!$A$62,'Données projet'!$B$62,AI118+AH119-AQ118)))</f>
        <v>497.83100000000036</v>
      </c>
      <c r="AJ119" s="13">
        <f>AI119*VLOOKUP('Données projet'!$B$10,Paramètres!$A$1:$I$89,3,0)*VLOOKUP('Données projet'!$B$10,Paramètres!$A$1:$I$89,5,0)</f>
        <v>450.43748880000032</v>
      </c>
      <c r="AK119" s="13">
        <f t="shared" si="89"/>
        <v>101.93035443256859</v>
      </c>
      <c r="AL119" s="20">
        <f t="shared" si="58"/>
        <v>962.04066029672424</v>
      </c>
      <c r="AM119" s="59">
        <f t="shared" si="59"/>
        <v>1255.3739936300576</v>
      </c>
      <c r="AN119" s="59">
        <f ca="1">AVERAGE(OFFSET($AM$3,0,0,'Données projet'!$E$10+1,1))-AVERAGE(OFFSET($H$3,0,0,'Données projet'!$E$10+1,1))</f>
        <v>370.05613271587413</v>
      </c>
      <c r="AO119" s="59">
        <f t="shared" si="90"/>
        <v>183.24480056442525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115.51830310557524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115.51830310557524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9.4029999999999916</v>
      </c>
      <c r="BD119" s="12">
        <f>IF('Données projet'!$A$88&gt;35,BD118+BC119-BL118,IF(A119&lt;'Données projet'!$A$88,$BA$205^A119,IF(A119='Données projet'!$A$88,'Données projet'!$B$88,BD118+BC119-BL118)))</f>
        <v>497.83100000000036</v>
      </c>
      <c r="BE119" s="13">
        <f>BD119*VLOOKUP('Données projet'!$B$11,Paramètres!$A$1:$I$89,3,0)*VLOOKUP('Données projet'!$B$11,Paramètres!$A$1:$I$89,5,0)</f>
        <v>504.80063400000034</v>
      </c>
      <c r="BF119" s="13">
        <f t="shared" si="91"/>
        <v>112.72722111509829</v>
      </c>
      <c r="BG119" s="20">
        <f t="shared" si="61"/>
        <v>1075.5276809921299</v>
      </c>
      <c r="BH119" s="59">
        <f t="shared" si="62"/>
        <v>1368.8610143254632</v>
      </c>
      <c r="BI119" s="59">
        <f ca="1">AVERAGE(OFFSET($BH$3,0,0,'Données projet'!$E$11+1,1))-AVERAGE(OFFSET($H$3,0,0,'Données projet'!$E$11+1,1))</f>
        <v>428.72181435671394</v>
      </c>
      <c r="BJ119" s="59">
        <f t="shared" si="92"/>
        <v>211.84936043087572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129.46016727348956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129.46016727348956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367.99999999999972</v>
      </c>
      <c r="BZ119" s="13">
        <f>BY119*VLOOKUP('Données projet'!$B$12,Paramètres!$A$1:$I$89,3,0)*VLOOKUP('Données projet'!$B$12,Paramètres!$A$1:$I$89,5,0)</f>
        <v>292.78079999999977</v>
      </c>
      <c r="CA119" s="13">
        <f t="shared" si="93"/>
        <v>69.660903052386217</v>
      </c>
      <c r="CB119" s="20">
        <f t="shared" si="64"/>
        <v>631.25263281623893</v>
      </c>
      <c r="CC119" s="59">
        <f t="shared" si="65"/>
        <v>924.58596614957219</v>
      </c>
      <c r="CD119" s="59">
        <f ca="1">AVERAGE(OFFSET($CC$3,0,0,'Données projet'!$E$12+1,1))-AVERAGE(OFFSET($H$3,0,0,'Données projet'!$E$12+1,1))</f>
        <v>296.737543892524</v>
      </c>
      <c r="CE119" s="59">
        <f t="shared" si="94"/>
        <v>296.38358650317099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30.212054853437984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30.212054853437984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474.99999999999994</v>
      </c>
      <c r="CU119" s="17">
        <f>CT119*VLOOKUP('Données projet'!$B$13,Paramètres!$A$1:$I$89,3,0)*VLOOKUP('Données projet'!$B$13,Paramètres!$A$1:$I$89,5,0)</f>
        <v>407.55</v>
      </c>
      <c r="CV119" s="13">
        <f t="shared" si="95"/>
        <v>93.305642095357683</v>
      </c>
      <c r="CW119" s="20">
        <f t="shared" si="67"/>
        <v>872.32357664941446</v>
      </c>
      <c r="CX119" s="59">
        <f t="shared" si="68"/>
        <v>1165.6569099827477</v>
      </c>
      <c r="CY119" s="59">
        <f ca="1">AVERAGE(OFFSET($CX$3,0,0,'Données projet'!$E$13+1,1))-AVERAGE(OFFSET($H$3,0,0,'Données projet'!$E$13+1,1))</f>
        <v>391.93999504334352</v>
      </c>
      <c r="CZ119" s="59">
        <f t="shared" si="96"/>
        <v>215.4484906985528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132.29745514100759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132.29745514100759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367.99999999999972</v>
      </c>
      <c r="DP119" s="17">
        <f>DO119*VLOOKUP('Données projet'!$B$14,Paramètres!$A$1:$I$89,3,0)*VLOOKUP('Données projet'!$B$14,Paramètres!$A$1:$I$89,5,0)</f>
        <v>269.8175999999998</v>
      </c>
      <c r="DQ119" s="13">
        <f t="shared" si="97"/>
        <v>64.810557882019467</v>
      </c>
      <c r="DR119" s="20">
        <f t="shared" si="70"/>
        <v>582.81070831118348</v>
      </c>
      <c r="DS119" s="59">
        <f t="shared" si="71"/>
        <v>876.14404164451685</v>
      </c>
      <c r="DT119" s="59">
        <f ca="1">AVERAGE(OFFSET($DS$3,0,0,'Données projet'!$E$14+1,1))-AVERAGE(OFFSET($H$3,0,0,'Données projet'!$E$14+1,1))</f>
        <v>267.92147257573157</v>
      </c>
      <c r="DU119" s="59">
        <f t="shared" si="98"/>
        <v>269.06662611892438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22.589183447576104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22.589183447576104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0.8600000000003547</v>
      </c>
      <c r="EK119" s="17">
        <f>EJ119*VLOOKUP('Données projet'!$B$15,Paramètres!$A$1:$I$89,3,0)*VLOOKUP('Données projet'!$B$15,Paramètres!$A$1:$I$89,5,0)</f>
        <v>0.48074000000019829</v>
      </c>
      <c r="EL119" s="13">
        <f t="shared" si="99"/>
        <v>0.24126147010950588</v>
      </c>
      <c r="EM119" s="20">
        <f t="shared" si="73"/>
        <v>1.2574858937744013</v>
      </c>
      <c r="EN119" s="59">
        <f t="shared" si="74"/>
        <v>294.59081922710772</v>
      </c>
      <c r="EO119" s="59">
        <f ca="1">AVERAGE(OFFSET($EN$3,0,0,'Données projet'!$E$15+1,1))-AVERAGE(OFFSET($H$3,0,0,'Données projet'!$E$15+1,1))</f>
        <v>326.29985515186428</v>
      </c>
      <c r="EP119" s="59">
        <f t="shared" si="100"/>
        <v>437.68177084535927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111.08239458132036</v>
      </c>
      <c r="EW119" s="21">
        <f>EXP(-LN(2)/25)*EW118+(1-EXP(-LN(2)/25))/(LN(2)/25)*Calculateur!ER119*Calculateur!ET119*VLOOKUP('Données projet'!$B$15,Paramètres!$A$1:$I$89,3,0)*0.475*44/12</f>
        <v>4.6597293069322374</v>
      </c>
      <c r="EX119" s="21">
        <f>EXP(-LN(2)/2)*EX118+(1-EXP(-LN(2)/2))/(LN(2)/2)*ER119*EU119*VLOOKUP('Données projet'!$B$15,Paramètres!$A$1:$I$89,3,0)*0.475*44/12</f>
        <v>8.4119225114456201E-14</v>
      </c>
      <c r="EY119" s="22">
        <f t="shared" si="75"/>
        <v>115.74212388825268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1.7053025658242404E-13</v>
      </c>
      <c r="FF119" s="17">
        <f>FE119*VLOOKUP('Données projet'!$B$16,Paramètres!$A$1:$I$89,3,0)*VLOOKUP('Données projet'!$B$16,Paramètres!$A$1:$I$89,5,0)</f>
        <v>9.7631982498569413E-14</v>
      </c>
      <c r="FG119" s="13">
        <f t="shared" si="101"/>
        <v>1.4708068762530911E-12</v>
      </c>
      <c r="FH119" s="20">
        <f t="shared" si="76"/>
        <v>2.7316976789924749E-12</v>
      </c>
      <c r="FI119" s="59">
        <f t="shared" si="77"/>
        <v>293.33333333333604</v>
      </c>
      <c r="FJ119" s="59">
        <f ca="1">AVERAGE(OFFSET($FI$3,0,0,'Données projet'!$E$16+1,1))-AVERAGE(OFFSET($H$3,0,0,'Données projet'!$E$16+1,1))</f>
        <v>211.14768428403215</v>
      </c>
      <c r="FK119" s="59">
        <f t="shared" si="102"/>
        <v>350.7800157534798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15.124354565102884</v>
      </c>
      <c r="FR119" s="21">
        <f>EXP(-LN(2)/25)*FR118+(1-EXP(-LN(2)/25))/(LN(2)/25)*Calculateur!FM119*Calculateur!FO119*VLOOKUP('Données projet'!$B$16,Paramètres!$A$1:$I$89,3,0)*0.475*44/12</f>
        <v>1.982350858566398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17.106705423669283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102.21119999999995</v>
      </c>
      <c r="D120" s="11">
        <f t="shared" si="86"/>
        <v>27.488113037666018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1001.1876795890006</v>
      </c>
      <c r="H120" s="66">
        <f t="shared" si="56"/>
        <v>519.22630354060152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259.99999999999983</v>
      </c>
      <c r="O120" s="13">
        <f>N120*VLOOKUP('Données projet'!$B$9,Paramètres!$A$1:$I$89,3,0)*VLOOKUP('Données projet'!$B$9,Paramètres!$A$1:$I$89,5,0)</f>
        <v>227.13599999999985</v>
      </c>
      <c r="P120" s="13">
        <f t="shared" si="87"/>
        <v>55.662966886685133</v>
      </c>
      <c r="Q120" s="20">
        <f t="shared" si="107"/>
        <v>492.5415339943097</v>
      </c>
      <c r="R120" s="59">
        <f t="shared" si="55"/>
        <v>785.87486732764296</v>
      </c>
      <c r="S120" s="59">
        <f ca="1">AVERAGE(OFFSET($R$3,0,0,'Données projet'!$E$9+1,1))-AVERAGE(OFFSET($H$3,0,0,'Données projet'!$E$9+1,1))</f>
        <v>252.49539407921907</v>
      </c>
      <c r="T120" s="59">
        <f t="shared" si="88"/>
        <v>263.36387286233929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45.69114075235693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45.69114075235693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9.4029999999999916</v>
      </c>
      <c r="AI120" s="13">
        <f>IF('Données projet'!$A$62&gt;35,AI119+AH120-AQ119,IF(A120&lt;'Données projet'!$A$62,$AF$205^A120,IF(A120='Données projet'!$A$62,'Données projet'!$B$62,AI119+AH120-AQ119)))</f>
        <v>507.23400000000038</v>
      </c>
      <c r="AJ120" s="13">
        <f>AI120*VLOOKUP('Données projet'!$B$10,Paramètres!$A$1:$I$89,3,0)*VLOOKUP('Données projet'!$B$10,Paramètres!$A$1:$I$89,5,0)</f>
        <v>458.94532320000036</v>
      </c>
      <c r="AK120" s="13">
        <f t="shared" si="89"/>
        <v>103.62965183753882</v>
      </c>
      <c r="AL120" s="20">
        <f t="shared" si="58"/>
        <v>979.81808152371411</v>
      </c>
      <c r="AM120" s="59">
        <f t="shared" si="59"/>
        <v>1273.1514148570475</v>
      </c>
      <c r="AN120" s="59">
        <f ca="1">AVERAGE(OFFSET($AM$3,0,0,'Données projet'!$E$10+1,1))-AVERAGE(OFFSET($H$3,0,0,'Données projet'!$E$10+1,1))</f>
        <v>370.05613271587413</v>
      </c>
      <c r="AO120" s="59">
        <f t="shared" si="90"/>
        <v>183.24480056442525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113.25305964088254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113.25305964088254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9.4029999999999916</v>
      </c>
      <c r="BD120" s="12">
        <f>IF('Données projet'!$A$88&gt;35,BD119+BC120-BL119,IF(A120&lt;'Données projet'!$A$88,$BA$205^A120,IF(A120='Données projet'!$A$88,'Données projet'!$B$88,BD119+BC120-BL119)))</f>
        <v>507.23400000000038</v>
      </c>
      <c r="BE120" s="13">
        <f>BD120*VLOOKUP('Données projet'!$B$11,Paramètres!$A$1:$I$89,3,0)*VLOOKUP('Données projet'!$B$11,Paramètres!$A$1:$I$89,5,0)</f>
        <v>514.33527600000036</v>
      </c>
      <c r="BF120" s="13">
        <f t="shared" si="91"/>
        <v>114.6065148287007</v>
      </c>
      <c r="BG120" s="20">
        <f t="shared" si="61"/>
        <v>1095.4069523599876</v>
      </c>
      <c r="BH120" s="59">
        <f t="shared" si="62"/>
        <v>1388.7402856933209</v>
      </c>
      <c r="BI120" s="59">
        <f ca="1">AVERAGE(OFFSET($BH$3,0,0,'Données projet'!$E$11+1,1))-AVERAGE(OFFSET($H$3,0,0,'Données projet'!$E$11+1,1))</f>
        <v>428.72181435671394</v>
      </c>
      <c r="BJ120" s="59">
        <f t="shared" si="92"/>
        <v>211.84936043087572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126.92153235616152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126.92153235616152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367.99999999999972</v>
      </c>
      <c r="BZ120" s="13">
        <f>BY120*VLOOKUP('Données projet'!$B$12,Paramètres!$A$1:$I$89,3,0)*VLOOKUP('Données projet'!$B$12,Paramètres!$A$1:$I$89,5,0)</f>
        <v>292.78079999999977</v>
      </c>
      <c r="CA120" s="13">
        <f t="shared" si="93"/>
        <v>69.660903052386217</v>
      </c>
      <c r="CB120" s="20">
        <f t="shared" si="64"/>
        <v>631.25263281623893</v>
      </c>
      <c r="CC120" s="59">
        <f t="shared" si="65"/>
        <v>924.58596614957219</v>
      </c>
      <c r="CD120" s="59">
        <f ca="1">AVERAGE(OFFSET($CC$3,0,0,'Données projet'!$E$12+1,1))-AVERAGE(OFFSET($H$3,0,0,'Données projet'!$E$12+1,1))</f>
        <v>296.737543892524</v>
      </c>
      <c r="CE120" s="59">
        <f t="shared" si="94"/>
        <v>296.38358650317099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29.619614885295956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29.619614885295956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474.99999999999994</v>
      </c>
      <c r="CU120" s="17">
        <f>CT120*VLOOKUP('Données projet'!$B$13,Paramètres!$A$1:$I$89,3,0)*VLOOKUP('Données projet'!$B$13,Paramètres!$A$1:$I$89,5,0)</f>
        <v>407.55</v>
      </c>
      <c r="CV120" s="13">
        <f t="shared" si="95"/>
        <v>93.305642095357683</v>
      </c>
      <c r="CW120" s="20">
        <f t="shared" si="67"/>
        <v>872.32357664941446</v>
      </c>
      <c r="CX120" s="59">
        <f t="shared" si="68"/>
        <v>1165.6569099827477</v>
      </c>
      <c r="CY120" s="59">
        <f ca="1">AVERAGE(OFFSET($CX$3,0,0,'Données projet'!$E$13+1,1))-AVERAGE(OFFSET($H$3,0,0,'Données projet'!$E$13+1,1))</f>
        <v>391.93999504334352</v>
      </c>
      <c r="CZ120" s="59">
        <f t="shared" si="96"/>
        <v>215.4484906985528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129.70318273917223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129.70318273917223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367.99999999999972</v>
      </c>
      <c r="DP120" s="17">
        <f>DO120*VLOOKUP('Données projet'!$B$14,Paramètres!$A$1:$I$89,3,0)*VLOOKUP('Données projet'!$B$14,Paramètres!$A$1:$I$89,5,0)</f>
        <v>269.8175999999998</v>
      </c>
      <c r="DQ120" s="13">
        <f t="shared" si="97"/>
        <v>64.810557882019467</v>
      </c>
      <c r="DR120" s="20">
        <f t="shared" si="70"/>
        <v>582.81070831118348</v>
      </c>
      <c r="DS120" s="59">
        <f t="shared" si="71"/>
        <v>876.14404164451685</v>
      </c>
      <c r="DT120" s="59">
        <f ca="1">AVERAGE(OFFSET($DS$3,0,0,'Données projet'!$E$14+1,1))-AVERAGE(OFFSET($H$3,0,0,'Données projet'!$E$14+1,1))</f>
        <v>267.92147257573157</v>
      </c>
      <c r="DU120" s="59">
        <f t="shared" si="98"/>
        <v>269.06662611892438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22.146223338210572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22.146223338210572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0.8600000000003547</v>
      </c>
      <c r="EK120" s="17">
        <f>EJ120*VLOOKUP('Données projet'!$B$15,Paramètres!$A$1:$I$89,3,0)*VLOOKUP('Données projet'!$B$15,Paramètres!$A$1:$I$89,5,0)</f>
        <v>0.48074000000019829</v>
      </c>
      <c r="EL120" s="13">
        <f t="shared" si="99"/>
        <v>0.24126147010950588</v>
      </c>
      <c r="EM120" s="20">
        <f t="shared" si="73"/>
        <v>1.2574858937744013</v>
      </c>
      <c r="EN120" s="59">
        <f t="shared" si="74"/>
        <v>294.59081922710772</v>
      </c>
      <c r="EO120" s="59">
        <f ca="1">AVERAGE(OFFSET($EN$3,0,0,'Données projet'!$E$15+1,1))-AVERAGE(OFFSET($H$3,0,0,'Données projet'!$E$15+1,1))</f>
        <v>326.29985515186428</v>
      </c>
      <c r="EP120" s="59">
        <f t="shared" si="100"/>
        <v>437.68177084535927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108.90413657715125</v>
      </c>
      <c r="EW120" s="21">
        <f>EXP(-LN(2)/25)*EW119+(1-EXP(-LN(2)/25))/(LN(2)/25)*Calculateur!ER120*Calculateur!ET120*VLOOKUP('Données projet'!$B$15,Paramètres!$A$1:$I$89,3,0)*0.475*44/12</f>
        <v>4.5323087639896613</v>
      </c>
      <c r="EX120" s="21">
        <f>EXP(-LN(2)/2)*EX119+(1-EXP(-LN(2)/2))/(LN(2)/2)*ER120*EU120*VLOOKUP('Données projet'!$B$15,Paramètres!$A$1:$I$89,3,0)*0.475*44/12</f>
        <v>5.9481274506589712E-14</v>
      </c>
      <c r="EY120" s="22">
        <f t="shared" si="75"/>
        <v>113.43644534114097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1.7053025658242404E-13</v>
      </c>
      <c r="FF120" s="17">
        <f>FE120*VLOOKUP('Données projet'!$B$16,Paramètres!$A$1:$I$89,3,0)*VLOOKUP('Données projet'!$B$16,Paramètres!$A$1:$I$89,5,0)</f>
        <v>9.7631982498569413E-14</v>
      </c>
      <c r="FG120" s="13">
        <f t="shared" si="101"/>
        <v>1.4708068762530911E-12</v>
      </c>
      <c r="FH120" s="20">
        <f t="shared" si="76"/>
        <v>2.7316976789924749E-12</v>
      </c>
      <c r="FI120" s="59">
        <f t="shared" si="77"/>
        <v>293.33333333333604</v>
      </c>
      <c r="FJ120" s="59">
        <f ca="1">AVERAGE(OFFSET($FI$3,0,0,'Données projet'!$E$16+1,1))-AVERAGE(OFFSET($H$3,0,0,'Données projet'!$E$16+1,1))</f>
        <v>211.14768428403215</v>
      </c>
      <c r="FK120" s="59">
        <f t="shared" si="102"/>
        <v>350.7800157534798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14.827775197026613</v>
      </c>
      <c r="FR120" s="21">
        <f>EXP(-LN(2)/25)*FR119+(1-EXP(-LN(2)/25))/(LN(2)/25)*Calculateur!FM120*Calculateur!FO120*VLOOKUP('Données projet'!$B$16,Paramètres!$A$1:$I$89,3,0)*0.475*44/12</f>
        <v>1.9281433700915989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16.755918567118211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103.08479999999994</v>
      </c>
      <c r="D121" s="11">
        <f t="shared" si="86"/>
        <v>27.69560408865161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1009.5329438422226</v>
      </c>
      <c r="H121" s="66">
        <f t="shared" si="56"/>
        <v>521.10920378773471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259.99999999999983</v>
      </c>
      <c r="O121" s="13">
        <f>N121*VLOOKUP('Données projet'!$B$9,Paramètres!$A$1:$I$89,3,0)*VLOOKUP('Données projet'!$B$9,Paramètres!$A$1:$I$89,5,0)</f>
        <v>227.13599999999985</v>
      </c>
      <c r="P121" s="13">
        <f t="shared" si="87"/>
        <v>55.662966886685133</v>
      </c>
      <c r="Q121" s="20">
        <f t="shared" si="107"/>
        <v>492.5415339943097</v>
      </c>
      <c r="R121" s="59">
        <f t="shared" si="55"/>
        <v>785.87486732764296</v>
      </c>
      <c r="S121" s="59">
        <f ca="1">AVERAGE(OFFSET($R$3,0,0,'Données projet'!$E$9+1,1))-AVERAGE(OFFSET($H$3,0,0,'Données projet'!$E$9+1,1))</f>
        <v>252.49539407921907</v>
      </c>
      <c r="T121" s="59">
        <f t="shared" si="88"/>
        <v>263.36387286233929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44.795165351047252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44.795165351047252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9.4029999999999916</v>
      </c>
      <c r="AI121" s="13">
        <f>IF('Données projet'!$A$62&gt;35,AI120+AH121-AQ120,IF(A121&lt;'Données projet'!$A$62,$AF$205^A121,IF(A121='Données projet'!$A$62,'Données projet'!$B$62,AI120+AH121-AQ120)))</f>
        <v>516.6370000000004</v>
      </c>
      <c r="AJ121" s="13">
        <f>AI121*VLOOKUP('Données projet'!$B$10,Paramètres!$A$1:$I$89,3,0)*VLOOKUP('Données projet'!$B$10,Paramètres!$A$1:$I$89,5,0)</f>
        <v>467.45315760000034</v>
      </c>
      <c r="AK121" s="13">
        <f t="shared" si="89"/>
        <v>105.3252862310737</v>
      </c>
      <c r="AL121" s="20">
        <f t="shared" si="58"/>
        <v>997.5891230057872</v>
      </c>
      <c r="AM121" s="59">
        <f t="shared" si="59"/>
        <v>1290.9224563391206</v>
      </c>
      <c r="AN121" s="59">
        <f ca="1">AVERAGE(OFFSET($AM$3,0,0,'Données projet'!$E$10+1,1))-AVERAGE(OFFSET($H$3,0,0,'Données projet'!$E$10+1,1))</f>
        <v>370.05613271587413</v>
      </c>
      <c r="AO121" s="59">
        <f t="shared" si="90"/>
        <v>183.24480056442525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111.03223621887037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111.03223621887037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9.4029999999999916</v>
      </c>
      <c r="BD121" s="12">
        <f>IF('Données projet'!$A$88&gt;35,BD120+BC121-BL120,IF(A121&lt;'Données projet'!$A$88,$BA$205^A121,IF(A121='Données projet'!$A$88,'Données projet'!$B$88,BD120+BC121-BL120)))</f>
        <v>516.6370000000004</v>
      </c>
      <c r="BE121" s="13">
        <f>BD121*VLOOKUP('Données projet'!$B$11,Paramètres!$A$1:$I$89,3,0)*VLOOKUP('Données projet'!$B$11,Paramètres!$A$1:$I$89,5,0)</f>
        <v>523.86991800000044</v>
      </c>
      <c r="BF121" s="13">
        <f t="shared" si="91"/>
        <v>116.48175753019471</v>
      </c>
      <c r="BG121" s="20">
        <f t="shared" si="61"/>
        <v>1115.2791682150898</v>
      </c>
      <c r="BH121" s="59">
        <f t="shared" si="62"/>
        <v>1408.6125015484231</v>
      </c>
      <c r="BI121" s="59">
        <f ca="1">AVERAGE(OFFSET($BH$3,0,0,'Données projet'!$E$11+1,1))-AVERAGE(OFFSET($H$3,0,0,'Données projet'!$E$11+1,1))</f>
        <v>428.72181435671394</v>
      </c>
      <c r="BJ121" s="59">
        <f t="shared" si="92"/>
        <v>211.84936043087572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124.43267852114788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124.43267852114788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367.99999999999972</v>
      </c>
      <c r="BZ121" s="13">
        <f>BY121*VLOOKUP('Données projet'!$B$12,Paramètres!$A$1:$I$89,3,0)*VLOOKUP('Données projet'!$B$12,Paramètres!$A$1:$I$89,5,0)</f>
        <v>292.78079999999977</v>
      </c>
      <c r="CA121" s="13">
        <f t="shared" si="93"/>
        <v>69.660903052386217</v>
      </c>
      <c r="CB121" s="20">
        <f t="shared" si="64"/>
        <v>631.25263281623893</v>
      </c>
      <c r="CC121" s="59">
        <f t="shared" si="65"/>
        <v>924.58596614957219</v>
      </c>
      <c r="CD121" s="59">
        <f ca="1">AVERAGE(OFFSET($CC$3,0,0,'Données projet'!$E$12+1,1))-AVERAGE(OFFSET($H$3,0,0,'Données projet'!$E$12+1,1))</f>
        <v>296.737543892524</v>
      </c>
      <c r="CE121" s="59">
        <f t="shared" si="94"/>
        <v>296.38358650317099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29.038792303576496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29.038792303576496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474.99999999999994</v>
      </c>
      <c r="CU121" s="17">
        <f>CT121*VLOOKUP('Données projet'!$B$13,Paramètres!$A$1:$I$89,3,0)*VLOOKUP('Données projet'!$B$13,Paramètres!$A$1:$I$89,5,0)</f>
        <v>407.55</v>
      </c>
      <c r="CV121" s="13">
        <f t="shared" si="95"/>
        <v>93.305642095357683</v>
      </c>
      <c r="CW121" s="20">
        <f t="shared" si="67"/>
        <v>872.32357664941446</v>
      </c>
      <c r="CX121" s="59">
        <f t="shared" si="68"/>
        <v>1165.6569099827477</v>
      </c>
      <c r="CY121" s="59">
        <f ca="1">AVERAGE(OFFSET($CX$3,0,0,'Données projet'!$E$13+1,1))-AVERAGE(OFFSET($H$3,0,0,'Données projet'!$E$13+1,1))</f>
        <v>391.93999504334352</v>
      </c>
      <c r="CZ121" s="59">
        <f t="shared" si="96"/>
        <v>215.4484906985528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127.15978243678697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127.15978243678697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367.99999999999972</v>
      </c>
      <c r="DP121" s="17">
        <f>DO121*VLOOKUP('Données projet'!$B$14,Paramètres!$A$1:$I$89,3,0)*VLOOKUP('Données projet'!$B$14,Paramètres!$A$1:$I$89,5,0)</f>
        <v>269.8175999999998</v>
      </c>
      <c r="DQ121" s="13">
        <f t="shared" si="97"/>
        <v>64.810557882019467</v>
      </c>
      <c r="DR121" s="20">
        <f t="shared" si="70"/>
        <v>582.81070831118348</v>
      </c>
      <c r="DS121" s="59">
        <f t="shared" si="71"/>
        <v>876.14404164451685</v>
      </c>
      <c r="DT121" s="59">
        <f ca="1">AVERAGE(OFFSET($DS$3,0,0,'Données projet'!$E$14+1,1))-AVERAGE(OFFSET($H$3,0,0,'Données projet'!$E$14+1,1))</f>
        <v>267.92147257573157</v>
      </c>
      <c r="DU121" s="59">
        <f t="shared" si="98"/>
        <v>269.06662611892438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21.711949406410707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21.711949406410707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0.8600000000003547</v>
      </c>
      <c r="EK121" s="17">
        <f>EJ121*VLOOKUP('Données projet'!$B$15,Paramètres!$A$1:$I$89,3,0)*VLOOKUP('Données projet'!$B$15,Paramètres!$A$1:$I$89,5,0)</f>
        <v>0.48074000000019829</v>
      </c>
      <c r="EL121" s="13">
        <f t="shared" si="99"/>
        <v>0.24126147010950588</v>
      </c>
      <c r="EM121" s="20">
        <f t="shared" si="73"/>
        <v>1.2574858937744013</v>
      </c>
      <c r="EN121" s="59">
        <f t="shared" si="74"/>
        <v>294.59081922710772</v>
      </c>
      <c r="EO121" s="59">
        <f ca="1">AVERAGE(OFFSET($EN$3,0,0,'Données projet'!$E$15+1,1))-AVERAGE(OFFSET($H$3,0,0,'Données projet'!$E$15+1,1))</f>
        <v>326.29985515186428</v>
      </c>
      <c r="EP121" s="59">
        <f t="shared" si="100"/>
        <v>437.68177084535927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106.7685928838377</v>
      </c>
      <c r="EW121" s="21">
        <f>EXP(-LN(2)/25)*EW120+(1-EXP(-LN(2)/25))/(LN(2)/25)*Calculateur!ER121*Calculateur!ET121*VLOOKUP('Données projet'!$B$15,Paramètres!$A$1:$I$89,3,0)*0.475*44/12</f>
        <v>4.4083725424946048</v>
      </c>
      <c r="EX121" s="21">
        <f>EXP(-LN(2)/2)*EX120+(1-EXP(-LN(2)/2))/(LN(2)/2)*ER121*EU121*VLOOKUP('Données projet'!$B$15,Paramètres!$A$1:$I$89,3,0)*0.475*44/12</f>
        <v>4.20596125572281E-14</v>
      </c>
      <c r="EY121" s="22">
        <f t="shared" si="75"/>
        <v>111.17696542633234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1.7053025658242404E-13</v>
      </c>
      <c r="FF121" s="17">
        <f>FE121*VLOOKUP('Données projet'!$B$16,Paramètres!$A$1:$I$89,3,0)*VLOOKUP('Données projet'!$B$16,Paramètres!$A$1:$I$89,5,0)</f>
        <v>9.7631982498569413E-14</v>
      </c>
      <c r="FG121" s="13">
        <f t="shared" si="101"/>
        <v>1.4708068762530911E-12</v>
      </c>
      <c r="FH121" s="20">
        <f t="shared" si="76"/>
        <v>2.7316976789924749E-12</v>
      </c>
      <c r="FI121" s="59">
        <f t="shared" si="77"/>
        <v>293.33333333333604</v>
      </c>
      <c r="FJ121" s="59">
        <f ca="1">AVERAGE(OFFSET($FI$3,0,0,'Données projet'!$E$16+1,1))-AVERAGE(OFFSET($H$3,0,0,'Données projet'!$E$16+1,1))</f>
        <v>211.14768428403215</v>
      </c>
      <c r="FK121" s="59">
        <f t="shared" si="102"/>
        <v>350.7800157534798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14.537011569462765</v>
      </c>
      <c r="FR121" s="21">
        <f>EXP(-LN(2)/25)*FR120+(1-EXP(-LN(2)/25))/(LN(2)/25)*Calculateur!FM121*Calculateur!FO121*VLOOKUP('Données projet'!$B$16,Paramètres!$A$1:$I$89,3,0)*0.475*44/12</f>
        <v>1.8754181882397911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16.412429757702554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103.95839999999994</v>
      </c>
      <c r="D122" s="11">
        <f t="shared" si="86"/>
        <v>27.902890560352166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1017.8766288869284</v>
      </c>
      <c r="H122" s="66">
        <f t="shared" si="56"/>
        <v>522.99174772594654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259.99999999999983</v>
      </c>
      <c r="O122" s="13">
        <f>N122*VLOOKUP('Données projet'!$B$9,Paramètres!$A$1:$I$89,3,0)*VLOOKUP('Données projet'!$B$9,Paramètres!$A$1:$I$89,5,0)</f>
        <v>227.13599999999985</v>
      </c>
      <c r="P122" s="13">
        <f t="shared" si="87"/>
        <v>55.662966886685133</v>
      </c>
      <c r="Q122" s="20">
        <f t="shared" si="107"/>
        <v>492.5415339943097</v>
      </c>
      <c r="R122" s="59">
        <f t="shared" si="55"/>
        <v>785.87486732764296</v>
      </c>
      <c r="S122" s="59">
        <f ca="1">AVERAGE(OFFSET($R$3,0,0,'Données projet'!$E$9+1,1))-AVERAGE(OFFSET($H$3,0,0,'Données projet'!$E$9+1,1))</f>
        <v>252.49539407921907</v>
      </c>
      <c r="T122" s="59">
        <f t="shared" si="88"/>
        <v>263.36387286233929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43.916759480866219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43.916759480866219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>
        <f>VLOOKUP(A122,'Données projet'!$A$61:$I$81,2,0)</f>
        <v>526.04</v>
      </c>
      <c r="AG122" s="12">
        <f>VLOOKUP(A122,'Données projet'!$A$61:$I$81,9,0)</f>
        <v>9.4029999999999916</v>
      </c>
      <c r="AH122" s="12">
        <f t="array" ref="AH122">INDEX(AG:AG,MIN(IF(ISNUMBER(AG122:AG318),ROW(AG122:AG318),"")))</f>
        <v>9.4029999999999916</v>
      </c>
      <c r="AI122" s="13">
        <f>IF('Données projet'!$A$62&gt;35,AI121+AH122-AQ121,IF(A122&lt;'Données projet'!$A$62,$AF$205^A122,IF(A122='Données projet'!$A$62,'Données projet'!$B$62,AI121+AH122-AQ121)))</f>
        <v>526.04000000000042</v>
      </c>
      <c r="AJ122" s="13">
        <f>AI122*VLOOKUP('Données projet'!$B$10,Paramètres!$A$1:$I$89,3,0)*VLOOKUP('Données projet'!$B$10,Paramètres!$A$1:$I$89,5,0)</f>
        <v>475.96099200000037</v>
      </c>
      <c r="AK122" s="13">
        <f t="shared" si="89"/>
        <v>107.01733197112763</v>
      </c>
      <c r="AL122" s="20">
        <f t="shared" si="58"/>
        <v>1015.3539142497146</v>
      </c>
      <c r="AM122" s="59">
        <f t="shared" si="59"/>
        <v>1308.687247583048</v>
      </c>
      <c r="AN122" s="59">
        <f ca="1">AVERAGE(OFFSET($AM$3,0,0,'Données projet'!$E$10+1,1))-AVERAGE(OFFSET($H$3,0,0,'Données projet'!$E$10+1,1))</f>
        <v>370.05613271587413</v>
      </c>
      <c r="AO122" s="59">
        <f t="shared" si="90"/>
        <v>183.24480056442525</v>
      </c>
      <c r="AP122" s="15">
        <f>IF(ISNA(VLOOKUP(A122,'Données projet'!$A$61:$I$81,3,0)),0,VLOOKUP(A122,'Données projet'!$A$61:$I$81,3,0))</f>
        <v>11</v>
      </c>
      <c r="AQ122" s="15">
        <f>IF(ISNA(VLOOKUP(A122,'Données projet'!$A$61:$I$81,4,0)),0,VLOOKUP(A122,'Données projet'!$A$61:$I$81,4,0))</f>
        <v>196.46</v>
      </c>
      <c r="AR122" s="16">
        <f>IF(ISNA(VLOOKUP(A122,'Données projet'!$A$61:$I$81,5,0)),0%,VLOOKUP(A122,'Données projet'!$A$61:$I$81,5,0)*VLOOKUP('Données projet'!$B$10,Paramètres!$A$1:$I$89,7,0))</f>
        <v>0.43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193.35215784190802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193.35215784190802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>
        <f>VLOOKUP(A122,'Données projet'!$A$87:$I$107,2,0)</f>
        <v>526.04</v>
      </c>
      <c r="BB122" s="12">
        <f>VLOOKUP(A122,'Données projet'!$A$87:$I$107,9,0)</f>
        <v>9.4029999999999916</v>
      </c>
      <c r="BC122" s="12">
        <f t="array" ref="BC122">INDEX(BB:BB,MIN(IF(ISNUMBER(BB122:BB318),ROW(BB122:BB318),"")))</f>
        <v>9.4029999999999916</v>
      </c>
      <c r="BD122" s="12">
        <f>IF('Données projet'!$A$88&gt;35,BD121+BC122-BL121,IF(A122&lt;'Données projet'!$A$88,$BA$205^A122,IF(A122='Données projet'!$A$88,'Données projet'!$B$88,BD121+BC122-BL121)))</f>
        <v>526.04000000000042</v>
      </c>
      <c r="BE122" s="13">
        <f>BD122*VLOOKUP('Données projet'!$B$11,Paramètres!$A$1:$I$89,3,0)*VLOOKUP('Données projet'!$B$11,Paramètres!$A$1:$I$89,5,0)</f>
        <v>533.4045600000004</v>
      </c>
      <c r="BF122" s="13">
        <f t="shared" si="91"/>
        <v>118.35303145382375</v>
      </c>
      <c r="BG122" s="20">
        <f t="shared" si="61"/>
        <v>1135.1444717820771</v>
      </c>
      <c r="BH122" s="59">
        <f t="shared" si="62"/>
        <v>1428.4778051154103</v>
      </c>
      <c r="BI122" s="59">
        <f ca="1">AVERAGE(OFFSET($BH$3,0,0,'Données projet'!$E$11+1,1))-AVERAGE(OFFSET($H$3,0,0,'Données projet'!$E$11+1,1))</f>
        <v>428.72181435671394</v>
      </c>
      <c r="BJ122" s="59">
        <f t="shared" si="92"/>
        <v>211.84936043087572</v>
      </c>
      <c r="BK122" s="15">
        <f>IF(ISNA(VLOOKUP(A122,'Données projet'!$A$87:$I$107,3,0)),0,VLOOKUP(A122,'Données projet'!$A$87:$I$107,3,0))</f>
        <v>11</v>
      </c>
      <c r="BL122" s="15">
        <f>IF(ISNA(VLOOKUP(A122,'Données projet'!$A$87:$I$107,4,0)),0,VLOOKUP(A122,'Données projet'!$A$87:$I$107,4,0))</f>
        <v>196.46</v>
      </c>
      <c r="BM122" s="16">
        <f>IF(ISNA(VLOOKUP(A122,'Données projet'!$A$87:$I$107,5,0)),0%,VLOOKUP(A122,'Données projet'!$A$87:$I$107,5,0)*VLOOKUP('Données projet'!$B$11,Paramètres!$A$1:$I$89,7,0))</f>
        <v>0.43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216.68776309869008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216.68776309869008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367.99999999999972</v>
      </c>
      <c r="BZ122" s="13">
        <f>BY122*VLOOKUP('Données projet'!$B$12,Paramètres!$A$1:$I$89,3,0)*VLOOKUP('Données projet'!$B$12,Paramètres!$A$1:$I$89,5,0)</f>
        <v>292.78079999999977</v>
      </c>
      <c r="CA122" s="13">
        <f t="shared" si="93"/>
        <v>69.660903052386217</v>
      </c>
      <c r="CB122" s="20">
        <f t="shared" si="64"/>
        <v>631.25263281623893</v>
      </c>
      <c r="CC122" s="59">
        <f t="shared" si="65"/>
        <v>924.58596614957219</v>
      </c>
      <c r="CD122" s="59">
        <f ca="1">AVERAGE(OFFSET($CC$3,0,0,'Données projet'!$E$12+1,1))-AVERAGE(OFFSET($H$3,0,0,'Données projet'!$E$12+1,1))</f>
        <v>296.737543892524</v>
      </c>
      <c r="CE122" s="59">
        <f t="shared" si="94"/>
        <v>296.38358650317099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28.469359298417761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28.469359298417761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474.99999999999994</v>
      </c>
      <c r="CU122" s="17">
        <f>CT122*VLOOKUP('Données projet'!$B$13,Paramètres!$A$1:$I$89,3,0)*VLOOKUP('Données projet'!$B$13,Paramètres!$A$1:$I$89,5,0)</f>
        <v>407.55</v>
      </c>
      <c r="CV122" s="13">
        <f t="shared" si="95"/>
        <v>93.305642095357683</v>
      </c>
      <c r="CW122" s="20">
        <f t="shared" si="67"/>
        <v>872.32357664941446</v>
      </c>
      <c r="CX122" s="59">
        <f t="shared" si="68"/>
        <v>1165.6569099827477</v>
      </c>
      <c r="CY122" s="59">
        <f ca="1">AVERAGE(OFFSET($CX$3,0,0,'Données projet'!$E$13+1,1))-AVERAGE(OFFSET($H$3,0,0,'Données projet'!$E$13+1,1))</f>
        <v>391.93999504334352</v>
      </c>
      <c r="CZ122" s="59">
        <f t="shared" si="96"/>
        <v>215.4484906985528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124.66625666301047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124.66625666301047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367.99999999999972</v>
      </c>
      <c r="DP122" s="17">
        <f>DO122*VLOOKUP('Données projet'!$B$14,Paramètres!$A$1:$I$89,3,0)*VLOOKUP('Données projet'!$B$14,Paramètres!$A$1:$I$89,5,0)</f>
        <v>269.8175999999998</v>
      </c>
      <c r="DQ122" s="13">
        <f t="shared" si="97"/>
        <v>64.810557882019467</v>
      </c>
      <c r="DR122" s="20">
        <f t="shared" si="70"/>
        <v>582.81070831118348</v>
      </c>
      <c r="DS122" s="59">
        <f t="shared" si="71"/>
        <v>876.14404164451685</v>
      </c>
      <c r="DT122" s="59">
        <f ca="1">AVERAGE(OFFSET($DS$3,0,0,'Données projet'!$E$14+1,1))-AVERAGE(OFFSET($H$3,0,0,'Données projet'!$E$14+1,1))</f>
        <v>267.92147257573157</v>
      </c>
      <c r="DU122" s="59">
        <f t="shared" si="98"/>
        <v>269.06662611892438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21.286191321532495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21.286191321532495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0.8600000000003547</v>
      </c>
      <c r="EK122" s="17">
        <f>EJ122*VLOOKUP('Données projet'!$B$15,Paramètres!$A$1:$I$89,3,0)*VLOOKUP('Données projet'!$B$15,Paramètres!$A$1:$I$89,5,0)</f>
        <v>0.48074000000019829</v>
      </c>
      <c r="EL122" s="13">
        <f t="shared" si="99"/>
        <v>0.24126147010950588</v>
      </c>
      <c r="EM122" s="20">
        <f t="shared" si="73"/>
        <v>1.2574858937744013</v>
      </c>
      <c r="EN122" s="59">
        <f t="shared" si="74"/>
        <v>294.59081922710772</v>
      </c>
      <c r="EO122" s="59">
        <f ca="1">AVERAGE(OFFSET($EN$3,0,0,'Données projet'!$E$15+1,1))-AVERAGE(OFFSET($H$3,0,0,'Données projet'!$E$15+1,1))</f>
        <v>326.29985515186428</v>
      </c>
      <c r="EP122" s="59">
        <f t="shared" si="100"/>
        <v>437.68177084535927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104.67492589979699</v>
      </c>
      <c r="EW122" s="21">
        <f>EXP(-LN(2)/25)*EW121+(1-EXP(-LN(2)/25))/(LN(2)/25)*Calculateur!ER122*Calculateur!ET122*VLOOKUP('Données projet'!$B$15,Paramètres!$A$1:$I$89,3,0)*0.475*44/12</f>
        <v>4.2878253634938535</v>
      </c>
      <c r="EX122" s="21">
        <f>EXP(-LN(2)/2)*EX121+(1-EXP(-LN(2)/2))/(LN(2)/2)*ER122*EU122*VLOOKUP('Données projet'!$B$15,Paramètres!$A$1:$I$89,3,0)*0.475*44/12</f>
        <v>2.9740637253294856E-14</v>
      </c>
      <c r="EY122" s="22">
        <f t="shared" si="75"/>
        <v>108.96275126329087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1.7053025658242404E-13</v>
      </c>
      <c r="FF122" s="17">
        <f>FE122*VLOOKUP('Données projet'!$B$16,Paramètres!$A$1:$I$89,3,0)*VLOOKUP('Données projet'!$B$16,Paramètres!$A$1:$I$89,5,0)</f>
        <v>9.7631982498569413E-14</v>
      </c>
      <c r="FG122" s="13">
        <f t="shared" si="101"/>
        <v>1.4708068762530911E-12</v>
      </c>
      <c r="FH122" s="20">
        <f t="shared" si="76"/>
        <v>2.7316976789924749E-12</v>
      </c>
      <c r="FI122" s="59">
        <f t="shared" si="77"/>
        <v>293.33333333333604</v>
      </c>
      <c r="FJ122" s="59">
        <f ca="1">AVERAGE(OFFSET($FI$3,0,0,'Données projet'!$E$16+1,1))-AVERAGE(OFFSET($H$3,0,0,'Données projet'!$E$16+1,1))</f>
        <v>211.14768428403215</v>
      </c>
      <c r="FK122" s="59">
        <f t="shared" si="102"/>
        <v>350.7800157534798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14.251949639287144</v>
      </c>
      <c r="FR122" s="21">
        <f>EXP(-LN(2)/25)*FR121+(1-EXP(-LN(2)/25))/(LN(2)/25)*Calculateur!FM122*Calculateur!FO122*VLOOKUP('Données projet'!$B$16,Paramètres!$A$1:$I$89,3,0)*0.475*44/12</f>
        <v>1.8241347792584179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16.076084418545562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104.83199999999994</v>
      </c>
      <c r="D123" s="11">
        <f t="shared" si="86"/>
        <v>28.109974371137692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1026.2187495315889</v>
      </c>
      <c r="H123" s="66">
        <f t="shared" si="56"/>
        <v>524.873938696398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259.99999999999983</v>
      </c>
      <c r="O123" s="13">
        <f>N123*VLOOKUP('Données projet'!$B$9,Paramètres!$A$1:$I$89,3,0)*VLOOKUP('Données projet'!$B$9,Paramètres!$A$1:$I$89,5,0)</f>
        <v>227.13599999999985</v>
      </c>
      <c r="P123" s="13">
        <f t="shared" si="87"/>
        <v>55.662966886685133</v>
      </c>
      <c r="Q123" s="20">
        <f t="shared" si="107"/>
        <v>492.5415339943097</v>
      </c>
      <c r="R123" s="59">
        <f t="shared" si="55"/>
        <v>785.87486732764296</v>
      </c>
      <c r="S123" s="59">
        <f ca="1">AVERAGE(OFFSET($R$3,0,0,'Données projet'!$E$9+1,1))-AVERAGE(OFFSET($H$3,0,0,'Données projet'!$E$9+1,1))</f>
        <v>252.49539407921907</v>
      </c>
      <c r="T123" s="59">
        <f t="shared" si="88"/>
        <v>263.36387286233929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43.05557861402476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43.05557861402476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-0.37249999999998806</v>
      </c>
      <c r="AI123" s="13">
        <f>IF('Données projet'!$A$62&gt;35,AI122+AH123-AQ122,IF(A123&lt;'Données projet'!$A$62,$AF$205^A123,IF(A123='Données projet'!$A$62,'Données projet'!$B$62,AI122+AH123-AQ122)))</f>
        <v>329.20750000000044</v>
      </c>
      <c r="AJ123" s="13">
        <f>AI123*VLOOKUP('Données projet'!$B$10,Paramètres!$A$1:$I$89,3,0)*VLOOKUP('Données projet'!$B$10,Paramètres!$A$1:$I$89,5,0)</f>
        <v>297.86694600000038</v>
      </c>
      <c r="AK123" s="13">
        <f t="shared" si="89"/>
        <v>70.729107889768898</v>
      </c>
      <c r="AL123" s="20">
        <f t="shared" si="58"/>
        <v>641.97146052468145</v>
      </c>
      <c r="AM123" s="59">
        <f t="shared" si="59"/>
        <v>935.30479385801482</v>
      </c>
      <c r="AN123" s="59">
        <f ca="1">AVERAGE(OFFSET($AM$3,0,0,'Données projet'!$E$10+1,1))-AVERAGE(OFFSET($H$3,0,0,'Données projet'!$E$10+1,1))</f>
        <v>370.05613271587413</v>
      </c>
      <c r="AO123" s="59">
        <f t="shared" si="90"/>
        <v>183.24480056442525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189.56063995979954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189.56063995979954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-0.37249999999998806</v>
      </c>
      <c r="BD123" s="12">
        <f>IF('Données projet'!$A$88&gt;35,BD122+BC123-BL122,IF(A123&lt;'Données projet'!$A$88,$BA$205^A123,IF(A123='Données projet'!$A$88,'Données projet'!$B$88,BD122+BC123-BL122)))</f>
        <v>329.20750000000044</v>
      </c>
      <c r="BE123" s="13">
        <f>BD123*VLOOKUP('Données projet'!$B$11,Paramètres!$A$1:$I$89,3,0)*VLOOKUP('Données projet'!$B$11,Paramètres!$A$1:$I$89,5,0)</f>
        <v>333.81640500000049</v>
      </c>
      <c r="BF123" s="13">
        <f t="shared" si="91"/>
        <v>78.221015013130113</v>
      </c>
      <c r="BG123" s="20">
        <f t="shared" si="61"/>
        <v>717.63183985620242</v>
      </c>
      <c r="BH123" s="59">
        <f t="shared" si="62"/>
        <v>1010.9651731895358</v>
      </c>
      <c r="BI123" s="59">
        <f ca="1">AVERAGE(OFFSET($BH$3,0,0,'Données projet'!$E$11+1,1))-AVERAGE(OFFSET($H$3,0,0,'Données projet'!$E$11+1,1))</f>
        <v>428.72181435671394</v>
      </c>
      <c r="BJ123" s="59">
        <f t="shared" si="92"/>
        <v>211.84936043087572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212.43864823080992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212.43864823080992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367.99999999999972</v>
      </c>
      <c r="BZ123" s="13">
        <f>BY123*VLOOKUP('Données projet'!$B$12,Paramètres!$A$1:$I$89,3,0)*VLOOKUP('Données projet'!$B$12,Paramètres!$A$1:$I$89,5,0)</f>
        <v>292.78079999999977</v>
      </c>
      <c r="CA123" s="13">
        <f t="shared" si="93"/>
        <v>69.660903052386217</v>
      </c>
      <c r="CB123" s="20">
        <f t="shared" si="64"/>
        <v>631.25263281623893</v>
      </c>
      <c r="CC123" s="59">
        <f t="shared" si="65"/>
        <v>924.58596614957219</v>
      </c>
      <c r="CD123" s="59">
        <f ca="1">AVERAGE(OFFSET($CC$3,0,0,'Données projet'!$E$12+1,1))-AVERAGE(OFFSET($H$3,0,0,'Données projet'!$E$12+1,1))</f>
        <v>296.737543892524</v>
      </c>
      <c r="CE123" s="59">
        <f t="shared" si="94"/>
        <v>296.38358650317099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27.91109252717035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27.91109252717035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474.99999999999994</v>
      </c>
      <c r="CU123" s="17">
        <f>CT123*VLOOKUP('Données projet'!$B$13,Paramètres!$A$1:$I$89,3,0)*VLOOKUP('Données projet'!$B$13,Paramètres!$A$1:$I$89,5,0)</f>
        <v>407.55</v>
      </c>
      <c r="CV123" s="13">
        <f t="shared" si="95"/>
        <v>93.305642095357683</v>
      </c>
      <c r="CW123" s="20">
        <f t="shared" si="67"/>
        <v>872.32357664941446</v>
      </c>
      <c r="CX123" s="59">
        <f t="shared" si="68"/>
        <v>1165.6569099827477</v>
      </c>
      <c r="CY123" s="59">
        <f ca="1">AVERAGE(OFFSET($CX$3,0,0,'Données projet'!$E$13+1,1))-AVERAGE(OFFSET($H$3,0,0,'Données projet'!$E$13+1,1))</f>
        <v>391.93999504334352</v>
      </c>
      <c r="CZ123" s="59">
        <f t="shared" si="96"/>
        <v>215.4484906985528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122.22162740875719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122.22162740875719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367.99999999999972</v>
      </c>
      <c r="DP123" s="17">
        <f>DO123*VLOOKUP('Données projet'!$B$14,Paramètres!$A$1:$I$89,3,0)*VLOOKUP('Données projet'!$B$14,Paramètres!$A$1:$I$89,5,0)</f>
        <v>269.8175999999998</v>
      </c>
      <c r="DQ123" s="13">
        <f t="shared" si="97"/>
        <v>64.810557882019467</v>
      </c>
      <c r="DR123" s="20">
        <f t="shared" si="70"/>
        <v>582.81070831118348</v>
      </c>
      <c r="DS123" s="59">
        <f t="shared" si="71"/>
        <v>876.14404164451685</v>
      </c>
      <c r="DT123" s="59">
        <f ca="1">AVERAGE(OFFSET($DS$3,0,0,'Données projet'!$E$14+1,1))-AVERAGE(OFFSET($H$3,0,0,'Données projet'!$E$14+1,1))</f>
        <v>267.92147257573157</v>
      </c>
      <c r="DU123" s="59">
        <f t="shared" si="98"/>
        <v>269.06662611892438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20.868782093011955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20.868782093011955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0.8600000000003547</v>
      </c>
      <c r="EK123" s="17">
        <f>EJ123*VLOOKUP('Données projet'!$B$15,Paramètres!$A$1:$I$89,3,0)*VLOOKUP('Données projet'!$B$15,Paramètres!$A$1:$I$89,5,0)</f>
        <v>0.48074000000019829</v>
      </c>
      <c r="EL123" s="13">
        <f t="shared" si="99"/>
        <v>0.24126147010950588</v>
      </c>
      <c r="EM123" s="20">
        <f t="shared" si="73"/>
        <v>1.2574858937744013</v>
      </c>
      <c r="EN123" s="59">
        <f t="shared" si="74"/>
        <v>294.59081922710772</v>
      </c>
      <c r="EO123" s="59">
        <f ca="1">AVERAGE(OFFSET($EN$3,0,0,'Données projet'!$E$15+1,1))-AVERAGE(OFFSET($H$3,0,0,'Données projet'!$E$15+1,1))</f>
        <v>326.29985515186428</v>
      </c>
      <c r="EP123" s="59">
        <f t="shared" si="100"/>
        <v>437.68177084535927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102.62231444830256</v>
      </c>
      <c r="EW123" s="21">
        <f>EXP(-LN(2)/25)*EW122+(1-EXP(-LN(2)/25))/(LN(2)/25)*Calculateur!ER123*Calculateur!ET123*VLOOKUP('Données projet'!$B$15,Paramètres!$A$1:$I$89,3,0)*0.475*44/12</f>
        <v>4.1705745534421785</v>
      </c>
      <c r="EX123" s="21">
        <f>EXP(-LN(2)/2)*EX122+(1-EXP(-LN(2)/2))/(LN(2)/2)*ER123*EU123*VLOOKUP('Données projet'!$B$15,Paramètres!$A$1:$I$89,3,0)*0.475*44/12</f>
        <v>2.102980627861405E-14</v>
      </c>
      <c r="EY123" s="22">
        <f t="shared" si="75"/>
        <v>106.79288900174475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1.7053025658242404E-13</v>
      </c>
      <c r="FF123" s="17">
        <f>FE123*VLOOKUP('Données projet'!$B$16,Paramètres!$A$1:$I$89,3,0)*VLOOKUP('Données projet'!$B$16,Paramètres!$A$1:$I$89,5,0)</f>
        <v>9.7631982498569413E-14</v>
      </c>
      <c r="FG123" s="13">
        <f t="shared" si="101"/>
        <v>1.4708068762530911E-12</v>
      </c>
      <c r="FH123" s="20">
        <f t="shared" si="76"/>
        <v>2.7316976789924749E-12</v>
      </c>
      <c r="FI123" s="59">
        <f t="shared" si="77"/>
        <v>293.33333333333604</v>
      </c>
      <c r="FJ123" s="59">
        <f ca="1">AVERAGE(OFFSET($FI$3,0,0,'Données projet'!$E$16+1,1))-AVERAGE(OFFSET($H$3,0,0,'Données projet'!$E$16+1,1))</f>
        <v>211.14768428403215</v>
      </c>
      <c r="FK123" s="59">
        <f t="shared" si="102"/>
        <v>350.7800157534798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13.972477599691658</v>
      </c>
      <c r="FR123" s="21">
        <f>EXP(-LN(2)/25)*FR122+(1-EXP(-LN(2)/25))/(LN(2)/25)*Calculateur!FM123*Calculateur!FO123*VLOOKUP('Données projet'!$B$16,Paramètres!$A$1:$I$89,3,0)*0.475*44/12</f>
        <v>1.7742537177925175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15.746731317484175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105.70559999999993</v>
      </c>
      <c r="D124" s="11">
        <f t="shared" si="86"/>
        <v>28.316857405559968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1034.5593203236203</v>
      </c>
      <c r="H124" s="66">
        <f t="shared" si="56"/>
        <v>526.75577998135009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259.99999999999983</v>
      </c>
      <c r="O124" s="13">
        <f>N124*VLOOKUP('Données projet'!$B$9,Paramètres!$A$1:$I$89,3,0)*VLOOKUP('Données projet'!$B$9,Paramètres!$A$1:$I$89,5,0)</f>
        <v>227.13599999999985</v>
      </c>
      <c r="P124" s="13">
        <f t="shared" si="87"/>
        <v>55.662966886685133</v>
      </c>
      <c r="Q124" s="20">
        <f t="shared" si="107"/>
        <v>492.5415339943097</v>
      </c>
      <c r="R124" s="59">
        <f t="shared" si="55"/>
        <v>785.87486732764296</v>
      </c>
      <c r="S124" s="59">
        <f ca="1">AVERAGE(OFFSET($R$3,0,0,'Données projet'!$E$9+1,1))-AVERAGE(OFFSET($H$3,0,0,'Données projet'!$E$9+1,1))</f>
        <v>252.49539407921907</v>
      </c>
      <c r="T124" s="59">
        <f t="shared" si="88"/>
        <v>263.36387286233929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42.2112849787136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42.2112849787136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-0.37249999999998806</v>
      </c>
      <c r="AI124" s="13">
        <f>IF('Données projet'!$A$62&gt;35,AI123+AH124-AQ123,IF(A124&lt;'Données projet'!$A$62,$AF$205^A124,IF(A124='Données projet'!$A$62,'Données projet'!$B$62,AI123+AH124-AQ123)))</f>
        <v>328.83500000000043</v>
      </c>
      <c r="AJ124" s="13">
        <f>AI124*VLOOKUP('Données projet'!$B$10,Paramètres!$A$1:$I$89,3,0)*VLOOKUP('Données projet'!$B$10,Paramètres!$A$1:$I$89,5,0)</f>
        <v>297.52990800000038</v>
      </c>
      <c r="AK124" s="13">
        <f t="shared" si="89"/>
        <v>70.658388410389392</v>
      </c>
      <c r="AL124" s="20">
        <f t="shared" si="58"/>
        <v>641.26128291476209</v>
      </c>
      <c r="AM124" s="59">
        <f t="shared" si="59"/>
        <v>934.59461624809546</v>
      </c>
      <c r="AN124" s="59">
        <f ca="1">AVERAGE(OFFSET($AM$3,0,0,'Données projet'!$E$10+1,1))-AVERAGE(OFFSET($H$3,0,0,'Données projet'!$E$10+1,1))</f>
        <v>370.05613271587413</v>
      </c>
      <c r="AO124" s="59">
        <f t="shared" si="90"/>
        <v>183.24480056442525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185.84347143076167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185.84347143076167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-0.37249999999998806</v>
      </c>
      <c r="BD124" s="12">
        <f>IF('Données projet'!$A$88&gt;35,BD123+BC124-BL123,IF(A124&lt;'Données projet'!$A$88,$BA$205^A124,IF(A124='Données projet'!$A$88,'Données projet'!$B$88,BD123+BC124-BL123)))</f>
        <v>328.83500000000043</v>
      </c>
      <c r="BE124" s="13">
        <f>BD124*VLOOKUP('Données projet'!$B$11,Paramètres!$A$1:$I$89,3,0)*VLOOKUP('Données projet'!$B$11,Paramètres!$A$1:$I$89,5,0)</f>
        <v>333.43869000000046</v>
      </c>
      <c r="BF124" s="13">
        <f t="shared" si="91"/>
        <v>78.142804646517234</v>
      </c>
      <c r="BG124" s="20">
        <f t="shared" si="61"/>
        <v>716.83776984268491</v>
      </c>
      <c r="BH124" s="59">
        <f t="shared" si="62"/>
        <v>1010.1711031760183</v>
      </c>
      <c r="BI124" s="59">
        <f ca="1">AVERAGE(OFFSET($BH$3,0,0,'Données projet'!$E$11+1,1))-AVERAGE(OFFSET($H$3,0,0,'Données projet'!$E$11+1,1))</f>
        <v>428.72181435671394</v>
      </c>
      <c r="BJ124" s="59">
        <f t="shared" si="92"/>
        <v>211.84936043087572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208.2728559137847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208.2728559137847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367.99999999999972</v>
      </c>
      <c r="BZ124" s="13">
        <f>BY124*VLOOKUP('Données projet'!$B$12,Paramètres!$A$1:$I$89,3,0)*VLOOKUP('Données projet'!$B$12,Paramètres!$A$1:$I$89,5,0)</f>
        <v>292.78079999999977</v>
      </c>
      <c r="CA124" s="13">
        <f t="shared" si="93"/>
        <v>69.660903052386217</v>
      </c>
      <c r="CB124" s="20">
        <f t="shared" si="64"/>
        <v>631.25263281623893</v>
      </c>
      <c r="CC124" s="59">
        <f t="shared" si="65"/>
        <v>924.58596614957219</v>
      </c>
      <c r="CD124" s="59">
        <f ca="1">AVERAGE(OFFSET($CC$3,0,0,'Données projet'!$E$12+1,1))-AVERAGE(OFFSET($H$3,0,0,'Données projet'!$E$12+1,1))</f>
        <v>296.737543892524</v>
      </c>
      <c r="CE124" s="59">
        <f t="shared" si="94"/>
        <v>296.38358650317099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27.363773026797993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27.363773026797993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474.99999999999994</v>
      </c>
      <c r="CU124" s="17">
        <f>CT124*VLOOKUP('Données projet'!$B$13,Paramètres!$A$1:$I$89,3,0)*VLOOKUP('Données projet'!$B$13,Paramètres!$A$1:$I$89,5,0)</f>
        <v>407.55</v>
      </c>
      <c r="CV124" s="13">
        <f t="shared" si="95"/>
        <v>93.305642095357683</v>
      </c>
      <c r="CW124" s="20">
        <f t="shared" si="67"/>
        <v>872.32357664941446</v>
      </c>
      <c r="CX124" s="59">
        <f t="shared" si="68"/>
        <v>1165.6569099827477</v>
      </c>
      <c r="CY124" s="59">
        <f ca="1">AVERAGE(OFFSET($CX$3,0,0,'Données projet'!$E$13+1,1))-AVERAGE(OFFSET($H$3,0,0,'Données projet'!$E$13+1,1))</f>
        <v>391.93999504334352</v>
      </c>
      <c r="CZ124" s="59">
        <f t="shared" si="96"/>
        <v>215.4484906985528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119.82493584310319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119.82493584310319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367.99999999999972</v>
      </c>
      <c r="DP124" s="17">
        <f>DO124*VLOOKUP('Données projet'!$B$14,Paramètres!$A$1:$I$89,3,0)*VLOOKUP('Données projet'!$B$14,Paramètres!$A$1:$I$89,5,0)</f>
        <v>269.8175999999998</v>
      </c>
      <c r="DQ124" s="13">
        <f t="shared" si="97"/>
        <v>64.810557882019467</v>
      </c>
      <c r="DR124" s="20">
        <f t="shared" si="70"/>
        <v>582.81070831118348</v>
      </c>
      <c r="DS124" s="59">
        <f t="shared" si="71"/>
        <v>876.14404164451685</v>
      </c>
      <c r="DT124" s="59">
        <f ca="1">AVERAGE(OFFSET($DS$3,0,0,'Données projet'!$E$14+1,1))-AVERAGE(OFFSET($H$3,0,0,'Données projet'!$E$14+1,1))</f>
        <v>267.92147257573157</v>
      </c>
      <c r="DU124" s="59">
        <f t="shared" si="98"/>
        <v>269.06662611892438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20.459558004868214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20.459558004868214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0.8600000000003547</v>
      </c>
      <c r="EK124" s="17">
        <f>EJ124*VLOOKUP('Données projet'!$B$15,Paramètres!$A$1:$I$89,3,0)*VLOOKUP('Données projet'!$B$15,Paramètres!$A$1:$I$89,5,0)</f>
        <v>0.48074000000019829</v>
      </c>
      <c r="EL124" s="13">
        <f t="shared" si="99"/>
        <v>0.24126147010950588</v>
      </c>
      <c r="EM124" s="20">
        <f t="shared" si="73"/>
        <v>1.2574858937744013</v>
      </c>
      <c r="EN124" s="59">
        <f t="shared" si="74"/>
        <v>294.59081922710772</v>
      </c>
      <c r="EO124" s="59">
        <f ca="1">AVERAGE(OFFSET($EN$3,0,0,'Données projet'!$E$15+1,1))-AVERAGE(OFFSET($H$3,0,0,'Données projet'!$E$15+1,1))</f>
        <v>326.29985515186428</v>
      </c>
      <c r="EP124" s="59">
        <f t="shared" si="100"/>
        <v>437.68177084535927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100.60995345540258</v>
      </c>
      <c r="EW124" s="21">
        <f>EXP(-LN(2)/25)*EW123+(1-EXP(-LN(2)/25))/(LN(2)/25)*Calculateur!ER124*Calculateur!ET124*VLOOKUP('Données projet'!$B$15,Paramètres!$A$1:$I$89,3,0)*0.475*44/12</f>
        <v>4.0565299729573185</v>
      </c>
      <c r="EX124" s="21">
        <f>EXP(-LN(2)/2)*EX123+(1-EXP(-LN(2)/2))/(LN(2)/2)*ER124*EU124*VLOOKUP('Données projet'!$B$15,Paramètres!$A$1:$I$89,3,0)*0.475*44/12</f>
        <v>1.4870318626647428E-14</v>
      </c>
      <c r="EY124" s="22">
        <f t="shared" si="75"/>
        <v>104.66648342835991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1.7053025658242404E-13</v>
      </c>
      <c r="FF124" s="17">
        <f>FE124*VLOOKUP('Données projet'!$B$16,Paramètres!$A$1:$I$89,3,0)*VLOOKUP('Données projet'!$B$16,Paramètres!$A$1:$I$89,5,0)</f>
        <v>9.7631982498569413E-14</v>
      </c>
      <c r="FG124" s="13">
        <f t="shared" si="101"/>
        <v>1.4708068762530911E-12</v>
      </c>
      <c r="FH124" s="20">
        <f t="shared" si="76"/>
        <v>2.7316976789924749E-12</v>
      </c>
      <c r="FI124" s="59">
        <f t="shared" si="77"/>
        <v>293.33333333333604</v>
      </c>
      <c r="FJ124" s="59">
        <f ca="1">AVERAGE(OFFSET($FI$3,0,0,'Données projet'!$E$16+1,1))-AVERAGE(OFFSET($H$3,0,0,'Données projet'!$E$16+1,1))</f>
        <v>211.14768428403215</v>
      </c>
      <c r="FK124" s="59">
        <f t="shared" si="102"/>
        <v>350.7800157534798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13.698485836331526</v>
      </c>
      <c r="FR124" s="21">
        <f>EXP(-LN(2)/25)*FR123+(1-EXP(-LN(2)/25))/(LN(2)/25)*Calculateur!FM124*Calculateur!FO124*VLOOKUP('Données projet'!$B$16,Paramètres!$A$1:$I$89,3,0)*0.475*44/12</f>
        <v>1.7257366565755332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15.424222492907059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106.57919999999993</v>
      </c>
      <c r="D125" s="11">
        <f t="shared" si="86"/>
        <v>28.523541515222913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1042.8983555561063</v>
      </c>
      <c r="H125" s="66">
        <f t="shared" si="56"/>
        <v>528.63727480567968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259.99999999999983</v>
      </c>
      <c r="O125" s="13">
        <f>N125*VLOOKUP('Données projet'!$B$9,Paramètres!$A$1:$I$89,3,0)*VLOOKUP('Données projet'!$B$9,Paramètres!$A$1:$I$89,5,0)</f>
        <v>227.13599999999985</v>
      </c>
      <c r="P125" s="13">
        <f t="shared" si="87"/>
        <v>55.662966886685133</v>
      </c>
      <c r="Q125" s="20">
        <f t="shared" si="107"/>
        <v>492.5415339943097</v>
      </c>
      <c r="R125" s="59">
        <f t="shared" si="55"/>
        <v>785.87486732764296</v>
      </c>
      <c r="S125" s="59">
        <f ca="1">AVERAGE(OFFSET($R$3,0,0,'Données projet'!$E$9+1,1))-AVERAGE(OFFSET($H$3,0,0,'Données projet'!$E$9+1,1))</f>
        <v>252.49539407921907</v>
      </c>
      <c r="T125" s="59">
        <f t="shared" si="88"/>
        <v>263.36387286233929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41.38354742662262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41.38354742662262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-0.37249999999998806</v>
      </c>
      <c r="AI125" s="13">
        <f>IF('Données projet'!$A$62&gt;35,AI124+AH125-AQ124,IF(A125&lt;'Données projet'!$A$62,$AF$205^A125,IF(A125='Données projet'!$A$62,'Données projet'!$B$62,AI124+AH125-AQ124)))</f>
        <v>328.46250000000043</v>
      </c>
      <c r="AJ125" s="13">
        <f>AI125*VLOOKUP('Données projet'!$B$10,Paramètres!$A$1:$I$89,3,0)*VLOOKUP('Données projet'!$B$10,Paramètres!$A$1:$I$89,5,0)</f>
        <v>297.19287000000037</v>
      </c>
      <c r="AK125" s="13">
        <f t="shared" si="89"/>
        <v>70.587659605576917</v>
      </c>
      <c r="AL125" s="20">
        <f t="shared" si="58"/>
        <v>640.55108906304713</v>
      </c>
      <c r="AM125" s="59">
        <f t="shared" si="59"/>
        <v>933.88442239638039</v>
      </c>
      <c r="AN125" s="59">
        <f ca="1">AVERAGE(OFFSET($AM$3,0,0,'Données projet'!$E$10+1,1))-AVERAGE(OFFSET($H$3,0,0,'Données projet'!$E$10+1,1))</f>
        <v>370.05613271587413</v>
      </c>
      <c r="AO125" s="59">
        <f t="shared" si="90"/>
        <v>183.24480056442525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182.1991943093293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182.1991943093293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-0.37249999999998806</v>
      </c>
      <c r="BD125" s="12">
        <f>IF('Données projet'!$A$88&gt;35,BD124+BC125-BL124,IF(A125&lt;'Données projet'!$A$88,$BA$205^A125,IF(A125='Données projet'!$A$88,'Données projet'!$B$88,BD124+BC125-BL124)))</f>
        <v>328.46250000000043</v>
      </c>
      <c r="BE125" s="13">
        <f>BD125*VLOOKUP('Données projet'!$B$11,Paramètres!$A$1:$I$89,3,0)*VLOOKUP('Données projet'!$B$11,Paramètres!$A$1:$I$89,5,0)</f>
        <v>333.0609750000005</v>
      </c>
      <c r="BF125" s="13">
        <f t="shared" si="91"/>
        <v>78.064583966684552</v>
      </c>
      <c r="BG125" s="20">
        <f t="shared" si="61"/>
        <v>716.04368186697639</v>
      </c>
      <c r="BH125" s="59">
        <f t="shared" si="62"/>
        <v>1009.3770152003096</v>
      </c>
      <c r="BI125" s="59">
        <f ca="1">AVERAGE(OFFSET($BH$3,0,0,'Données projet'!$E$11+1,1))-AVERAGE(OFFSET($H$3,0,0,'Données projet'!$E$11+1,1))</f>
        <v>428.72181435671394</v>
      </c>
      <c r="BJ125" s="59">
        <f t="shared" si="92"/>
        <v>211.84936043087572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204.18875224321394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204.18875224321394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367.99999999999972</v>
      </c>
      <c r="BZ125" s="13">
        <f>BY125*VLOOKUP('Données projet'!$B$12,Paramètres!$A$1:$I$89,3,0)*VLOOKUP('Données projet'!$B$12,Paramètres!$A$1:$I$89,5,0)</f>
        <v>292.78079999999977</v>
      </c>
      <c r="CA125" s="13">
        <f t="shared" si="93"/>
        <v>69.660903052386217</v>
      </c>
      <c r="CB125" s="20">
        <f t="shared" si="64"/>
        <v>631.25263281623893</v>
      </c>
      <c r="CC125" s="59">
        <f t="shared" si="65"/>
        <v>924.58596614957219</v>
      </c>
      <c r="CD125" s="59">
        <f ca="1">AVERAGE(OFFSET($CC$3,0,0,'Données projet'!$E$12+1,1))-AVERAGE(OFFSET($H$3,0,0,'Données projet'!$E$12+1,1))</f>
        <v>296.737543892524</v>
      </c>
      <c r="CE125" s="59">
        <f t="shared" si="94"/>
        <v>296.38358650317099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26.827186127996004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26.827186127996004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474.99999999999994</v>
      </c>
      <c r="CU125" s="17">
        <f>CT125*VLOOKUP('Données projet'!$B$13,Paramètres!$A$1:$I$89,3,0)*VLOOKUP('Données projet'!$B$13,Paramètres!$A$1:$I$89,5,0)</f>
        <v>407.55</v>
      </c>
      <c r="CV125" s="13">
        <f t="shared" si="95"/>
        <v>93.305642095357683</v>
      </c>
      <c r="CW125" s="20">
        <f t="shared" si="67"/>
        <v>872.32357664941446</v>
      </c>
      <c r="CX125" s="59">
        <f t="shared" si="68"/>
        <v>1165.6569099827477</v>
      </c>
      <c r="CY125" s="59">
        <f ca="1">AVERAGE(OFFSET($CX$3,0,0,'Données projet'!$E$13+1,1))-AVERAGE(OFFSET($H$3,0,0,'Données projet'!$E$13+1,1))</f>
        <v>391.93999504334352</v>
      </c>
      <c r="CZ125" s="59">
        <f t="shared" si="96"/>
        <v>215.4484906985528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117.47524193721416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117.47524193721416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367.99999999999972</v>
      </c>
      <c r="DP125" s="17">
        <f>DO125*VLOOKUP('Données projet'!$B$14,Paramètres!$A$1:$I$89,3,0)*VLOOKUP('Données projet'!$B$14,Paramètres!$A$1:$I$89,5,0)</f>
        <v>269.8175999999998</v>
      </c>
      <c r="DQ125" s="13">
        <f t="shared" si="97"/>
        <v>64.810557882019467</v>
      </c>
      <c r="DR125" s="20">
        <f t="shared" si="70"/>
        <v>582.81070831118348</v>
      </c>
      <c r="DS125" s="59">
        <f t="shared" si="71"/>
        <v>876.14404164451685</v>
      </c>
      <c r="DT125" s="59">
        <f ca="1">AVERAGE(OFFSET($DS$3,0,0,'Données projet'!$E$14+1,1))-AVERAGE(OFFSET($H$3,0,0,'Données projet'!$E$14+1,1))</f>
        <v>267.92147257573157</v>
      </c>
      <c r="DU125" s="59">
        <f t="shared" si="98"/>
        <v>269.06662611892438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20.058358551490922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20.058358551490922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0.8600000000003547</v>
      </c>
      <c r="EK125" s="17">
        <f>EJ125*VLOOKUP('Données projet'!$B$15,Paramètres!$A$1:$I$89,3,0)*VLOOKUP('Données projet'!$B$15,Paramètres!$A$1:$I$89,5,0)</f>
        <v>0.48074000000019829</v>
      </c>
      <c r="EL125" s="13">
        <f t="shared" si="99"/>
        <v>0.24126147010950588</v>
      </c>
      <c r="EM125" s="20">
        <f t="shared" si="73"/>
        <v>1.2574858937744013</v>
      </c>
      <c r="EN125" s="59">
        <f t="shared" si="74"/>
        <v>294.59081922710772</v>
      </c>
      <c r="EO125" s="59">
        <f ca="1">AVERAGE(OFFSET($EN$3,0,0,'Données projet'!$E$15+1,1))-AVERAGE(OFFSET($H$3,0,0,'Données projet'!$E$15+1,1))</f>
        <v>326.29985515186428</v>
      </c>
      <c r="EP125" s="59">
        <f t="shared" si="100"/>
        <v>437.68177084535927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98.637053634154341</v>
      </c>
      <c r="EW125" s="21">
        <f>EXP(-LN(2)/25)*EW124+(1-EXP(-LN(2)/25))/(LN(2)/25)*Calculateur!ER125*Calculateur!ET125*VLOOKUP('Données projet'!$B$15,Paramètres!$A$1:$I$89,3,0)*0.475*44/12</f>
        <v>3.9456039475231606</v>
      </c>
      <c r="EX125" s="21">
        <f>EXP(-LN(2)/2)*EX124+(1-EXP(-LN(2)/2))/(LN(2)/2)*ER125*EU125*VLOOKUP('Données projet'!$B$15,Paramètres!$A$1:$I$89,3,0)*0.475*44/12</f>
        <v>1.0514903139307025E-14</v>
      </c>
      <c r="EY125" s="22">
        <f t="shared" si="75"/>
        <v>102.58265758167751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1.7053025658242404E-13</v>
      </c>
      <c r="FF125" s="17">
        <f>FE125*VLOOKUP('Données projet'!$B$16,Paramètres!$A$1:$I$89,3,0)*VLOOKUP('Données projet'!$B$16,Paramètres!$A$1:$I$89,5,0)</f>
        <v>9.7631982498569413E-14</v>
      </c>
      <c r="FG125" s="13">
        <f t="shared" si="101"/>
        <v>1.4708068762530911E-12</v>
      </c>
      <c r="FH125" s="20">
        <f t="shared" si="76"/>
        <v>2.7316976789924749E-12</v>
      </c>
      <c r="FI125" s="59">
        <f t="shared" si="77"/>
        <v>293.33333333333604</v>
      </c>
      <c r="FJ125" s="59">
        <f ca="1">AVERAGE(OFFSET($FI$3,0,0,'Données projet'!$E$16+1,1))-AVERAGE(OFFSET($H$3,0,0,'Données projet'!$E$16+1,1))</f>
        <v>211.14768428403215</v>
      </c>
      <c r="FK125" s="59">
        <f t="shared" si="102"/>
        <v>350.7800157534798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13.429866884332412</v>
      </c>
      <c r="FR125" s="21">
        <f>EXP(-LN(2)/25)*FR124+(1-EXP(-LN(2)/25))/(LN(2)/25)*Calculateur!FM125*Calculateur!FO125*VLOOKUP('Données projet'!$B$16,Paramètres!$A$1:$I$89,3,0)*0.475*44/12</f>
        <v>1.6785462969489287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15.108413181281341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107.45279999999993</v>
      </c>
      <c r="D126" s="11">
        <f t="shared" si="86"/>
        <v>28.730028519623875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1051.2358692742889</v>
      </c>
      <c r="H126" s="66">
        <f t="shared" si="56"/>
        <v>530.51842633834474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259.99999999999983</v>
      </c>
      <c r="O126" s="13">
        <f>N126*VLOOKUP('Données projet'!$B$9,Paramètres!$A$1:$I$89,3,0)*VLOOKUP('Données projet'!$B$9,Paramètres!$A$1:$I$89,5,0)</f>
        <v>227.13599999999985</v>
      </c>
      <c r="P126" s="13">
        <f t="shared" si="87"/>
        <v>55.662966886685133</v>
      </c>
      <c r="Q126" s="20">
        <f t="shared" si="107"/>
        <v>492.5415339943097</v>
      </c>
      <c r="R126" s="59">
        <f t="shared" si="55"/>
        <v>785.87486732764296</v>
      </c>
      <c r="S126" s="59">
        <f ca="1">AVERAGE(OFFSET($R$3,0,0,'Données projet'!$E$9+1,1))-AVERAGE(OFFSET($H$3,0,0,'Données projet'!$E$9+1,1))</f>
        <v>252.49539407921907</v>
      </c>
      <c r="T126" s="59">
        <f t="shared" si="88"/>
        <v>263.36387286233929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40.572041303058093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40.572041303058093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>
        <f>VLOOKUP(A126,'Données projet'!$A$61:$I$81,2,0)</f>
        <v>328.09</v>
      </c>
      <c r="AG126" s="12">
        <f>VLOOKUP(A126,'Données projet'!$A$61:$I$81,9,0)</f>
        <v>-0.37249999999998806</v>
      </c>
      <c r="AH126" s="12">
        <f t="array" ref="AH126">INDEX(AG:AG,MIN(IF(ISNUMBER(AG126:AG322),ROW(AG126:AG322),"")))</f>
        <v>-0.37249999999998806</v>
      </c>
      <c r="AI126" s="13">
        <f>IF('Données projet'!$A$62&gt;35,AI125+AH126-AQ125,IF(A126&lt;'Données projet'!$A$62,$AF$205^A126,IF(A126='Données projet'!$A$62,'Données projet'!$B$62,AI125+AH126-AQ125)))</f>
        <v>328.09000000000043</v>
      </c>
      <c r="AJ126" s="13">
        <f>AI126*VLOOKUP('Données projet'!$B$10,Paramètres!$A$1:$I$89,3,0)*VLOOKUP('Données projet'!$B$10,Paramètres!$A$1:$I$89,5,0)</f>
        <v>296.85583200000036</v>
      </c>
      <c r="AK126" s="13">
        <f t="shared" si="89"/>
        <v>70.516921463523971</v>
      </c>
      <c r="AL126" s="20">
        <f t="shared" si="58"/>
        <v>639.84087894897141</v>
      </c>
      <c r="AM126" s="59">
        <f t="shared" si="59"/>
        <v>933.17421228230478</v>
      </c>
      <c r="AN126" s="59">
        <f ca="1">AVERAGE(OFFSET($AM$3,0,0,'Données projet'!$E$10+1,1))-AVERAGE(OFFSET($H$3,0,0,'Données projet'!$E$10+1,1))</f>
        <v>370.05613271587413</v>
      </c>
      <c r="AO126" s="59">
        <f t="shared" si="90"/>
        <v>183.24480056442525</v>
      </c>
      <c r="AP126" s="15">
        <f>IF(ISNA(VLOOKUP(A126,'Données projet'!$A$61:$I$81,3,0)),0,VLOOKUP(A126,'Données projet'!$A$61:$I$81,3,0))</f>
        <v>12</v>
      </c>
      <c r="AQ126" s="15">
        <f>IF(ISNA(VLOOKUP(A126,'Données projet'!$A$61:$I$81,4,0)),0,VLOOKUP(A126,'Données projet'!$A$61:$I$81,4,0))</f>
        <v>100.6</v>
      </c>
      <c r="AR126" s="16">
        <f>IF(ISNA(VLOOKUP(A126,'Données projet'!$A$61:$I$81,5,0)),0%,VLOOKUP(A126,'Données projet'!$A$61:$I$81,5,0)*VLOOKUP('Données projet'!$B$10,Paramètres!$A$1:$I$89,7,0))</f>
        <v>0.43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221.89431125036498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221.89431125036498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>
        <f>VLOOKUP(A126,'Données projet'!$A$87:$I$107,2,0)</f>
        <v>328.09</v>
      </c>
      <c r="BB126" s="12">
        <f>VLOOKUP(A126,'Données projet'!$A$87:$I$107,9,0)</f>
        <v>-0.37249999999998806</v>
      </c>
      <c r="BC126" s="12">
        <f t="array" ref="BC126">INDEX(BB:BB,MIN(IF(ISNUMBER(BB126:BB322),ROW(BB126:BB322),"")))</f>
        <v>-0.37249999999998806</v>
      </c>
      <c r="BD126" s="12">
        <f>IF('Données projet'!$A$88&gt;35,BD125+BC126-BL125,IF(A126&lt;'Données projet'!$A$88,$BA$205^A126,IF(A126='Données projet'!$A$88,'Données projet'!$B$88,BD125+BC126-BL125)))</f>
        <v>328.09000000000043</v>
      </c>
      <c r="BE126" s="13">
        <f>BD126*VLOOKUP('Données projet'!$B$11,Paramètres!$A$1:$I$89,3,0)*VLOOKUP('Données projet'!$B$11,Paramètres!$A$1:$I$89,5,0)</f>
        <v>332.68326000000047</v>
      </c>
      <c r="BF126" s="13">
        <f t="shared" si="91"/>
        <v>77.986352960573853</v>
      </c>
      <c r="BG126" s="20">
        <f t="shared" si="61"/>
        <v>715.24957590633358</v>
      </c>
      <c r="BH126" s="59">
        <f t="shared" si="62"/>
        <v>1008.5829092396668</v>
      </c>
      <c r="BI126" s="59">
        <f ca="1">AVERAGE(OFFSET($BH$3,0,0,'Données projet'!$E$11+1,1))-AVERAGE(OFFSET($H$3,0,0,'Données projet'!$E$11+1,1))</f>
        <v>428.72181435671394</v>
      </c>
      <c r="BJ126" s="59">
        <f t="shared" si="92"/>
        <v>211.84936043087572</v>
      </c>
      <c r="BK126" s="15">
        <f>IF(ISNA(VLOOKUP(A126,'Données projet'!$A$87:$I$107,3,0)),0,VLOOKUP(A126,'Données projet'!$A$87:$I$107,3,0))</f>
        <v>12</v>
      </c>
      <c r="BL126" s="15">
        <f>IF(ISNA(VLOOKUP(A126,'Données projet'!$A$87:$I$107,4,0)),0,VLOOKUP(A126,'Données projet'!$A$87:$I$107,4,0))</f>
        <v>100.6</v>
      </c>
      <c r="BM126" s="16">
        <f>IF(ISNA(VLOOKUP(A126,'Données projet'!$A$87:$I$107,5,0)),0%,VLOOKUP(A126,'Données projet'!$A$87:$I$107,5,0)*VLOOKUP('Données projet'!$B$11,Paramètres!$A$1:$I$89,7,0))</f>
        <v>0.43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248.67465915989186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248.67465915989186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367.99999999999972</v>
      </c>
      <c r="BZ126" s="13">
        <f>BY126*VLOOKUP('Données projet'!$B$12,Paramètres!$A$1:$I$89,3,0)*VLOOKUP('Données projet'!$B$12,Paramètres!$A$1:$I$89,5,0)</f>
        <v>292.78079999999977</v>
      </c>
      <c r="CA126" s="13">
        <f t="shared" si="93"/>
        <v>69.660903052386217</v>
      </c>
      <c r="CB126" s="20">
        <f t="shared" si="64"/>
        <v>631.25263281623893</v>
      </c>
      <c r="CC126" s="59">
        <f t="shared" si="65"/>
        <v>924.58596614957219</v>
      </c>
      <c r="CD126" s="59">
        <f ca="1">AVERAGE(OFFSET($CC$3,0,0,'Données projet'!$E$12+1,1))-AVERAGE(OFFSET($H$3,0,0,'Données projet'!$E$12+1,1))</f>
        <v>296.737543892524</v>
      </c>
      <c r="CE126" s="59">
        <f t="shared" si="94"/>
        <v>296.38358650317099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26.301121370993833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26.301121370993833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474.99999999999994</v>
      </c>
      <c r="CU126" s="17">
        <f>CT126*VLOOKUP('Données projet'!$B$13,Paramètres!$A$1:$I$89,3,0)*VLOOKUP('Données projet'!$B$13,Paramètres!$A$1:$I$89,5,0)</f>
        <v>407.55</v>
      </c>
      <c r="CV126" s="13">
        <f t="shared" si="95"/>
        <v>93.305642095357683</v>
      </c>
      <c r="CW126" s="20">
        <f t="shared" si="67"/>
        <v>872.32357664941446</v>
      </c>
      <c r="CX126" s="59">
        <f t="shared" si="68"/>
        <v>1165.6569099827477</v>
      </c>
      <c r="CY126" s="59">
        <f ca="1">AVERAGE(OFFSET($CX$3,0,0,'Données projet'!$E$13+1,1))-AVERAGE(OFFSET($H$3,0,0,'Données projet'!$E$13+1,1))</f>
        <v>391.93999504334352</v>
      </c>
      <c r="CZ126" s="59">
        <f t="shared" si="96"/>
        <v>215.4484906985528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115.17162409564784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115.17162409564784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367.99999999999972</v>
      </c>
      <c r="DP126" s="17">
        <f>DO126*VLOOKUP('Données projet'!$B$14,Paramètres!$A$1:$I$89,3,0)*VLOOKUP('Données projet'!$B$14,Paramètres!$A$1:$I$89,5,0)</f>
        <v>269.8175999999998</v>
      </c>
      <c r="DQ126" s="13">
        <f t="shared" si="97"/>
        <v>64.810557882019467</v>
      </c>
      <c r="DR126" s="20">
        <f t="shared" si="70"/>
        <v>582.81070831118348</v>
      </c>
      <c r="DS126" s="59">
        <f t="shared" si="71"/>
        <v>876.14404164451685</v>
      </c>
      <c r="DT126" s="59">
        <f ca="1">AVERAGE(OFFSET($DS$3,0,0,'Données projet'!$E$14+1,1))-AVERAGE(OFFSET($H$3,0,0,'Données projet'!$E$14+1,1))</f>
        <v>267.92147257573157</v>
      </c>
      <c r="DU126" s="59">
        <f t="shared" si="98"/>
        <v>269.06662611892438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19.665026374686857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19.665026374686857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0.8600000000003547</v>
      </c>
      <c r="EK126" s="17">
        <f>EJ126*VLOOKUP('Données projet'!$B$15,Paramètres!$A$1:$I$89,3,0)*VLOOKUP('Données projet'!$B$15,Paramètres!$A$1:$I$89,5,0)</f>
        <v>0.48074000000019829</v>
      </c>
      <c r="EL126" s="13">
        <f t="shared" si="99"/>
        <v>0.24126147010950588</v>
      </c>
      <c r="EM126" s="20">
        <f t="shared" si="73"/>
        <v>1.2574858937744013</v>
      </c>
      <c r="EN126" s="59">
        <f t="shared" si="74"/>
        <v>294.59081922710772</v>
      </c>
      <c r="EO126" s="59">
        <f ca="1">AVERAGE(OFFSET($EN$3,0,0,'Données projet'!$E$15+1,1))-AVERAGE(OFFSET($H$3,0,0,'Données projet'!$E$15+1,1))</f>
        <v>326.29985515186428</v>
      </c>
      <c r="EP126" s="59">
        <f t="shared" si="100"/>
        <v>437.68177084535927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96.702841175050722</v>
      </c>
      <c r="EW126" s="21">
        <f>EXP(-LN(2)/25)*EW125+(1-EXP(-LN(2)/25))/(LN(2)/25)*Calculateur!ER126*Calculateur!ET126*VLOOKUP('Données projet'!$B$15,Paramètres!$A$1:$I$89,3,0)*0.475*44/12</f>
        <v>3.8377112000878459</v>
      </c>
      <c r="EX126" s="21">
        <f>EXP(-LN(2)/2)*EX125+(1-EXP(-LN(2)/2))/(LN(2)/2)*ER126*EU126*VLOOKUP('Données projet'!$B$15,Paramètres!$A$1:$I$89,3,0)*0.475*44/12</f>
        <v>7.435159313323714E-15</v>
      </c>
      <c r="EY126" s="22">
        <f t="shared" si="75"/>
        <v>100.54055237513859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1.7053025658242404E-13</v>
      </c>
      <c r="FF126" s="17">
        <f>FE126*VLOOKUP('Données projet'!$B$16,Paramètres!$A$1:$I$89,3,0)*VLOOKUP('Données projet'!$B$16,Paramètres!$A$1:$I$89,5,0)</f>
        <v>9.7631982498569413E-14</v>
      </c>
      <c r="FG126" s="13">
        <f t="shared" si="101"/>
        <v>1.4708068762530911E-12</v>
      </c>
      <c r="FH126" s="20">
        <f t="shared" si="76"/>
        <v>2.7316976789924749E-12</v>
      </c>
      <c r="FI126" s="59">
        <f t="shared" si="77"/>
        <v>293.33333333333604</v>
      </c>
      <c r="FJ126" s="59">
        <f ca="1">AVERAGE(OFFSET($FI$3,0,0,'Données projet'!$E$16+1,1))-AVERAGE(OFFSET($H$3,0,0,'Données projet'!$E$16+1,1))</f>
        <v>211.14768428403215</v>
      </c>
      <c r="FK126" s="59">
        <f t="shared" si="102"/>
        <v>350.7800157534798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13.166515386140619</v>
      </c>
      <c r="FR126" s="21">
        <f>EXP(-LN(2)/25)*FR125+(1-EXP(-LN(2)/25))/(LN(2)/25)*Calculateur!FM126*Calculateur!FO126*VLOOKUP('Données projet'!$B$16,Paramètres!$A$1:$I$89,3,0)*0.475*44/12</f>
        <v>1.6326463601879468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14.799161746328565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108.32639999999992</v>
      </c>
      <c r="D127" s="11">
        <f t="shared" si="86"/>
        <v>28.936320206966858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1059.5718752818489</v>
      </c>
      <c r="H127" s="66">
        <f t="shared" si="56"/>
        <v>532.39923769380039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259.99999999999983</v>
      </c>
      <c r="O127" s="13">
        <f>N127*VLOOKUP('Données projet'!$B$9,Paramètres!$A$1:$I$89,3,0)*VLOOKUP('Données projet'!$B$9,Paramètres!$A$1:$I$89,5,0)</f>
        <v>227.13599999999985</v>
      </c>
      <c r="P127" s="13">
        <f t="shared" si="87"/>
        <v>55.662966886685133</v>
      </c>
      <c r="Q127" s="20">
        <f t="shared" si="107"/>
        <v>492.5415339943097</v>
      </c>
      <c r="R127" s="59">
        <f t="shared" si="55"/>
        <v>785.87486732764296</v>
      </c>
      <c r="S127" s="59">
        <f ca="1">AVERAGE(OFFSET($R$3,0,0,'Données projet'!$E$9+1,1))-AVERAGE(OFFSET($H$3,0,0,'Données projet'!$E$9+1,1))</f>
        <v>252.49539407921907</v>
      </c>
      <c r="T127" s="59">
        <f t="shared" si="88"/>
        <v>263.36387286233929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39.776448319606807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39.776448319606807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0.19750000000000512</v>
      </c>
      <c r="AI127" s="13">
        <f>IF('Données projet'!$A$62&gt;35,AI126+AH127-AQ126,IF(A127&lt;'Données projet'!$A$62,$AF$205^A127,IF(A127='Données projet'!$A$62,'Données projet'!$B$62,AI126+AH127-AQ126)))</f>
        <v>227.68750000000043</v>
      </c>
      <c r="AJ127" s="13">
        <f>AI127*VLOOKUP('Données projet'!$B$10,Paramètres!$A$1:$I$89,3,0)*VLOOKUP('Données projet'!$B$10,Paramètres!$A$1:$I$89,5,0)</f>
        <v>206.01165000000037</v>
      </c>
      <c r="AK127" s="13">
        <f t="shared" si="89"/>
        <v>51.063060633166664</v>
      </c>
      <c r="AL127" s="20">
        <f t="shared" si="58"/>
        <v>447.73845435276593</v>
      </c>
      <c r="AM127" s="59">
        <f t="shared" si="59"/>
        <v>741.07178768609924</v>
      </c>
      <c r="AN127" s="59">
        <f ca="1">AVERAGE(OFFSET($AM$3,0,0,'Données projet'!$E$10+1,1))-AVERAGE(OFFSET($H$3,0,0,'Données projet'!$E$10+1,1))</f>
        <v>370.05613271587413</v>
      </c>
      <c r="AO127" s="59">
        <f t="shared" si="90"/>
        <v>183.24480056442525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217.54309914891127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217.54309914891127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0.19750000000000512</v>
      </c>
      <c r="BD127" s="12">
        <f>IF('Données projet'!$A$88&gt;35,BD126+BC127-BL126,IF(A127&lt;'Données projet'!$A$88,$BA$205^A127,IF(A127='Données projet'!$A$88,'Données projet'!$B$88,BD126+BC127-BL126)))</f>
        <v>227.68750000000043</v>
      </c>
      <c r="BE127" s="13">
        <f>BD127*VLOOKUP('Données projet'!$B$11,Paramètres!$A$1:$I$89,3,0)*VLOOKUP('Données projet'!$B$11,Paramètres!$A$1:$I$89,5,0)</f>
        <v>230.87512500000042</v>
      </c>
      <c r="BF127" s="13">
        <f t="shared" si="91"/>
        <v>56.471862173466945</v>
      </c>
      <c r="BG127" s="20">
        <f t="shared" si="61"/>
        <v>500.46266932712228</v>
      </c>
      <c r="BH127" s="59">
        <f t="shared" si="62"/>
        <v>793.79600266045554</v>
      </c>
      <c r="BI127" s="59">
        <f ca="1">AVERAGE(OFFSET($BH$3,0,0,'Données projet'!$E$11+1,1))-AVERAGE(OFFSET($H$3,0,0,'Données projet'!$E$11+1,1))</f>
        <v>428.72181435671394</v>
      </c>
      <c r="BJ127" s="59">
        <f t="shared" si="92"/>
        <v>211.84936043087572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243.79830077033165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243.79830077033165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367.99999999999972</v>
      </c>
      <c r="BZ127" s="13">
        <f>BY127*VLOOKUP('Données projet'!$B$12,Paramètres!$A$1:$I$89,3,0)*VLOOKUP('Données projet'!$B$12,Paramètres!$A$1:$I$89,5,0)</f>
        <v>292.78079999999977</v>
      </c>
      <c r="CA127" s="13">
        <f t="shared" si="93"/>
        <v>69.660903052386217</v>
      </c>
      <c r="CB127" s="20">
        <f t="shared" si="64"/>
        <v>631.25263281623893</v>
      </c>
      <c r="CC127" s="59">
        <f t="shared" si="65"/>
        <v>924.58596614957219</v>
      </c>
      <c r="CD127" s="59">
        <f ca="1">AVERAGE(OFFSET($CC$3,0,0,'Données projet'!$E$12+1,1))-AVERAGE(OFFSET($H$3,0,0,'Données projet'!$E$12+1,1))</f>
        <v>296.737543892524</v>
      </c>
      <c r="CE127" s="59">
        <f t="shared" si="94"/>
        <v>296.38358650317099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25.785372423008656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25.785372423008656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474.99999999999994</v>
      </c>
      <c r="CU127" s="17">
        <f>CT127*VLOOKUP('Données projet'!$B$13,Paramètres!$A$1:$I$89,3,0)*VLOOKUP('Données projet'!$B$13,Paramètres!$A$1:$I$89,5,0)</f>
        <v>407.55</v>
      </c>
      <c r="CV127" s="13">
        <f t="shared" si="95"/>
        <v>93.305642095357683</v>
      </c>
      <c r="CW127" s="20">
        <f t="shared" si="67"/>
        <v>872.32357664941446</v>
      </c>
      <c r="CX127" s="59">
        <f t="shared" si="68"/>
        <v>1165.6569099827477</v>
      </c>
      <c r="CY127" s="59">
        <f ca="1">AVERAGE(OFFSET($CX$3,0,0,'Données projet'!$E$13+1,1))-AVERAGE(OFFSET($H$3,0,0,'Données projet'!$E$13+1,1))</f>
        <v>391.93999504334352</v>
      </c>
      <c r="CZ127" s="59">
        <f t="shared" si="96"/>
        <v>215.4484906985528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112.91317879488649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112.91317879488649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367.99999999999972</v>
      </c>
      <c r="DP127" s="17">
        <f>DO127*VLOOKUP('Données projet'!$B$14,Paramètres!$A$1:$I$89,3,0)*VLOOKUP('Données projet'!$B$14,Paramètres!$A$1:$I$89,5,0)</f>
        <v>269.8175999999998</v>
      </c>
      <c r="DQ127" s="13">
        <f t="shared" si="97"/>
        <v>64.810557882019467</v>
      </c>
      <c r="DR127" s="20">
        <f t="shared" si="70"/>
        <v>582.81070831118348</v>
      </c>
      <c r="DS127" s="59">
        <f t="shared" si="71"/>
        <v>876.14404164451685</v>
      </c>
      <c r="DT127" s="59">
        <f ca="1">AVERAGE(OFFSET($DS$3,0,0,'Données projet'!$E$14+1,1))-AVERAGE(OFFSET($H$3,0,0,'Données projet'!$E$14+1,1))</f>
        <v>267.92147257573157</v>
      </c>
      <c r="DU127" s="59">
        <f t="shared" si="98"/>
        <v>269.06662611892438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19.279407201960979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19.279407201960979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0.8600000000003547</v>
      </c>
      <c r="EK127" s="17">
        <f>EJ127*VLOOKUP('Données projet'!$B$15,Paramètres!$A$1:$I$89,3,0)*VLOOKUP('Données projet'!$B$15,Paramètres!$A$1:$I$89,5,0)</f>
        <v>0.48074000000019829</v>
      </c>
      <c r="EL127" s="13">
        <f t="shared" si="99"/>
        <v>0.24126147010950588</v>
      </c>
      <c r="EM127" s="20">
        <f t="shared" si="73"/>
        <v>1.2574858937744013</v>
      </c>
      <c r="EN127" s="59">
        <f t="shared" si="74"/>
        <v>294.59081922710772</v>
      </c>
      <c r="EO127" s="59">
        <f ca="1">AVERAGE(OFFSET($EN$3,0,0,'Données projet'!$E$15+1,1))-AVERAGE(OFFSET($H$3,0,0,'Données projet'!$E$15+1,1))</f>
        <v>326.29985515186428</v>
      </c>
      <c r="EP127" s="59">
        <f t="shared" si="100"/>
        <v>437.68177084535927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94.806557442517018</v>
      </c>
      <c r="EW127" s="21">
        <f>EXP(-LN(2)/25)*EW126+(1-EXP(-LN(2)/25))/(LN(2)/25)*Calculateur!ER127*Calculateur!ET127*VLOOKUP('Données projet'!$B$15,Paramètres!$A$1:$I$89,3,0)*0.475*44/12</f>
        <v>3.7327687855049829</v>
      </c>
      <c r="EX127" s="21">
        <f>EXP(-LN(2)/2)*EX126+(1-EXP(-LN(2)/2))/(LN(2)/2)*ER127*EU127*VLOOKUP('Données projet'!$B$15,Paramètres!$A$1:$I$89,3,0)*0.475*44/12</f>
        <v>5.2574515696535125E-15</v>
      </c>
      <c r="EY127" s="22">
        <f t="shared" si="75"/>
        <v>98.539326228022006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1.7053025658242404E-13</v>
      </c>
      <c r="FF127" s="17">
        <f>FE127*VLOOKUP('Données projet'!$B$16,Paramètres!$A$1:$I$89,3,0)*VLOOKUP('Données projet'!$B$16,Paramètres!$A$1:$I$89,5,0)</f>
        <v>9.7631982498569413E-14</v>
      </c>
      <c r="FG127" s="13">
        <f t="shared" si="101"/>
        <v>1.4708068762530911E-12</v>
      </c>
      <c r="FH127" s="20">
        <f t="shared" si="76"/>
        <v>2.7316976789924749E-12</v>
      </c>
      <c r="FI127" s="59">
        <f t="shared" si="77"/>
        <v>293.33333333333604</v>
      </c>
      <c r="FJ127" s="59">
        <f ca="1">AVERAGE(OFFSET($FI$3,0,0,'Données projet'!$E$16+1,1))-AVERAGE(OFFSET($H$3,0,0,'Données projet'!$E$16+1,1))</f>
        <v>211.14768428403215</v>
      </c>
      <c r="FK127" s="59">
        <f t="shared" si="102"/>
        <v>350.7800157534798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12.908328050199813</v>
      </c>
      <c r="FR127" s="21">
        <f>EXP(-LN(2)/25)*FR126+(1-EXP(-LN(2)/25))/(LN(2)/25)*Calculateur!FM127*Calculateur!FO127*VLOOKUP('Données projet'!$B$16,Paramètres!$A$1:$I$89,3,0)*0.475*44/12</f>
        <v>1.5880015596114667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14.49632960981128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109.19999999999992</v>
      </c>
      <c r="D128" s="11">
        <f t="shared" si="86"/>
        <v>29.142418334948587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1067.9063871469709</v>
      </c>
      <c r="H128" s="66">
        <f t="shared" si="56"/>
        <v>534.27971193336862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259.99999999999983</v>
      </c>
      <c r="O128" s="13">
        <f>N128*VLOOKUP('Données projet'!$B$9,Paramètres!$A$1:$I$89,3,0)*VLOOKUP('Données projet'!$B$9,Paramètres!$A$1:$I$89,5,0)</f>
        <v>227.13599999999985</v>
      </c>
      <c r="P128" s="13">
        <f t="shared" si="87"/>
        <v>55.662966886685133</v>
      </c>
      <c r="Q128" s="20">
        <f t="shared" si="107"/>
        <v>492.5415339943097</v>
      </c>
      <c r="R128" s="59">
        <f t="shared" si="55"/>
        <v>785.87486732764296</v>
      </c>
      <c r="S128" s="59">
        <f ca="1">AVERAGE(OFFSET($R$3,0,0,'Données projet'!$E$9+1,1))-AVERAGE(OFFSET($H$3,0,0,'Données projet'!$E$9+1,1))</f>
        <v>252.49539407921907</v>
      </c>
      <c r="T128" s="59">
        <f t="shared" si="88"/>
        <v>263.36387286233929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38.996456429297197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38.996456429297197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0.19750000000000512</v>
      </c>
      <c r="AI128" s="13">
        <f>IF('Données projet'!$A$62&gt;35,AI127+AH128-AQ127,IF(A128&lt;'Données projet'!$A$62,$AF$205^A128,IF(A128='Données projet'!$A$62,'Données projet'!$B$62,AI127+AH128-AQ127)))</f>
        <v>227.88500000000045</v>
      </c>
      <c r="AJ128" s="13">
        <f>AI128*VLOOKUP('Données projet'!$B$10,Paramètres!$A$1:$I$89,3,0)*VLOOKUP('Données projet'!$B$10,Paramètres!$A$1:$I$89,5,0)</f>
        <v>206.19034800000037</v>
      </c>
      <c r="AK128" s="13">
        <f t="shared" si="89"/>
        <v>51.102195921911175</v>
      </c>
      <c r="AL128" s="20">
        <f t="shared" si="58"/>
        <v>448.11784733066253</v>
      </c>
      <c r="AM128" s="59">
        <f t="shared" si="59"/>
        <v>741.45118066399584</v>
      </c>
      <c r="AN128" s="59">
        <f ca="1">AVERAGE(OFFSET($AM$3,0,0,'Données projet'!$E$10+1,1))-AVERAGE(OFFSET($H$3,0,0,'Données projet'!$E$10+1,1))</f>
        <v>370.05613271587413</v>
      </c>
      <c r="AO128" s="59">
        <f t="shared" si="90"/>
        <v>183.24480056442525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213.27721166278974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213.27721166278974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0.19750000000000512</v>
      </c>
      <c r="BD128" s="12">
        <f>IF('Données projet'!$A$88&gt;35,BD127+BC128-BL127,IF(A128&lt;'Données projet'!$A$88,$BA$205^A128,IF(A128='Données projet'!$A$88,'Données projet'!$B$88,BD127+BC128-BL127)))</f>
        <v>227.88500000000045</v>
      </c>
      <c r="BE128" s="13">
        <f>BD128*VLOOKUP('Données projet'!$B$11,Paramètres!$A$1:$I$89,3,0)*VLOOKUP('Données projet'!$B$11,Paramètres!$A$1:$I$89,5,0)</f>
        <v>231.07539000000048</v>
      </c>
      <c r="BF128" s="13">
        <f t="shared" si="91"/>
        <v>56.515142826931459</v>
      </c>
      <c r="BG128" s="20">
        <f t="shared" si="61"/>
        <v>500.88684467357308</v>
      </c>
      <c r="BH128" s="59">
        <f t="shared" si="62"/>
        <v>794.22017800690639</v>
      </c>
      <c r="BI128" s="59">
        <f ca="1">AVERAGE(OFFSET($BH$3,0,0,'Données projet'!$E$11+1,1))-AVERAGE(OFFSET($H$3,0,0,'Données projet'!$E$11+1,1))</f>
        <v>428.72181435671394</v>
      </c>
      <c r="BJ128" s="59">
        <f t="shared" si="92"/>
        <v>211.84936043087572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239.01756479450577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239.01756479450577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367.99999999999972</v>
      </c>
      <c r="BZ128" s="13">
        <f>BY128*VLOOKUP('Données projet'!$B$12,Paramètres!$A$1:$I$89,3,0)*VLOOKUP('Données projet'!$B$12,Paramètres!$A$1:$I$89,5,0)</f>
        <v>292.78079999999977</v>
      </c>
      <c r="CA128" s="13">
        <f t="shared" si="93"/>
        <v>69.660903052386217</v>
      </c>
      <c r="CB128" s="20">
        <f t="shared" si="64"/>
        <v>631.25263281623893</v>
      </c>
      <c r="CC128" s="59">
        <f t="shared" si="65"/>
        <v>924.58596614957219</v>
      </c>
      <c r="CD128" s="59">
        <f ca="1">AVERAGE(OFFSET($CC$3,0,0,'Données projet'!$E$12+1,1))-AVERAGE(OFFSET($H$3,0,0,'Données projet'!$E$12+1,1))</f>
        <v>296.737543892524</v>
      </c>
      <c r="CE128" s="59">
        <f t="shared" si="94"/>
        <v>296.38358650317099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25.27973699731767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25.27973699731767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474.99999999999994</v>
      </c>
      <c r="CU128" s="17">
        <f>CT128*VLOOKUP('Données projet'!$B$13,Paramètres!$A$1:$I$89,3,0)*VLOOKUP('Données projet'!$B$13,Paramètres!$A$1:$I$89,5,0)</f>
        <v>407.55</v>
      </c>
      <c r="CV128" s="13">
        <f t="shared" si="95"/>
        <v>93.305642095357683</v>
      </c>
      <c r="CW128" s="20">
        <f t="shared" si="67"/>
        <v>872.32357664941446</v>
      </c>
      <c r="CX128" s="59">
        <f t="shared" si="68"/>
        <v>1165.6569099827477</v>
      </c>
      <c r="CY128" s="59">
        <f ca="1">AVERAGE(OFFSET($CX$3,0,0,'Données projet'!$E$13+1,1))-AVERAGE(OFFSET($H$3,0,0,'Données projet'!$E$13+1,1))</f>
        <v>391.93999504334352</v>
      </c>
      <c r="CZ128" s="59">
        <f t="shared" si="96"/>
        <v>215.4484906985528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110.69902022895747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110.69902022895747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367.99999999999972</v>
      </c>
      <c r="DP128" s="17">
        <f>DO128*VLOOKUP('Données projet'!$B$14,Paramètres!$A$1:$I$89,3,0)*VLOOKUP('Données projet'!$B$14,Paramètres!$A$1:$I$89,5,0)</f>
        <v>269.8175999999998</v>
      </c>
      <c r="DQ128" s="13">
        <f t="shared" si="97"/>
        <v>64.810557882019467</v>
      </c>
      <c r="DR128" s="20">
        <f t="shared" si="70"/>
        <v>582.81070831118348</v>
      </c>
      <c r="DS128" s="59">
        <f t="shared" si="71"/>
        <v>876.14404164451685</v>
      </c>
      <c r="DT128" s="59">
        <f ca="1">AVERAGE(OFFSET($DS$3,0,0,'Données projet'!$E$14+1,1))-AVERAGE(OFFSET($H$3,0,0,'Données projet'!$E$14+1,1))</f>
        <v>267.92147257573157</v>
      </c>
      <c r="DU128" s="59">
        <f t="shared" si="98"/>
        <v>269.06662611892438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18.901349786007785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18.901349786007785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0.8600000000003547</v>
      </c>
      <c r="EK128" s="17">
        <f>EJ128*VLOOKUP('Données projet'!$B$15,Paramètres!$A$1:$I$89,3,0)*VLOOKUP('Données projet'!$B$15,Paramètres!$A$1:$I$89,5,0)</f>
        <v>0.48074000000019829</v>
      </c>
      <c r="EL128" s="13">
        <f t="shared" si="99"/>
        <v>0.24126147010950588</v>
      </c>
      <c r="EM128" s="20">
        <f t="shared" si="73"/>
        <v>1.2574858937744013</v>
      </c>
      <c r="EN128" s="59">
        <f t="shared" si="74"/>
        <v>294.59081922710772</v>
      </c>
      <c r="EO128" s="59">
        <f ca="1">AVERAGE(OFFSET($EN$3,0,0,'Données projet'!$E$15+1,1))-AVERAGE(OFFSET($H$3,0,0,'Données projet'!$E$15+1,1))</f>
        <v>326.29985515186428</v>
      </c>
      <c r="EP128" s="59">
        <f t="shared" si="100"/>
        <v>437.68177084535927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92.947458677359421</v>
      </c>
      <c r="EW128" s="21">
        <f>EXP(-LN(2)/25)*EW127+(1-EXP(-LN(2)/25))/(LN(2)/25)*Calculateur!ER128*Calculateur!ET128*VLOOKUP('Données projet'!$B$15,Paramètres!$A$1:$I$89,3,0)*0.475*44/12</f>
        <v>3.6306960267675703</v>
      </c>
      <c r="EX128" s="21">
        <f>EXP(-LN(2)/2)*EX127+(1-EXP(-LN(2)/2))/(LN(2)/2)*ER128*EU128*VLOOKUP('Données projet'!$B$15,Paramètres!$A$1:$I$89,3,0)*0.475*44/12</f>
        <v>3.717579656661857E-15</v>
      </c>
      <c r="EY128" s="22">
        <f t="shared" si="75"/>
        <v>96.578154704126987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1.7053025658242404E-13</v>
      </c>
      <c r="FF128" s="17">
        <f>FE128*VLOOKUP('Données projet'!$B$16,Paramètres!$A$1:$I$89,3,0)*VLOOKUP('Données projet'!$B$16,Paramètres!$A$1:$I$89,5,0)</f>
        <v>9.7631982498569413E-14</v>
      </c>
      <c r="FG128" s="13">
        <f t="shared" si="101"/>
        <v>1.4708068762530911E-12</v>
      </c>
      <c r="FH128" s="20">
        <f t="shared" si="76"/>
        <v>2.7316976789924749E-12</v>
      </c>
      <c r="FI128" s="59">
        <f t="shared" si="77"/>
        <v>293.33333333333604</v>
      </c>
      <c r="FJ128" s="59">
        <f ca="1">AVERAGE(OFFSET($FI$3,0,0,'Données projet'!$E$16+1,1))-AVERAGE(OFFSET($H$3,0,0,'Données projet'!$E$16+1,1))</f>
        <v>211.14768428403215</v>
      </c>
      <c r="FK128" s="59">
        <f t="shared" si="102"/>
        <v>350.7800157534798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12.655203610438081</v>
      </c>
      <c r="FR128" s="21">
        <f>EXP(-LN(2)/25)*FR127+(1-EXP(-LN(2)/25))/(LN(2)/25)*Calculateur!FM128*Calculateur!FO128*VLOOKUP('Données projet'!$B$16,Paramètres!$A$1:$I$89,3,0)*0.475*44/12</f>
        <v>1.5445775734545186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14.199781183892599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110.07359999999991</v>
      </c>
      <c r="D129" s="11">
        <f t="shared" si="86"/>
        <v>29.348324631518803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1076.2394182082146</v>
      </c>
      <c r="H129" s="66">
        <f t="shared" si="56"/>
        <v>536.15985206656171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259.99999999999983</v>
      </c>
      <c r="O129" s="13">
        <f>N129*VLOOKUP('Données projet'!$B$9,Paramètres!$A$1:$I$89,3,0)*VLOOKUP('Données projet'!$B$9,Paramètres!$A$1:$I$89,5,0)</f>
        <v>227.13599999999985</v>
      </c>
      <c r="P129" s="13">
        <f t="shared" si="87"/>
        <v>55.662966886685133</v>
      </c>
      <c r="Q129" s="20">
        <f t="shared" si="107"/>
        <v>492.5415339943097</v>
      </c>
      <c r="R129" s="59">
        <f t="shared" si="55"/>
        <v>785.87486732764296</v>
      </c>
      <c r="S129" s="59">
        <f ca="1">AVERAGE(OFFSET($R$3,0,0,'Données projet'!$E$9+1,1))-AVERAGE(OFFSET($H$3,0,0,'Données projet'!$E$9+1,1))</f>
        <v>252.49539407921907</v>
      </c>
      <c r="T129" s="59">
        <f t="shared" si="88"/>
        <v>263.36387286233929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38.231759704208478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38.231759704208478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0.19750000000000512</v>
      </c>
      <c r="AI129" s="13">
        <f>IF('Données projet'!$A$62&gt;35,AI128+AH129-AQ128,IF(A129&lt;'Données projet'!$A$62,$AF$205^A129,IF(A129='Données projet'!$A$62,'Données projet'!$B$62,AI128+AH129-AQ128)))</f>
        <v>228.08250000000044</v>
      </c>
      <c r="AJ129" s="13">
        <f>AI129*VLOOKUP('Données projet'!$B$10,Paramètres!$A$1:$I$89,3,0)*VLOOKUP('Données projet'!$B$10,Paramètres!$A$1:$I$89,5,0)</f>
        <v>206.3690460000004</v>
      </c>
      <c r="AK129" s="13">
        <f t="shared" si="89"/>
        <v>51.141327262893078</v>
      </c>
      <c r="AL129" s="20">
        <f t="shared" si="58"/>
        <v>448.49723343287286</v>
      </c>
      <c r="AM129" s="59">
        <f t="shared" si="59"/>
        <v>741.83056676620618</v>
      </c>
      <c r="AN129" s="59">
        <f ca="1">AVERAGE(OFFSET($AM$3,0,0,'Données projet'!$E$10+1,1))-AVERAGE(OFFSET($H$3,0,0,'Données projet'!$E$10+1,1))</f>
        <v>370.05613271587413</v>
      </c>
      <c r="AO129" s="59">
        <f t="shared" si="90"/>
        <v>183.24480056442525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209.09497562833658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209.09497562833658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0.19750000000000512</v>
      </c>
      <c r="BD129" s="12">
        <f>IF('Données projet'!$A$88&gt;35,BD128+BC129-BL128,IF(A129&lt;'Données projet'!$A$88,$BA$205^A129,IF(A129='Données projet'!$A$88,'Données projet'!$B$88,BD128+BC129-BL128)))</f>
        <v>228.08250000000044</v>
      </c>
      <c r="BE129" s="13">
        <f>BD129*VLOOKUP('Données projet'!$B$11,Paramètres!$A$1:$I$89,3,0)*VLOOKUP('Données projet'!$B$11,Paramètres!$A$1:$I$89,5,0)</f>
        <v>231.27565500000046</v>
      </c>
      <c r="BF129" s="13">
        <f t="shared" si="91"/>
        <v>56.558419114470617</v>
      </c>
      <c r="BG129" s="20">
        <f t="shared" si="61"/>
        <v>501.31101241603716</v>
      </c>
      <c r="BH129" s="59">
        <f t="shared" si="62"/>
        <v>794.64434574937047</v>
      </c>
      <c r="BI129" s="59">
        <f ca="1">AVERAGE(OFFSET($BH$3,0,0,'Données projet'!$E$11+1,1))-AVERAGE(OFFSET($H$3,0,0,'Données projet'!$E$11+1,1))</f>
        <v>428.72181435671394</v>
      </c>
      <c r="BJ129" s="59">
        <f t="shared" si="92"/>
        <v>211.84936043087572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234.33057613520484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234.33057613520484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367.99999999999972</v>
      </c>
      <c r="BZ129" s="13">
        <f>BY129*VLOOKUP('Données projet'!$B$12,Paramètres!$A$1:$I$89,3,0)*VLOOKUP('Données projet'!$B$12,Paramètres!$A$1:$I$89,5,0)</f>
        <v>292.78079999999977</v>
      </c>
      <c r="CA129" s="13">
        <f t="shared" si="93"/>
        <v>69.660903052386217</v>
      </c>
      <c r="CB129" s="20">
        <f t="shared" si="64"/>
        <v>631.25263281623893</v>
      </c>
      <c r="CC129" s="59">
        <f t="shared" si="65"/>
        <v>924.58596614957219</v>
      </c>
      <c r="CD129" s="59">
        <f ca="1">AVERAGE(OFFSET($CC$3,0,0,'Données projet'!$E$12+1,1))-AVERAGE(OFFSET($H$3,0,0,'Données projet'!$E$12+1,1))</f>
        <v>296.737543892524</v>
      </c>
      <c r="CE129" s="59">
        <f t="shared" si="94"/>
        <v>296.38358650317099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24.784016773917326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24.784016773917326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474.99999999999994</v>
      </c>
      <c r="CU129" s="17">
        <f>CT129*VLOOKUP('Données projet'!$B$13,Paramètres!$A$1:$I$89,3,0)*VLOOKUP('Données projet'!$B$13,Paramètres!$A$1:$I$89,5,0)</f>
        <v>407.55</v>
      </c>
      <c r="CV129" s="13">
        <f t="shared" si="95"/>
        <v>93.305642095357683</v>
      </c>
      <c r="CW129" s="20">
        <f t="shared" si="67"/>
        <v>872.32357664941446</v>
      </c>
      <c r="CX129" s="59">
        <f t="shared" si="68"/>
        <v>1165.6569099827477</v>
      </c>
      <c r="CY129" s="59">
        <f ca="1">AVERAGE(OFFSET($CX$3,0,0,'Données projet'!$E$13+1,1))-AVERAGE(OFFSET($H$3,0,0,'Données projet'!$E$13+1,1))</f>
        <v>391.93999504334352</v>
      </c>
      <c r="CZ129" s="59">
        <f t="shared" si="96"/>
        <v>215.4484906985528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108.52827996200293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108.52827996200293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367.99999999999972</v>
      </c>
      <c r="DP129" s="17">
        <f>DO129*VLOOKUP('Données projet'!$B$14,Paramètres!$A$1:$I$89,3,0)*VLOOKUP('Données projet'!$B$14,Paramètres!$A$1:$I$89,5,0)</f>
        <v>269.8175999999998</v>
      </c>
      <c r="DQ129" s="13">
        <f t="shared" si="97"/>
        <v>64.810557882019467</v>
      </c>
      <c r="DR129" s="20">
        <f t="shared" si="70"/>
        <v>582.81070831118348</v>
      </c>
      <c r="DS129" s="59">
        <f t="shared" si="71"/>
        <v>876.14404164451685</v>
      </c>
      <c r="DT129" s="59">
        <f ca="1">AVERAGE(OFFSET($DS$3,0,0,'Données projet'!$E$14+1,1))-AVERAGE(OFFSET($H$3,0,0,'Données projet'!$E$14+1,1))</f>
        <v>267.92147257573157</v>
      </c>
      <c r="DU129" s="59">
        <f t="shared" si="98"/>
        <v>269.06662611892438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18.530705845389178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18.530705845389178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0.8600000000003547</v>
      </c>
      <c r="EK129" s="17">
        <f>EJ129*VLOOKUP('Données projet'!$B$15,Paramètres!$A$1:$I$89,3,0)*VLOOKUP('Données projet'!$B$15,Paramètres!$A$1:$I$89,5,0)</f>
        <v>0.48074000000019829</v>
      </c>
      <c r="EL129" s="13">
        <f t="shared" si="99"/>
        <v>0.24126147010950588</v>
      </c>
      <c r="EM129" s="20">
        <f t="shared" si="73"/>
        <v>1.2574858937744013</v>
      </c>
      <c r="EN129" s="59">
        <f t="shared" si="74"/>
        <v>294.59081922710772</v>
      </c>
      <c r="EO129" s="59">
        <f ca="1">AVERAGE(OFFSET($EN$3,0,0,'Données projet'!$E$15+1,1))-AVERAGE(OFFSET($H$3,0,0,'Données projet'!$E$15+1,1))</f>
        <v>326.29985515186428</v>
      </c>
      <c r="EP129" s="59">
        <f t="shared" si="100"/>
        <v>437.68177084535927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91.124815705048292</v>
      </c>
      <c r="EW129" s="21">
        <f>EXP(-LN(2)/25)*EW128+(1-EXP(-LN(2)/25))/(LN(2)/25)*Calculateur!ER129*Calculateur!ET129*VLOOKUP('Données projet'!$B$15,Paramètres!$A$1:$I$89,3,0)*0.475*44/12</f>
        <v>3.5314144529856053</v>
      </c>
      <c r="EX129" s="21">
        <f>EXP(-LN(2)/2)*EX128+(1-EXP(-LN(2)/2))/(LN(2)/2)*ER129*EU129*VLOOKUP('Données projet'!$B$15,Paramètres!$A$1:$I$89,3,0)*0.475*44/12</f>
        <v>2.6287257848267563E-15</v>
      </c>
      <c r="EY129" s="22">
        <f t="shared" si="75"/>
        <v>94.656230158033893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1.7053025658242404E-13</v>
      </c>
      <c r="FF129" s="17">
        <f>FE129*VLOOKUP('Données projet'!$B$16,Paramètres!$A$1:$I$89,3,0)*VLOOKUP('Données projet'!$B$16,Paramètres!$A$1:$I$89,5,0)</f>
        <v>9.7631982498569413E-14</v>
      </c>
      <c r="FG129" s="13">
        <f t="shared" si="101"/>
        <v>1.4708068762530911E-12</v>
      </c>
      <c r="FH129" s="20">
        <f t="shared" si="76"/>
        <v>2.7316976789924749E-12</v>
      </c>
      <c r="FI129" s="59">
        <f t="shared" si="77"/>
        <v>293.33333333333604</v>
      </c>
      <c r="FJ129" s="59">
        <f ca="1">AVERAGE(OFFSET($FI$3,0,0,'Données projet'!$E$16+1,1))-AVERAGE(OFFSET($H$3,0,0,'Données projet'!$E$16+1,1))</f>
        <v>211.14768428403215</v>
      </c>
      <c r="FK129" s="59">
        <f t="shared" si="102"/>
        <v>350.7800157534798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12.407042786549413</v>
      </c>
      <c r="FR129" s="21">
        <f>EXP(-LN(2)/25)*FR128+(1-EXP(-LN(2)/25))/(LN(2)/25)*Calculateur!FM129*Calculateur!FO129*VLOOKUP('Données projet'!$B$16,Paramètres!$A$1:$I$89,3,0)*0.475*44/12</f>
        <v>1.5023410184826005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13.909383805032013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110.94719999999991</v>
      </c>
      <c r="D130" s="11">
        <f t="shared" si="86"/>
        <v>29.554040795615606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1084.5709815801899</v>
      </c>
      <c r="H130" s="66">
        <f t="shared" si="56"/>
        <v>538.03966105236361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259.99999999999983</v>
      </c>
      <c r="O130" s="13">
        <f>N130*VLOOKUP('Données projet'!$B$9,Paramètres!$A$1:$I$89,3,0)*VLOOKUP('Données projet'!$B$9,Paramètres!$A$1:$I$89,5,0)</f>
        <v>227.13599999999985</v>
      </c>
      <c r="P130" s="13">
        <f t="shared" si="87"/>
        <v>55.662966886685133</v>
      </c>
      <c r="Q130" s="20">
        <f t="shared" si="107"/>
        <v>492.5415339943097</v>
      </c>
      <c r="R130" s="59">
        <f t="shared" si="55"/>
        <v>785.87486732764296</v>
      </c>
      <c r="S130" s="59">
        <f ca="1">AVERAGE(OFFSET($R$3,0,0,'Données projet'!$E$9+1,1))-AVERAGE(OFFSET($H$3,0,0,'Données projet'!$E$9+1,1))</f>
        <v>252.49539407921907</v>
      </c>
      <c r="T130" s="59">
        <f t="shared" si="88"/>
        <v>263.36387286233929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37.482058215479803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37.482058215479803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>
        <f>VLOOKUP(A130,'Données projet'!$A$61:$I$81,2,0)</f>
        <v>228.28</v>
      </c>
      <c r="AG130" s="12">
        <f>VLOOKUP(A130,'Données projet'!$A$61:$I$81,9,0)</f>
        <v>0.19750000000000512</v>
      </c>
      <c r="AH130" s="12">
        <f t="array" ref="AH130">INDEX(AG:AG,MIN(IF(ISNUMBER(AG130:AG326),ROW(AG130:AG326),"")))</f>
        <v>0.19750000000000512</v>
      </c>
      <c r="AI130" s="13">
        <f>IF('Données projet'!$A$62&gt;35,AI129+AH130-AQ129,IF(A130&lt;'Données projet'!$A$62,$AF$205^A130,IF(A130='Données projet'!$A$62,'Données projet'!$B$62,AI129+AH130-AQ129)))</f>
        <v>228.28000000000043</v>
      </c>
      <c r="AJ130" s="13">
        <f>AI130*VLOOKUP('Données projet'!$B$10,Paramètres!$A$1:$I$89,3,0)*VLOOKUP('Données projet'!$B$10,Paramètres!$A$1:$I$89,5,0)</f>
        <v>206.54774400000036</v>
      </c>
      <c r="AK130" s="13">
        <f t="shared" si="89"/>
        <v>51.180454659928444</v>
      </c>
      <c r="AL130" s="20">
        <f t="shared" si="58"/>
        <v>448.8766126660426</v>
      </c>
      <c r="AM130" s="59">
        <f t="shared" si="59"/>
        <v>742.20994599937592</v>
      </c>
      <c r="AN130" s="59">
        <f ca="1">AVERAGE(OFFSET($AM$3,0,0,'Données projet'!$E$10+1,1))-AVERAGE(OFFSET($H$3,0,0,'Données projet'!$E$10+1,1))</f>
        <v>370.05613271587413</v>
      </c>
      <c r="AO130" s="59">
        <f t="shared" si="90"/>
        <v>183.24480056442525</v>
      </c>
      <c r="AP130" s="15">
        <f>IF(ISNA(VLOOKUP(A130,'Données projet'!$A$61:$I$81,3,0)),0,VLOOKUP(A130,'Données projet'!$A$61:$I$81,3,0))</f>
        <v>13</v>
      </c>
      <c r="AQ130" s="15">
        <f>IF(ISNA(VLOOKUP(A130,'Données projet'!$A$61:$I$81,4,0)),0,VLOOKUP(A130,'Données projet'!$A$61:$I$81,4,0))</f>
        <v>65.02</v>
      </c>
      <c r="AR130" s="16">
        <f>IF(ISNA(VLOOKUP(A130,'Données projet'!$A$61:$I$81,5,0)),0%,VLOOKUP(A130,'Données projet'!$A$61:$I$81,5,0)*VLOOKUP('Données projet'!$B$10,Paramètres!$A$1:$I$89,7,0))</f>
        <v>0.43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232.95976996943133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232.95976996943133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>
        <f>VLOOKUP(A130,'Données projet'!$A$87:$I$107,2,0)</f>
        <v>228.28</v>
      </c>
      <c r="BB130" s="12">
        <f>VLOOKUP(A130,'Données projet'!$A$87:$I$107,9,0)</f>
        <v>0.19750000000000512</v>
      </c>
      <c r="BC130" s="12">
        <f t="array" ref="BC130">INDEX(BB:BB,MIN(IF(ISNUMBER(BB130:BB326),ROW(BB130:BB326),"")))</f>
        <v>0.19750000000000512</v>
      </c>
      <c r="BD130" s="12">
        <f>IF('Données projet'!$A$88&gt;35,BD129+BC130-BL129,IF(A130&lt;'Données projet'!$A$88,$BA$205^A130,IF(A130='Données projet'!$A$88,'Données projet'!$B$88,BD129+BC130-BL129)))</f>
        <v>228.28000000000043</v>
      </c>
      <c r="BE130" s="13">
        <f>BD130*VLOOKUP('Données projet'!$B$11,Paramètres!$A$1:$I$89,3,0)*VLOOKUP('Données projet'!$B$11,Paramètres!$A$1:$I$89,5,0)</f>
        <v>231.47592000000046</v>
      </c>
      <c r="BF130" s="13">
        <f t="shared" si="91"/>
        <v>56.601691040304857</v>
      </c>
      <c r="BG130" s="20">
        <f t="shared" si="61"/>
        <v>501.73517256186511</v>
      </c>
      <c r="BH130" s="59">
        <f t="shared" si="62"/>
        <v>795.06850589519843</v>
      </c>
      <c r="BI130" s="59">
        <f ca="1">AVERAGE(OFFSET($BH$3,0,0,'Données projet'!$E$11+1,1))-AVERAGE(OFFSET($H$3,0,0,'Données projet'!$E$11+1,1))</f>
        <v>428.72181435671394</v>
      </c>
      <c r="BJ130" s="59">
        <f t="shared" si="92"/>
        <v>211.84936043087572</v>
      </c>
      <c r="BK130" s="15">
        <f>IF(ISNA(VLOOKUP(A130,'Données projet'!$A$87:$I$107,3,0)),0,VLOOKUP(A130,'Données projet'!$A$87:$I$107,3,0))</f>
        <v>13</v>
      </c>
      <c r="BL130" s="15">
        <f>IF(ISNA(VLOOKUP(A130,'Données projet'!$A$87:$I$107,4,0)),0,VLOOKUP(A130,'Données projet'!$A$87:$I$107,4,0))</f>
        <v>65.02</v>
      </c>
      <c r="BM130" s="16">
        <f>IF(ISNA(VLOOKUP(A130,'Données projet'!$A$87:$I$107,5,0)),0%,VLOOKUP(A130,'Données projet'!$A$87:$I$107,5,0)*VLOOKUP('Données projet'!$B$11,Paramètres!$A$1:$I$89,7,0))</f>
        <v>0.43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261.07560427608689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261.07560427608689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367.99999999999972</v>
      </c>
      <c r="BZ130" s="13">
        <f>BY130*VLOOKUP('Données projet'!$B$12,Paramètres!$A$1:$I$89,3,0)*VLOOKUP('Données projet'!$B$12,Paramètres!$A$1:$I$89,5,0)</f>
        <v>292.78079999999977</v>
      </c>
      <c r="CA130" s="13">
        <f t="shared" si="93"/>
        <v>69.660903052386217</v>
      </c>
      <c r="CB130" s="20">
        <f t="shared" si="64"/>
        <v>631.25263281623893</v>
      </c>
      <c r="CC130" s="59">
        <f t="shared" si="65"/>
        <v>924.58596614957219</v>
      </c>
      <c r="CD130" s="59">
        <f ca="1">AVERAGE(OFFSET($CC$3,0,0,'Données projet'!$E$12+1,1))-AVERAGE(OFFSET($H$3,0,0,'Données projet'!$E$12+1,1))</f>
        <v>296.737543892524</v>
      </c>
      <c r="CE130" s="59">
        <f t="shared" si="94"/>
        <v>296.38358650317099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24.298017321738385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24.298017321738385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474.99999999999994</v>
      </c>
      <c r="CU130" s="17">
        <f>CT130*VLOOKUP('Données projet'!$B$13,Paramètres!$A$1:$I$89,3,0)*VLOOKUP('Données projet'!$B$13,Paramètres!$A$1:$I$89,5,0)</f>
        <v>407.55</v>
      </c>
      <c r="CV130" s="13">
        <f t="shared" si="95"/>
        <v>93.305642095357683</v>
      </c>
      <c r="CW130" s="20">
        <f t="shared" si="67"/>
        <v>872.32357664941446</v>
      </c>
      <c r="CX130" s="59">
        <f t="shared" si="68"/>
        <v>1165.6569099827477</v>
      </c>
      <c r="CY130" s="59">
        <f ca="1">AVERAGE(OFFSET($CX$3,0,0,'Données projet'!$E$13+1,1))-AVERAGE(OFFSET($H$3,0,0,'Données projet'!$E$13+1,1))</f>
        <v>391.93999504334352</v>
      </c>
      <c r="CZ130" s="59">
        <f t="shared" si="96"/>
        <v>215.4484906985528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106.40010658766255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106.40010658766255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367.99999999999972</v>
      </c>
      <c r="DP130" s="17">
        <f>DO130*VLOOKUP('Données projet'!$B$14,Paramètres!$A$1:$I$89,3,0)*VLOOKUP('Données projet'!$B$14,Paramètres!$A$1:$I$89,5,0)</f>
        <v>269.8175999999998</v>
      </c>
      <c r="DQ130" s="13">
        <f t="shared" si="97"/>
        <v>64.810557882019467</v>
      </c>
      <c r="DR130" s="20">
        <f t="shared" si="70"/>
        <v>582.81070831118348</v>
      </c>
      <c r="DS130" s="59">
        <f t="shared" si="71"/>
        <v>876.14404164451685</v>
      </c>
      <c r="DT130" s="59">
        <f ca="1">AVERAGE(OFFSET($DS$3,0,0,'Données projet'!$E$14+1,1))-AVERAGE(OFFSET($H$3,0,0,'Données projet'!$E$14+1,1))</f>
        <v>267.92147257573157</v>
      </c>
      <c r="DU130" s="59">
        <f t="shared" si="98"/>
        <v>269.06662611892438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18.167330006375622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18.167330006375622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0.8600000000003547</v>
      </c>
      <c r="EK130" s="17">
        <f>EJ130*VLOOKUP('Données projet'!$B$15,Paramètres!$A$1:$I$89,3,0)*VLOOKUP('Données projet'!$B$15,Paramètres!$A$1:$I$89,5,0)</f>
        <v>0.48074000000019829</v>
      </c>
      <c r="EL130" s="13">
        <f t="shared" si="99"/>
        <v>0.24126147010950588</v>
      </c>
      <c r="EM130" s="20">
        <f t="shared" si="73"/>
        <v>1.2574858937744013</v>
      </c>
      <c r="EN130" s="59">
        <f t="shared" si="74"/>
        <v>294.59081922710772</v>
      </c>
      <c r="EO130" s="59">
        <f ca="1">AVERAGE(OFFSET($EN$3,0,0,'Données projet'!$E$15+1,1))-AVERAGE(OFFSET($H$3,0,0,'Données projet'!$E$15+1,1))</f>
        <v>326.29985515186428</v>
      </c>
      <c r="EP130" s="59">
        <f t="shared" si="100"/>
        <v>437.68177084535927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89.337913649721742</v>
      </c>
      <c r="EW130" s="21">
        <f>EXP(-LN(2)/25)*EW129+(1-EXP(-LN(2)/25))/(LN(2)/25)*Calculateur!ER130*Calculateur!ET130*VLOOKUP('Données projet'!$B$15,Paramètres!$A$1:$I$89,3,0)*0.475*44/12</f>
        <v>3.4348477390596992</v>
      </c>
      <c r="EX130" s="21">
        <f>EXP(-LN(2)/2)*EX129+(1-EXP(-LN(2)/2))/(LN(2)/2)*ER130*EU130*VLOOKUP('Données projet'!$B$15,Paramètres!$A$1:$I$89,3,0)*0.475*44/12</f>
        <v>1.8587898283309285E-15</v>
      </c>
      <c r="EY130" s="22">
        <f t="shared" si="75"/>
        <v>92.772761388781447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1.7053025658242404E-13</v>
      </c>
      <c r="FF130" s="17">
        <f>FE130*VLOOKUP('Données projet'!$B$16,Paramètres!$A$1:$I$89,3,0)*VLOOKUP('Données projet'!$B$16,Paramètres!$A$1:$I$89,5,0)</f>
        <v>9.7631982498569413E-14</v>
      </c>
      <c r="FG130" s="13">
        <f t="shared" si="101"/>
        <v>1.4708068762530911E-12</v>
      </c>
      <c r="FH130" s="20">
        <f t="shared" si="76"/>
        <v>2.7316976789924749E-12</v>
      </c>
      <c r="FI130" s="59">
        <f t="shared" si="77"/>
        <v>293.33333333333604</v>
      </c>
      <c r="FJ130" s="59">
        <f ca="1">AVERAGE(OFFSET($FI$3,0,0,'Données projet'!$E$16+1,1))-AVERAGE(OFFSET($H$3,0,0,'Données projet'!$E$16+1,1))</f>
        <v>211.14768428403215</v>
      </c>
      <c r="FK130" s="59">
        <f t="shared" si="102"/>
        <v>350.7800157534798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12.163748245054045</v>
      </c>
      <c r="FR130" s="21">
        <f>EXP(-LN(2)/25)*FR129+(1-EXP(-LN(2)/25))/(LN(2)/25)*Calculateur!FM130*Calculateur!FO130*VLOOKUP('Données projet'!$B$16,Paramètres!$A$1:$I$89,3,0)*0.475*44/12</f>
        <v>1.4612594243275132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13.625007669381558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111.82079999999991</v>
      </c>
      <c r="D131" s="11">
        <f t="shared" si="86"/>
        <v>29.759568497877233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1092.9010901590516</v>
      </c>
      <c r="H131" s="66">
        <f t="shared" si="56"/>
        <v>539.91914180046933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259.99999999999983</v>
      </c>
      <c r="O131" s="13">
        <f>N131*VLOOKUP('Données projet'!$B$9,Paramètres!$A$1:$I$89,3,0)*VLOOKUP('Données projet'!$B$9,Paramètres!$A$1:$I$89,5,0)</f>
        <v>227.13599999999985</v>
      </c>
      <c r="P131" s="13">
        <f t="shared" si="87"/>
        <v>55.662966886685133</v>
      </c>
      <c r="Q131" s="20">
        <f t="shared" ref="Q131:Q153" si="108">(O131+P131)*0.475*44/12</f>
        <v>492.5415339943097</v>
      </c>
      <c r="R131" s="59">
        <f t="shared" ref="R131:R194" si="109">Q131+(I131+J131)*44/12</f>
        <v>785.87486732764296</v>
      </c>
      <c r="S131" s="59">
        <f ca="1">AVERAGE(OFFSET($R$3,0,0,'Données projet'!$E$9+1,1))-AVERAGE(OFFSET($H$3,0,0,'Données projet'!$E$9+1,1))</f>
        <v>252.49539407921907</v>
      </c>
      <c r="T131" s="59">
        <f t="shared" si="88"/>
        <v>263.36387286233929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36.747057915672343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36.747057915672343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9.7500000000003695E-2</v>
      </c>
      <c r="AI131" s="13">
        <f>IF('Données projet'!$A$62&gt;35,AI130+AH131-AQ130,IF(A131&lt;'Données projet'!$A$62,$AF$205^A131,IF(A131='Données projet'!$A$62,'Données projet'!$B$62,AI130+AH131-AQ130)))</f>
        <v>163.35750000000041</v>
      </c>
      <c r="AJ131" s="13">
        <f>AI131*VLOOKUP('Données projet'!$B$10,Paramètres!$A$1:$I$89,3,0)*VLOOKUP('Données projet'!$B$10,Paramètres!$A$1:$I$89,5,0)</f>
        <v>147.80586600000038</v>
      </c>
      <c r="AK131" s="13">
        <f t="shared" si="89"/>
        <v>38.079533976001102</v>
      </c>
      <c r="AL131" s="20">
        <f t="shared" si="58"/>
        <v>323.75040495820258</v>
      </c>
      <c r="AM131" s="59">
        <f t="shared" si="59"/>
        <v>617.08373829153584</v>
      </c>
      <c r="AN131" s="59">
        <f ca="1">AVERAGE(OFFSET($AM$3,0,0,'Données projet'!$E$10+1,1))-AVERAGE(OFFSET($H$3,0,0,'Données projet'!$E$10+1,1))</f>
        <v>370.05613271587413</v>
      </c>
      <c r="AO131" s="59">
        <f t="shared" si="90"/>
        <v>183.24480056442525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228.3915709717601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228.3915709717601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9.7500000000003695E-2</v>
      </c>
      <c r="BD131" s="12">
        <f>IF('Données projet'!$A$88&gt;35,BD130+BC131-BL130,IF(A131&lt;'Données projet'!$A$88,$BA$205^A131,IF(A131='Données projet'!$A$88,'Données projet'!$B$88,BD130+BC131-BL130)))</f>
        <v>163.35750000000041</v>
      </c>
      <c r="BE131" s="13">
        <f>BD131*VLOOKUP('Données projet'!$B$11,Paramètres!$A$1:$I$89,3,0)*VLOOKUP('Données projet'!$B$11,Paramètres!$A$1:$I$89,5,0)</f>
        <v>165.64450500000044</v>
      </c>
      <c r="BF131" s="13">
        <f t="shared" si="91"/>
        <v>42.113068971150504</v>
      </c>
      <c r="BG131" s="20">
        <f t="shared" si="61"/>
        <v>361.8444413330879</v>
      </c>
      <c r="BH131" s="59">
        <f t="shared" si="62"/>
        <v>655.17777466642121</v>
      </c>
      <c r="BI131" s="59">
        <f ca="1">AVERAGE(OFFSET($BH$3,0,0,'Données projet'!$E$11+1,1))-AVERAGE(OFFSET($H$3,0,0,'Données projet'!$E$11+1,1))</f>
        <v>428.72181435671394</v>
      </c>
      <c r="BJ131" s="59">
        <f t="shared" si="92"/>
        <v>211.84936043087572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255.95607091662777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255.95607091662777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367.99999999999972</v>
      </c>
      <c r="BZ131" s="13">
        <f>BY131*VLOOKUP('Données projet'!$B$12,Paramètres!$A$1:$I$89,3,0)*VLOOKUP('Données projet'!$B$12,Paramètres!$A$1:$I$89,5,0)</f>
        <v>292.78079999999977</v>
      </c>
      <c r="CA131" s="13">
        <f t="shared" si="93"/>
        <v>69.660903052386217</v>
      </c>
      <c r="CB131" s="20">
        <f t="shared" si="64"/>
        <v>631.25263281623893</v>
      </c>
      <c r="CC131" s="59">
        <f t="shared" si="65"/>
        <v>924.58596614957219</v>
      </c>
      <c r="CD131" s="59">
        <f ca="1">AVERAGE(OFFSET($CC$3,0,0,'Données projet'!$E$12+1,1))-AVERAGE(OFFSET($H$3,0,0,'Données projet'!$E$12+1,1))</f>
        <v>296.737543892524</v>
      </c>
      <c r="CE131" s="59">
        <f t="shared" si="94"/>
        <v>296.38358650317099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23.821548022386274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23.821548022386274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474.99999999999994</v>
      </c>
      <c r="CU131" s="17">
        <f>CT131*VLOOKUP('Données projet'!$B$13,Paramètres!$A$1:$I$89,3,0)*VLOOKUP('Données projet'!$B$13,Paramètres!$A$1:$I$89,5,0)</f>
        <v>407.55</v>
      </c>
      <c r="CV131" s="13">
        <f t="shared" si="95"/>
        <v>93.305642095357683</v>
      </c>
      <c r="CW131" s="20">
        <f t="shared" si="67"/>
        <v>872.32357664941446</v>
      </c>
      <c r="CX131" s="59">
        <f t="shared" si="68"/>
        <v>1165.6569099827477</v>
      </c>
      <c r="CY131" s="59">
        <f ca="1">AVERAGE(OFFSET($CX$3,0,0,'Données projet'!$E$13+1,1))-AVERAGE(OFFSET($H$3,0,0,'Données projet'!$E$13+1,1))</f>
        <v>391.93999504334352</v>
      </c>
      <c r="CZ131" s="59">
        <f t="shared" si="96"/>
        <v>215.4484906985528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104.31366539513539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104.31366539513539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367.99999999999972</v>
      </c>
      <c r="DP131" s="17">
        <f>DO131*VLOOKUP('Données projet'!$B$14,Paramètres!$A$1:$I$89,3,0)*VLOOKUP('Données projet'!$B$14,Paramètres!$A$1:$I$89,5,0)</f>
        <v>269.8175999999998</v>
      </c>
      <c r="DQ131" s="13">
        <f t="shared" si="97"/>
        <v>64.810557882019467</v>
      </c>
      <c r="DR131" s="20">
        <f t="shared" si="70"/>
        <v>582.81070831118348</v>
      </c>
      <c r="DS131" s="59">
        <f t="shared" si="71"/>
        <v>876.14404164451685</v>
      </c>
      <c r="DT131" s="59">
        <f ca="1">AVERAGE(OFFSET($DS$3,0,0,'Données projet'!$E$14+1,1))-AVERAGE(OFFSET($H$3,0,0,'Données projet'!$E$14+1,1))</f>
        <v>267.92147257573157</v>
      </c>
      <c r="DU131" s="59">
        <f t="shared" si="98"/>
        <v>269.06662611892438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17.811079745927742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17.811079745927742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0.8600000000003547</v>
      </c>
      <c r="EK131" s="17">
        <f>EJ131*VLOOKUP('Données projet'!$B$15,Paramètres!$A$1:$I$89,3,0)*VLOOKUP('Données projet'!$B$15,Paramètres!$A$1:$I$89,5,0)</f>
        <v>0.48074000000019829</v>
      </c>
      <c r="EL131" s="13">
        <f t="shared" si="99"/>
        <v>0.24126147010950588</v>
      </c>
      <c r="EM131" s="20">
        <f t="shared" si="73"/>
        <v>1.2574858937744013</v>
      </c>
      <c r="EN131" s="59">
        <f t="shared" si="74"/>
        <v>294.59081922710772</v>
      </c>
      <c r="EO131" s="59">
        <f ca="1">AVERAGE(OFFSET($EN$3,0,0,'Données projet'!$E$15+1,1))-AVERAGE(OFFSET($H$3,0,0,'Données projet'!$E$15+1,1))</f>
        <v>326.29985515186428</v>
      </c>
      <c r="EP131" s="59">
        <f t="shared" si="100"/>
        <v>437.68177084535927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87.586051653797512</v>
      </c>
      <c r="EW131" s="21">
        <f>EXP(-LN(2)/25)*EW130+(1-EXP(-LN(2)/25))/(LN(2)/25)*Calculateur!ER131*Calculateur!ET131*VLOOKUP('Données projet'!$B$15,Paramètres!$A$1:$I$89,3,0)*0.475*44/12</f>
        <v>3.3409216470043197</v>
      </c>
      <c r="EX131" s="21">
        <f>EXP(-LN(2)/2)*EX130+(1-EXP(-LN(2)/2))/(LN(2)/2)*ER131*EU131*VLOOKUP('Données projet'!$B$15,Paramètres!$A$1:$I$89,3,0)*0.475*44/12</f>
        <v>1.3143628924133781E-15</v>
      </c>
      <c r="EY131" s="22">
        <f t="shared" si="75"/>
        <v>90.926973300801833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1.7053025658242404E-13</v>
      </c>
      <c r="FF131" s="17">
        <f>FE131*VLOOKUP('Données projet'!$B$16,Paramètres!$A$1:$I$89,3,0)*VLOOKUP('Données projet'!$B$16,Paramètres!$A$1:$I$89,5,0)</f>
        <v>9.7631982498569413E-14</v>
      </c>
      <c r="FG131" s="13">
        <f t="shared" si="101"/>
        <v>1.4708068762530911E-12</v>
      </c>
      <c r="FH131" s="20">
        <f t="shared" si="76"/>
        <v>2.7316976789924749E-12</v>
      </c>
      <c r="FI131" s="59">
        <f t="shared" si="77"/>
        <v>293.33333333333604</v>
      </c>
      <c r="FJ131" s="59">
        <f ca="1">AVERAGE(OFFSET($FI$3,0,0,'Données projet'!$E$16+1,1))-AVERAGE(OFFSET($H$3,0,0,'Données projet'!$E$16+1,1))</f>
        <v>211.14768428403215</v>
      </c>
      <c r="FK131" s="59">
        <f t="shared" si="102"/>
        <v>350.7800157534798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11.925224561122384</v>
      </c>
      <c r="FR131" s="21">
        <f>EXP(-LN(2)/25)*FR130+(1-EXP(-LN(2)/25))/(LN(2)/25)*Calculateur!FM131*Calculateur!FO131*VLOOKUP('Données projet'!$B$16,Paramètres!$A$1:$I$89,3,0)*0.475*44/12</f>
        <v>1.4213012085249841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13.346525769647368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112.6943999999999</v>
      </c>
      <c r="D132" s="11">
        <f t="shared" si="86"/>
        <v>29.964909381330607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1101.2297566278146</v>
      </c>
      <c r="H132" s="66">
        <f t="shared" ref="H132:H195" si="110">(B132+E132+F132)*44/12+(C132+D132)*0.475*44/12</f>
        <v>541.7982971724839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259.99999999999983</v>
      </c>
      <c r="O132" s="13">
        <f>N132*VLOOKUP('Données projet'!$B$9,Paramètres!$A$1:$I$89,3,0)*VLOOKUP('Données projet'!$B$9,Paramètres!$A$1:$I$89,5,0)</f>
        <v>227.13599999999985</v>
      </c>
      <c r="P132" s="13">
        <f t="shared" si="87"/>
        <v>55.662966886685133</v>
      </c>
      <c r="Q132" s="20">
        <f t="shared" si="108"/>
        <v>492.5415339943097</v>
      </c>
      <c r="R132" s="59">
        <f t="shared" si="109"/>
        <v>785.87486732764296</v>
      </c>
      <c r="S132" s="59">
        <f ca="1">AVERAGE(OFFSET($R$3,0,0,'Données projet'!$E$9+1,1))-AVERAGE(OFFSET($H$3,0,0,'Données projet'!$E$9+1,1))</f>
        <v>252.49539407921907</v>
      </c>
      <c r="T132" s="59">
        <f t="shared" si="88"/>
        <v>263.36387286233929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36.026470523438185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36.026470523438185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9.7500000000003695E-2</v>
      </c>
      <c r="AI132" s="13">
        <f>IF('Données projet'!$A$62&gt;35,AI131+AH132-AQ131,IF(A132&lt;'Données projet'!$A$62,$AF$205^A132,IF(A132='Données projet'!$A$62,'Données projet'!$B$62,AI131+AH132-AQ131)))</f>
        <v>163.45500000000041</v>
      </c>
      <c r="AJ132" s="13">
        <f>AI132*VLOOKUP('Données projet'!$B$10,Paramètres!$A$1:$I$89,3,0)*VLOOKUP('Données projet'!$B$10,Paramètres!$A$1:$I$89,5,0)</f>
        <v>147.89408400000036</v>
      </c>
      <c r="AK132" s="13">
        <f t="shared" si="89"/>
        <v>38.099615551686391</v>
      </c>
      <c r="AL132" s="20">
        <f t="shared" ref="AL132:AL153" si="112">(AJ132+AK132)*0.475*44/12</f>
        <v>323.93902671918772</v>
      </c>
      <c r="AM132" s="59">
        <f t="shared" ref="AM132:AM195" si="113">AL132+(AD132+AE132)*44/12</f>
        <v>617.27236005252098</v>
      </c>
      <c r="AN132" s="59">
        <f ca="1">AVERAGE(OFFSET($AM$3,0,0,'Données projet'!$E$10+1,1))-AVERAGE(OFFSET($H$3,0,0,'Données projet'!$E$10+1,1))</f>
        <v>370.05613271587413</v>
      </c>
      <c r="AO132" s="59">
        <f t="shared" si="90"/>
        <v>183.24480056442525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223.91295157010694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223.91295157010694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9.7500000000003695E-2</v>
      </c>
      <c r="BD132" s="12">
        <f>IF('Données projet'!$A$88&gt;35,BD131+BC132-BL131,IF(A132&lt;'Données projet'!$A$88,$BA$205^A132,IF(A132='Données projet'!$A$88,'Données projet'!$B$88,BD131+BC132-BL131)))</f>
        <v>163.45500000000041</v>
      </c>
      <c r="BE132" s="13">
        <f>BD132*VLOOKUP('Données projet'!$B$11,Paramètres!$A$1:$I$89,3,0)*VLOOKUP('Données projet'!$B$11,Paramètres!$A$1:$I$89,5,0)</f>
        <v>165.74337000000043</v>
      </c>
      <c r="BF132" s="13">
        <f t="shared" si="91"/>
        <v>42.135277666835059</v>
      </c>
      <c r="BG132" s="20">
        <f t="shared" ref="BG132:BG153" si="115">(BE132+BF132)*0.475*44/12</f>
        <v>362.05531135307177</v>
      </c>
      <c r="BH132" s="59">
        <f t="shared" ref="BH132:BH195" si="116">BG132+(AY132+AZ132)*44/12</f>
        <v>655.38864468640509</v>
      </c>
      <c r="BI132" s="59">
        <f ca="1">AVERAGE(OFFSET($BH$3,0,0,'Données projet'!$E$11+1,1))-AVERAGE(OFFSET($H$3,0,0,'Données projet'!$E$11+1,1))</f>
        <v>428.72181435671394</v>
      </c>
      <c r="BJ132" s="59">
        <f t="shared" si="92"/>
        <v>211.84936043087572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250.93692848374062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250.93692848374062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367.99999999999972</v>
      </c>
      <c r="BZ132" s="13">
        <f>BY132*VLOOKUP('Données projet'!$B$12,Paramètres!$A$1:$I$89,3,0)*VLOOKUP('Données projet'!$B$12,Paramètres!$A$1:$I$89,5,0)</f>
        <v>292.78079999999977</v>
      </c>
      <c r="CA132" s="13">
        <f t="shared" si="93"/>
        <v>69.660903052386217</v>
      </c>
      <c r="CB132" s="20">
        <f t="shared" ref="CB132:CB153" si="118">(BZ132+CA132)*0.475*44/12</f>
        <v>631.25263281623893</v>
      </c>
      <c r="CC132" s="59">
        <f t="shared" ref="CC132:CC195" si="119">CB132+(BT132+BU132)*44/12</f>
        <v>924.58596614957219</v>
      </c>
      <c r="CD132" s="59">
        <f ca="1">AVERAGE(OFFSET($CC$3,0,0,'Données projet'!$E$12+1,1))-AVERAGE(OFFSET($H$3,0,0,'Données projet'!$E$12+1,1))</f>
        <v>296.737543892524</v>
      </c>
      <c r="CE132" s="59">
        <f t="shared" si="94"/>
        <v>296.38358650317099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23.354421995376882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23.354421995376882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474.99999999999994</v>
      </c>
      <c r="CU132" s="17">
        <f>CT132*VLOOKUP('Données projet'!$B$13,Paramètres!$A$1:$I$89,3,0)*VLOOKUP('Données projet'!$B$13,Paramètres!$A$1:$I$89,5,0)</f>
        <v>407.55</v>
      </c>
      <c r="CV132" s="13">
        <f t="shared" si="95"/>
        <v>93.305642095357683</v>
      </c>
      <c r="CW132" s="20">
        <f t="shared" ref="CW132:CW153" si="121">(CU132+CV132)*0.475*44/12</f>
        <v>872.32357664941446</v>
      </c>
      <c r="CX132" s="59">
        <f t="shared" ref="CX132:CX195" si="122">CW132+(CO132+CP132)*44/12</f>
        <v>1165.6569099827477</v>
      </c>
      <c r="CY132" s="59">
        <f ca="1">AVERAGE(OFFSET($CX$3,0,0,'Données projet'!$E$13+1,1))-AVERAGE(OFFSET($H$3,0,0,'Données projet'!$E$13+1,1))</f>
        <v>391.93999504334352</v>
      </c>
      <c r="CZ132" s="59">
        <f t="shared" si="96"/>
        <v>215.4484906985528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102.26813804179022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102.26813804179022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367.99999999999972</v>
      </c>
      <c r="DP132" s="17">
        <f>DO132*VLOOKUP('Données projet'!$B$14,Paramètres!$A$1:$I$89,3,0)*VLOOKUP('Données projet'!$B$14,Paramètres!$A$1:$I$89,5,0)</f>
        <v>269.8175999999998</v>
      </c>
      <c r="DQ132" s="13">
        <f t="shared" si="97"/>
        <v>64.810557882019467</v>
      </c>
      <c r="DR132" s="20">
        <f t="shared" ref="DR132:DR153" si="124">(DP132+DQ132)*0.475*44/12</f>
        <v>582.81070831118348</v>
      </c>
      <c r="DS132" s="59">
        <f t="shared" ref="DS132:DS195" si="125">DR132+(DJ132+DK132)*44/12</f>
        <v>876.14404164451685</v>
      </c>
      <c r="DT132" s="59">
        <f ca="1">AVERAGE(OFFSET($DS$3,0,0,'Données projet'!$E$14+1,1))-AVERAGE(OFFSET($H$3,0,0,'Données projet'!$E$14+1,1))</f>
        <v>267.92147257573157</v>
      </c>
      <c r="DU132" s="59">
        <f t="shared" si="98"/>
        <v>269.06662611892438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17.461815335796043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17.461815335796043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0.8600000000003547</v>
      </c>
      <c r="EK132" s="17">
        <f>EJ132*VLOOKUP('Données projet'!$B$15,Paramètres!$A$1:$I$89,3,0)*VLOOKUP('Données projet'!$B$15,Paramètres!$A$1:$I$89,5,0)</f>
        <v>0.48074000000019829</v>
      </c>
      <c r="EL132" s="13">
        <f t="shared" si="99"/>
        <v>0.24126147010950588</v>
      </c>
      <c r="EM132" s="20">
        <f t="shared" ref="EM132:EM153" si="127">(EK132+EL132)*0.475*44/12</f>
        <v>1.2574858937744013</v>
      </c>
      <c r="EN132" s="59">
        <f t="shared" ref="EN132:EN195" si="128">EM132+(EE132+EF132)*44/12</f>
        <v>294.59081922710772</v>
      </c>
      <c r="EO132" s="59">
        <f ca="1">AVERAGE(OFFSET($EN$3,0,0,'Données projet'!$E$15+1,1))-AVERAGE(OFFSET($H$3,0,0,'Données projet'!$E$15+1,1))</f>
        <v>326.29985515186428</v>
      </c>
      <c r="EP132" s="59">
        <f t="shared" si="100"/>
        <v>437.68177084535927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85.868542603083043</v>
      </c>
      <c r="EW132" s="21">
        <f>EXP(-LN(2)/25)*EW131+(1-EXP(-LN(2)/25))/(LN(2)/25)*Calculateur!ER132*Calculateur!ET132*VLOOKUP('Données projet'!$B$15,Paramètres!$A$1:$I$89,3,0)*0.475*44/12</f>
        <v>3.2495639688755529</v>
      </c>
      <c r="EX132" s="21">
        <f>EXP(-LN(2)/2)*EX131+(1-EXP(-LN(2)/2))/(LN(2)/2)*ER132*EU132*VLOOKUP('Données projet'!$B$15,Paramètres!$A$1:$I$89,3,0)*0.475*44/12</f>
        <v>9.2939491416546425E-16</v>
      </c>
      <c r="EY132" s="22">
        <f t="shared" ref="EY132:EY153" si="129">SUM(EV132:EX132)</f>
        <v>89.118106571958592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1.7053025658242404E-13</v>
      </c>
      <c r="FF132" s="17">
        <f>FE132*VLOOKUP('Données projet'!$B$16,Paramètres!$A$1:$I$89,3,0)*VLOOKUP('Données projet'!$B$16,Paramètres!$A$1:$I$89,5,0)</f>
        <v>9.7631982498569413E-14</v>
      </c>
      <c r="FG132" s="13">
        <f t="shared" si="101"/>
        <v>1.4708068762530911E-12</v>
      </c>
      <c r="FH132" s="20">
        <f t="shared" ref="FH132:FH153" si="130">(FF132+FG132)*0.475*44/12</f>
        <v>2.7316976789924749E-12</v>
      </c>
      <c r="FI132" s="59">
        <f t="shared" ref="FI132:FI195" si="131">FH132+(EZ132+FA132)*44/12</f>
        <v>293.33333333333604</v>
      </c>
      <c r="FJ132" s="59">
        <f ca="1">AVERAGE(OFFSET($FI$3,0,0,'Données projet'!$E$16+1,1))-AVERAGE(OFFSET($H$3,0,0,'Données projet'!$E$16+1,1))</f>
        <v>211.14768428403215</v>
      </c>
      <c r="FK132" s="59">
        <f t="shared" si="102"/>
        <v>350.7800157534798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11.691378181147542</v>
      </c>
      <c r="FR132" s="21">
        <f>EXP(-LN(2)/25)*FR131+(1-EXP(-LN(2)/25))/(LN(2)/25)*Calculateur!FM132*Calculateur!FO132*VLOOKUP('Données projet'!$B$16,Paramètres!$A$1:$I$89,3,0)*0.475*44/12</f>
        <v>1.3824356522348862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13.073813833382427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113.5679999999999</v>
      </c>
      <c r="D133" s="11">
        <f t="shared" ref="D133:D196" si="140">IFERROR(EXP(-1.0587+0.8836*LN(C133)+0.284),0)</f>
        <v>30.170065062058185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1109.556993461501</v>
      </c>
      <c r="H133" s="66">
        <f t="shared" si="110"/>
        <v>543.67712998308446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259.99999999999983</v>
      </c>
      <c r="O133" s="13">
        <f>N133*VLOOKUP('Données projet'!$B$9,Paramètres!$A$1:$I$89,3,0)*VLOOKUP('Données projet'!$B$9,Paramètres!$A$1:$I$89,5,0)</f>
        <v>227.13599999999985</v>
      </c>
      <c r="P133" s="13">
        <f t="shared" ref="P133:P196" si="141">EXP(-1.0587+0.8836*LN(O133)+0.284)</f>
        <v>55.662966886685133</v>
      </c>
      <c r="Q133" s="20">
        <f t="shared" si="108"/>
        <v>492.5415339943097</v>
      </c>
      <c r="R133" s="59">
        <f t="shared" si="109"/>
        <v>785.87486732764296</v>
      </c>
      <c r="S133" s="59">
        <f ca="1">AVERAGE(OFFSET($R$3,0,0,'Données projet'!$E$9+1,1))-AVERAGE(OFFSET($H$3,0,0,'Données projet'!$E$9+1,1))</f>
        <v>252.49539407921907</v>
      </c>
      <c r="T133" s="59">
        <f t="shared" ref="T133:T196" si="142">$T$3</f>
        <v>263.36387286233929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35.320013410450834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35.320013410450834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9.7500000000003695E-2</v>
      </c>
      <c r="AI133" s="13">
        <f>IF('Données projet'!$A$62&gt;35,AI132+AH133-AQ132,IF(A133&lt;'Données projet'!$A$62,$AF$205^A133,IF(A133='Données projet'!$A$62,'Données projet'!$B$62,AI132+AH133-AQ132)))</f>
        <v>163.55250000000041</v>
      </c>
      <c r="AJ133" s="13">
        <f>AI133*VLOOKUP('Données projet'!$B$10,Paramètres!$A$1:$I$89,3,0)*VLOOKUP('Données projet'!$B$10,Paramètres!$A$1:$I$89,5,0)</f>
        <v>147.98230200000037</v>
      </c>
      <c r="AK133" s="13">
        <f t="shared" ref="AK133:AK153" si="143">EXP(-1.0587+0.8836*LN(AJ133)+0.284)</f>
        <v>38.119695733116984</v>
      </c>
      <c r="AL133" s="20">
        <f t="shared" si="112"/>
        <v>324.127646051846</v>
      </c>
      <c r="AM133" s="59">
        <f t="shared" si="113"/>
        <v>617.46097938517937</v>
      </c>
      <c r="AN133" s="59">
        <f ca="1">AVERAGE(OFFSET($AM$3,0,0,'Données projet'!$E$10+1,1))-AVERAGE(OFFSET($H$3,0,0,'Données projet'!$E$10+1,1))</f>
        <v>370.05613271587413</v>
      </c>
      <c r="AO133" s="59">
        <f t="shared" ref="AO133:AO196" si="144">$AO$3</f>
        <v>183.24480056442525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219.5221551632321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219.5221551632321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9.7500000000003695E-2</v>
      </c>
      <c r="BD133" s="12">
        <f>IF('Données projet'!$A$88&gt;35,BD132+BC133-BL132,IF(A133&lt;'Données projet'!$A$88,$BA$205^A133,IF(A133='Données projet'!$A$88,'Données projet'!$B$88,BD132+BC133-BL132)))</f>
        <v>163.55250000000041</v>
      </c>
      <c r="BE133" s="13">
        <f>BD133*VLOOKUP('Données projet'!$B$11,Paramètres!$A$1:$I$89,3,0)*VLOOKUP('Données projet'!$B$11,Paramètres!$A$1:$I$89,5,0)</f>
        <v>165.84223500000041</v>
      </c>
      <c r="BF133" s="13">
        <f t="shared" ref="BF133:BF153" si="145">EXP(-1.0587+0.8836*LN(BE133)+0.284)</f>
        <v>42.157484820579974</v>
      </c>
      <c r="BG133" s="20">
        <f t="shared" si="115"/>
        <v>362.26617868751083</v>
      </c>
      <c r="BH133" s="59">
        <f t="shared" si="116"/>
        <v>655.59951202084414</v>
      </c>
      <c r="BI133" s="59">
        <f ca="1">AVERAGE(OFFSET($BH$3,0,0,'Données projet'!$E$11+1,1))-AVERAGE(OFFSET($H$3,0,0,'Données projet'!$E$11+1,1))</f>
        <v>428.72181435671394</v>
      </c>
      <c r="BJ133" s="59">
        <f t="shared" ref="BJ133:BJ196" si="146">$BJ$3</f>
        <v>211.84936043087572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246.01620837258778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246.01620837258778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367.99999999999972</v>
      </c>
      <c r="BZ133" s="13">
        <f>BY133*VLOOKUP('Données projet'!$B$12,Paramètres!$A$1:$I$89,3,0)*VLOOKUP('Données projet'!$B$12,Paramètres!$A$1:$I$89,5,0)</f>
        <v>292.78079999999977</v>
      </c>
      <c r="CA133" s="13">
        <f t="shared" ref="CA133:CA153" si="147">EXP(-1.0587+0.8836*LN(BZ133)+0.284)</f>
        <v>69.660903052386217</v>
      </c>
      <c r="CB133" s="20">
        <f t="shared" si="118"/>
        <v>631.25263281623893</v>
      </c>
      <c r="CC133" s="59">
        <f t="shared" si="119"/>
        <v>924.58596614957219</v>
      </c>
      <c r="CD133" s="59">
        <f ca="1">AVERAGE(OFFSET($CC$3,0,0,'Données projet'!$E$12+1,1))-AVERAGE(OFFSET($H$3,0,0,'Données projet'!$E$12+1,1))</f>
        <v>296.737543892524</v>
      </c>
      <c r="CE133" s="59">
        <f t="shared" ref="CE133:CE196" si="148">$CE$3</f>
        <v>296.38358650317099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22.8964560248384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22.8964560248384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474.99999999999994</v>
      </c>
      <c r="CU133" s="17">
        <f>CT133*VLOOKUP('Données projet'!$B$13,Paramètres!$A$1:$I$89,3,0)*VLOOKUP('Données projet'!$B$13,Paramètres!$A$1:$I$89,5,0)</f>
        <v>407.55</v>
      </c>
      <c r="CV133" s="13">
        <f t="shared" ref="CV133:CV153" si="149">EXP(-1.0587+0.8836*LN(CU133)+0.284)</f>
        <v>93.305642095357683</v>
      </c>
      <c r="CW133" s="20">
        <f t="shared" si="121"/>
        <v>872.32357664941446</v>
      </c>
      <c r="CX133" s="59">
        <f t="shared" si="122"/>
        <v>1165.6569099827477</v>
      </c>
      <c r="CY133" s="59">
        <f ca="1">AVERAGE(OFFSET($CX$3,0,0,'Données projet'!$E$13+1,1))-AVERAGE(OFFSET($H$3,0,0,'Données projet'!$E$13+1,1))</f>
        <v>391.93999504334352</v>
      </c>
      <c r="CZ133" s="59">
        <f t="shared" ref="CZ133:CZ196" si="150">$CZ$3</f>
        <v>215.4484906985528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100.26272223219567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100.26272223219567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367.99999999999972</v>
      </c>
      <c r="DP133" s="17">
        <f>DO133*VLOOKUP('Données projet'!$B$14,Paramètres!$A$1:$I$89,3,0)*VLOOKUP('Données projet'!$B$14,Paramètres!$A$1:$I$89,5,0)</f>
        <v>269.8175999999998</v>
      </c>
      <c r="DQ133" s="13">
        <f t="shared" ref="DQ133:DQ153" si="151">EXP(-1.0587+0.8836*LN(DP133)+0.284)</f>
        <v>64.810557882019467</v>
      </c>
      <c r="DR133" s="20">
        <f t="shared" si="124"/>
        <v>582.81070831118348</v>
      </c>
      <c r="DS133" s="59">
        <f t="shared" si="125"/>
        <v>876.14404164451685</v>
      </c>
      <c r="DT133" s="59">
        <f ca="1">AVERAGE(OFFSET($DS$3,0,0,'Données projet'!$E$14+1,1))-AVERAGE(OFFSET($H$3,0,0,'Données projet'!$E$14+1,1))</f>
        <v>267.92147257573157</v>
      </c>
      <c r="DU133" s="59">
        <f t="shared" ref="DU133:DU196" si="152">$DU$3</f>
        <v>269.06662611892438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17.119399787716773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17.119399787716773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0.8600000000003547</v>
      </c>
      <c r="EK133" s="17">
        <f>EJ133*VLOOKUP('Données projet'!$B$15,Paramètres!$A$1:$I$89,3,0)*VLOOKUP('Données projet'!$B$15,Paramètres!$A$1:$I$89,5,0)</f>
        <v>0.48074000000019829</v>
      </c>
      <c r="EL133" s="13">
        <f t="shared" ref="EL133:EL153" si="153">EXP(-1.0587+0.8836*LN(EK133)+0.284)</f>
        <v>0.24126147010950588</v>
      </c>
      <c r="EM133" s="20">
        <f t="shared" si="127"/>
        <v>1.2574858937744013</v>
      </c>
      <c r="EN133" s="59">
        <f t="shared" si="128"/>
        <v>294.59081922710772</v>
      </c>
      <c r="EO133" s="59">
        <f ca="1">AVERAGE(OFFSET($EN$3,0,0,'Données projet'!$E$15+1,1))-AVERAGE(OFFSET($H$3,0,0,'Données projet'!$E$15+1,1))</f>
        <v>326.29985515186428</v>
      </c>
      <c r="EP133" s="59">
        <f t="shared" ref="EP133:EP196" si="154">$EP$3</f>
        <v>437.68177084535927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84.184712857276011</v>
      </c>
      <c r="EW133" s="21">
        <f>EXP(-LN(2)/25)*EW132+(1-EXP(-LN(2)/25))/(LN(2)/25)*Calculateur!ER133*Calculateur!ET133*VLOOKUP('Données projet'!$B$15,Paramètres!$A$1:$I$89,3,0)*0.475*44/12</f>
        <v>3.1607044712595087</v>
      </c>
      <c r="EX133" s="21">
        <f>EXP(-LN(2)/2)*EX132+(1-EXP(-LN(2)/2))/(LN(2)/2)*ER133*EU133*VLOOKUP('Données projet'!$B$15,Paramètres!$A$1:$I$89,3,0)*0.475*44/12</f>
        <v>6.5718144620668907E-16</v>
      </c>
      <c r="EY133" s="22">
        <f t="shared" si="129"/>
        <v>87.345417328535518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1.7053025658242404E-13</v>
      </c>
      <c r="FF133" s="17">
        <f>FE133*VLOOKUP('Données projet'!$B$16,Paramètres!$A$1:$I$89,3,0)*VLOOKUP('Données projet'!$B$16,Paramètres!$A$1:$I$89,5,0)</f>
        <v>9.7631982498569413E-14</v>
      </c>
      <c r="FG133" s="13">
        <f t="shared" ref="FG133:FG153" si="155">EXP(-1.0587+0.8836*LN(FF133)+0.284)</f>
        <v>1.4708068762530911E-12</v>
      </c>
      <c r="FH133" s="20">
        <f t="shared" si="130"/>
        <v>2.7316976789924749E-12</v>
      </c>
      <c r="FI133" s="59">
        <f t="shared" si="131"/>
        <v>293.33333333333604</v>
      </c>
      <c r="FJ133" s="59">
        <f ca="1">AVERAGE(OFFSET($FI$3,0,0,'Données projet'!$E$16+1,1))-AVERAGE(OFFSET($H$3,0,0,'Données projet'!$E$16+1,1))</f>
        <v>211.14768428403215</v>
      </c>
      <c r="FK133" s="59">
        <f t="shared" ref="FK133:FK196" si="156">$FK$3</f>
        <v>350.7800157534798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11.462117386051798</v>
      </c>
      <c r="FR133" s="21">
        <f>EXP(-LN(2)/25)*FR132+(1-EXP(-LN(2)/25))/(LN(2)/25)*Calculateur!FM133*Calculateur!FO133*VLOOKUP('Données projet'!$B$16,Paramètres!$A$1:$I$89,3,0)*0.475*44/12</f>
        <v>1.3446328766253919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12.806750262677189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114.44159999999989</v>
      </c>
      <c r="D134" s="11">
        <f t="shared" si="140"/>
        <v>30.37503712984369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1117.8828129321257</v>
      </c>
      <c r="H134" s="66">
        <f t="shared" si="110"/>
        <v>545.55564300114418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259.99999999999983</v>
      </c>
      <c r="O134" s="13">
        <f>N134*VLOOKUP('Données projet'!$B$9,Paramètres!$A$1:$I$89,3,0)*VLOOKUP('Données projet'!$B$9,Paramètres!$A$1:$I$89,5,0)</f>
        <v>227.13599999999985</v>
      </c>
      <c r="P134" s="13">
        <f t="shared" si="141"/>
        <v>55.662966886685133</v>
      </c>
      <c r="Q134" s="20">
        <f t="shared" si="108"/>
        <v>492.5415339943097</v>
      </c>
      <c r="R134" s="59">
        <f t="shared" si="109"/>
        <v>785.87486732764296</v>
      </c>
      <c r="S134" s="59">
        <f ca="1">AVERAGE(OFFSET($R$3,0,0,'Données projet'!$E$9+1,1))-AVERAGE(OFFSET($H$3,0,0,'Données projet'!$E$9+1,1))</f>
        <v>252.49539407921907</v>
      </c>
      <c r="T134" s="59">
        <f t="shared" si="142"/>
        <v>263.36387286233929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34.627409490552871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34.627409490552871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>
        <f>VLOOKUP(A134,'Données projet'!$A$61:$I$81,2,0)</f>
        <v>163.65</v>
      </c>
      <c r="AG134" s="12">
        <f>VLOOKUP(A134,'Données projet'!$A$61:$I$81,9,0)</f>
        <v>9.7500000000003695E-2</v>
      </c>
      <c r="AH134" s="12">
        <f t="array" ref="AH134">INDEX(AG:AG,MIN(IF(ISNUMBER(AG134:AG330),ROW(AG134:AG330),"")))</f>
        <v>9.7500000000003695E-2</v>
      </c>
      <c r="AI134" s="13">
        <f>IF('Données projet'!$A$62&gt;35,AI133+AH134-AQ133,IF(A134&lt;'Données projet'!$A$62,$AF$205^A134,IF(A134='Données projet'!$A$62,'Données projet'!$B$62,AI133+AH134-AQ133)))</f>
        <v>163.6500000000004</v>
      </c>
      <c r="AJ134" s="13">
        <f>AI134*VLOOKUP('Données projet'!$B$10,Paramètres!$A$1:$I$89,3,0)*VLOOKUP('Données projet'!$B$10,Paramètres!$A$1:$I$89,5,0)</f>
        <v>148.07052000000036</v>
      </c>
      <c r="AK134" s="13">
        <f t="shared" si="143"/>
        <v>38.139774521220701</v>
      </c>
      <c r="AL134" s="20">
        <f t="shared" si="112"/>
        <v>324.3162629577933</v>
      </c>
      <c r="AM134" s="59">
        <f t="shared" si="113"/>
        <v>617.64959629112661</v>
      </c>
      <c r="AN134" s="59">
        <f ca="1">AVERAGE(OFFSET($AM$3,0,0,'Données projet'!$E$10+1,1))-AVERAGE(OFFSET($H$3,0,0,'Données projet'!$E$10+1,1))</f>
        <v>370.05613271587413</v>
      </c>
      <c r="AO134" s="59">
        <f t="shared" si="144"/>
        <v>183.24480056442525</v>
      </c>
      <c r="AP134" s="15">
        <f>IF(ISNA(VLOOKUP(A134,'Données projet'!$A$61:$I$81,3,0)),0,VLOOKUP(A134,'Données projet'!$A$61:$I$81,3,0))</f>
        <v>14</v>
      </c>
      <c r="AQ134" s="15">
        <f>IF(ISNA(VLOOKUP(A134,'Données projet'!$A$61:$I$81,4,0)),0,VLOOKUP(A134,'Données projet'!$A$61:$I$81,4,0))</f>
        <v>143.84</v>
      </c>
      <c r="AR134" s="16">
        <f>IF(ISNA(VLOOKUP(A134,'Données projet'!$A$61:$I$81,5,0)),0%,VLOOKUP(A134,'Données projet'!$A$61:$I$81,5,0)*VLOOKUP('Données projet'!$B$10,Paramètres!$A$1:$I$89,7,0))</f>
        <v>0.43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277.08286059427138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277.08286059427138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>
        <f>VLOOKUP(A134,'Données projet'!$A$87:$I$107,2,0)</f>
        <v>163.65</v>
      </c>
      <c r="BB134" s="12">
        <f>VLOOKUP(A134,'Données projet'!$A$87:$I$107,9,0)</f>
        <v>9.7500000000003695E-2</v>
      </c>
      <c r="BC134" s="12">
        <f t="array" ref="BC134">INDEX(BB:BB,MIN(IF(ISNUMBER(BB134:BB330),ROW(BB134:BB330),"")))</f>
        <v>9.7500000000003695E-2</v>
      </c>
      <c r="BD134" s="12">
        <f>IF('Données projet'!$A$88&gt;35,BD133+BC134-BL133,IF(A134&lt;'Données projet'!$A$88,$BA$205^A134,IF(A134='Données projet'!$A$88,'Données projet'!$B$88,BD133+BC134-BL133)))</f>
        <v>163.6500000000004</v>
      </c>
      <c r="BE134" s="13">
        <f>BD134*VLOOKUP('Données projet'!$B$11,Paramètres!$A$1:$I$89,3,0)*VLOOKUP('Données projet'!$B$11,Paramètres!$A$1:$I$89,5,0)</f>
        <v>165.94110000000043</v>
      </c>
      <c r="BF134" s="13">
        <f t="shared" si="145"/>
        <v>42.179690433411352</v>
      </c>
      <c r="BG134" s="20">
        <f t="shared" si="115"/>
        <v>362.47704333819223</v>
      </c>
      <c r="BH134" s="59">
        <f t="shared" si="116"/>
        <v>655.81037667152555</v>
      </c>
      <c r="BI134" s="59">
        <f ca="1">AVERAGE(OFFSET($BH$3,0,0,'Données projet'!$E$11+1,1))-AVERAGE(OFFSET($H$3,0,0,'Données projet'!$E$11+1,1))</f>
        <v>428.72181435671394</v>
      </c>
      <c r="BJ134" s="59">
        <f t="shared" si="146"/>
        <v>211.84936043087572</v>
      </c>
      <c r="BK134" s="15">
        <f>IF(ISNA(VLOOKUP(A134,'Données projet'!$A$87:$I$107,3,0)),0,VLOOKUP(A134,'Données projet'!$A$87:$I$107,3,0))</f>
        <v>14</v>
      </c>
      <c r="BL134" s="15">
        <f>IF(ISNA(VLOOKUP(A134,'Données projet'!$A$87:$I$107,4,0)),0,VLOOKUP(A134,'Données projet'!$A$87:$I$107,4,0))</f>
        <v>143.84</v>
      </c>
      <c r="BM134" s="16">
        <f>IF(ISNA(VLOOKUP(A134,'Données projet'!$A$87:$I$107,5,0)),0%,VLOOKUP(A134,'Données projet'!$A$87:$I$107,5,0)*VLOOKUP('Données projet'!$B$11,Paramètres!$A$1:$I$89,7,0))</f>
        <v>0.43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310.52389549358008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310.52389549358008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367.99999999999972</v>
      </c>
      <c r="BZ134" s="13">
        <f>BY134*VLOOKUP('Données projet'!$B$12,Paramètres!$A$1:$I$89,3,0)*VLOOKUP('Données projet'!$B$12,Paramètres!$A$1:$I$89,5,0)</f>
        <v>292.78079999999977</v>
      </c>
      <c r="CA134" s="13">
        <f t="shared" si="147"/>
        <v>69.660903052386217</v>
      </c>
      <c r="CB134" s="20">
        <f t="shared" si="118"/>
        <v>631.25263281623893</v>
      </c>
      <c r="CC134" s="59">
        <f t="shared" si="119"/>
        <v>924.58596614957219</v>
      </c>
      <c r="CD134" s="59">
        <f ca="1">AVERAGE(OFFSET($CC$3,0,0,'Données projet'!$E$12+1,1))-AVERAGE(OFFSET($H$3,0,0,'Données projet'!$E$12+1,1))</f>
        <v>296.737543892524</v>
      </c>
      <c r="CE134" s="59">
        <f t="shared" si="148"/>
        <v>296.38358650317099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22.44747048765052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22.44747048765052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474.99999999999994</v>
      </c>
      <c r="CU134" s="17">
        <f>CT134*VLOOKUP('Données projet'!$B$13,Paramètres!$A$1:$I$89,3,0)*VLOOKUP('Données projet'!$B$13,Paramètres!$A$1:$I$89,5,0)</f>
        <v>407.55</v>
      </c>
      <c r="CV134" s="13">
        <f t="shared" si="149"/>
        <v>93.305642095357683</v>
      </c>
      <c r="CW134" s="20">
        <f t="shared" si="121"/>
        <v>872.32357664941446</v>
      </c>
      <c r="CX134" s="59">
        <f t="shared" si="122"/>
        <v>1165.6569099827477</v>
      </c>
      <c r="CY134" s="59">
        <f ca="1">AVERAGE(OFFSET($CX$3,0,0,'Données projet'!$E$13+1,1))-AVERAGE(OFFSET($H$3,0,0,'Données projet'!$E$13+1,1))</f>
        <v>391.93999504334352</v>
      </c>
      <c r="CZ134" s="59">
        <f t="shared" si="150"/>
        <v>215.4484906985528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98.296631403444394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98.296631403444394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367.99999999999972</v>
      </c>
      <c r="DP134" s="17">
        <f>DO134*VLOOKUP('Données projet'!$B$14,Paramètres!$A$1:$I$89,3,0)*VLOOKUP('Données projet'!$B$14,Paramètres!$A$1:$I$89,5,0)</f>
        <v>269.8175999999998</v>
      </c>
      <c r="DQ134" s="13">
        <f t="shared" si="151"/>
        <v>64.810557882019467</v>
      </c>
      <c r="DR134" s="20">
        <f t="shared" si="124"/>
        <v>582.81070831118348</v>
      </c>
      <c r="DS134" s="59">
        <f t="shared" si="125"/>
        <v>876.14404164451685</v>
      </c>
      <c r="DT134" s="59">
        <f ca="1">AVERAGE(OFFSET($DS$3,0,0,'Données projet'!$E$14+1,1))-AVERAGE(OFFSET($H$3,0,0,'Données projet'!$E$14+1,1))</f>
        <v>267.92147257573157</v>
      </c>
      <c r="DU134" s="59">
        <f t="shared" si="152"/>
        <v>269.06662611892438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16.783698799682476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16.783698799682476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0.8600000000003547</v>
      </c>
      <c r="EK134" s="17">
        <f>EJ134*VLOOKUP('Données projet'!$B$15,Paramètres!$A$1:$I$89,3,0)*VLOOKUP('Données projet'!$B$15,Paramètres!$A$1:$I$89,5,0)</f>
        <v>0.48074000000019829</v>
      </c>
      <c r="EL134" s="13">
        <f t="shared" si="153"/>
        <v>0.24126147010950588</v>
      </c>
      <c r="EM134" s="20">
        <f t="shared" si="127"/>
        <v>1.2574858937744013</v>
      </c>
      <c r="EN134" s="59">
        <f t="shared" si="128"/>
        <v>294.59081922710772</v>
      </c>
      <c r="EO134" s="59">
        <f ca="1">AVERAGE(OFFSET($EN$3,0,0,'Données projet'!$E$15+1,1))-AVERAGE(OFFSET($H$3,0,0,'Données projet'!$E$15+1,1))</f>
        <v>326.29985515186428</v>
      </c>
      <c r="EP134" s="59">
        <f t="shared" si="154"/>
        <v>437.68177084535927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82.533901985749523</v>
      </c>
      <c r="EW134" s="21">
        <f>EXP(-LN(2)/25)*EW133+(1-EXP(-LN(2)/25))/(LN(2)/25)*Calculateur!ER134*Calculateur!ET134*VLOOKUP('Données projet'!$B$15,Paramètres!$A$1:$I$89,3,0)*0.475*44/12</f>
        <v>3.0742748412786933</v>
      </c>
      <c r="EX134" s="21">
        <f>EXP(-LN(2)/2)*EX133+(1-EXP(-LN(2)/2))/(LN(2)/2)*ER134*EU134*VLOOKUP('Données projet'!$B$15,Paramètres!$A$1:$I$89,3,0)*0.475*44/12</f>
        <v>4.6469745708273212E-16</v>
      </c>
      <c r="EY134" s="22">
        <f t="shared" si="129"/>
        <v>85.608176827028217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1.7053025658242404E-13</v>
      </c>
      <c r="FF134" s="17">
        <f>FE134*VLOOKUP('Données projet'!$B$16,Paramètres!$A$1:$I$89,3,0)*VLOOKUP('Données projet'!$B$16,Paramètres!$A$1:$I$89,5,0)</f>
        <v>9.7631982498569413E-14</v>
      </c>
      <c r="FG134" s="13">
        <f t="shared" si="155"/>
        <v>1.4708068762530911E-12</v>
      </c>
      <c r="FH134" s="20">
        <f t="shared" si="130"/>
        <v>2.7316976789924749E-12</v>
      </c>
      <c r="FI134" s="59">
        <f t="shared" si="131"/>
        <v>293.33333333333604</v>
      </c>
      <c r="FJ134" s="59">
        <f ca="1">AVERAGE(OFFSET($FI$3,0,0,'Données projet'!$E$16+1,1))-AVERAGE(OFFSET($H$3,0,0,'Données projet'!$E$16+1,1))</f>
        <v>211.14768428403215</v>
      </c>
      <c r="FK134" s="59">
        <f t="shared" si="156"/>
        <v>350.7800157534798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11.237352255312604</v>
      </c>
      <c r="FR134" s="21">
        <f>EXP(-LN(2)/25)*FR133+(1-EXP(-LN(2)/25))/(LN(2)/25)*Calculateur!FM134*Calculateur!FO134*VLOOKUP('Données projet'!$B$16,Paramètres!$A$1:$I$89,3,0)*0.475*44/12</f>
        <v>1.3078638199029007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12.545216075215505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115.31519999999989</v>
      </c>
      <c r="D135" s="11">
        <f t="shared" si="140"/>
        <v>30.579827148797293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1126.2072271135221</v>
      </c>
      <c r="H135" s="66">
        <f t="shared" si="110"/>
        <v>547.43383895082161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259.99999999999983</v>
      </c>
      <c r="O135" s="13">
        <f>N135*VLOOKUP('Données projet'!$B$9,Paramètres!$A$1:$I$89,3,0)*VLOOKUP('Données projet'!$B$9,Paramètres!$A$1:$I$89,5,0)</f>
        <v>227.13599999999985</v>
      </c>
      <c r="P135" s="13">
        <f t="shared" si="141"/>
        <v>55.662966886685133</v>
      </c>
      <c r="Q135" s="20">
        <f t="shared" si="108"/>
        <v>492.5415339943097</v>
      </c>
      <c r="R135" s="59">
        <f t="shared" si="109"/>
        <v>785.87486732764296</v>
      </c>
      <c r="S135" s="59">
        <f ca="1">AVERAGE(OFFSET($R$3,0,0,'Données projet'!$E$9+1,1))-AVERAGE(OFFSET($H$3,0,0,'Données projet'!$E$9+1,1))</f>
        <v>252.49539407921907</v>
      </c>
      <c r="T135" s="59">
        <f t="shared" si="142"/>
        <v>263.36387286233929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33.94838711107743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33.94838711107743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19.8100000000004</v>
      </c>
      <c r="AJ135" s="13">
        <f>AI135*VLOOKUP('Données projet'!$B$10,Paramètres!$A$1:$I$89,3,0)*VLOOKUP('Données projet'!$B$10,Paramètres!$A$1:$I$89,5,0)</f>
        <v>17.924088000000364</v>
      </c>
      <c r="AK135" s="13">
        <f t="shared" si="143"/>
        <v>5.9032212091029486</v>
      </c>
      <c r="AL135" s="20">
        <f t="shared" si="112"/>
        <v>41.499230205854936</v>
      </c>
      <c r="AM135" s="59">
        <f t="shared" si="113"/>
        <v>334.83256353918824</v>
      </c>
      <c r="AN135" s="59">
        <f ca="1">AVERAGE(OFFSET($AM$3,0,0,'Données projet'!$E$10+1,1))-AVERAGE(OFFSET($H$3,0,0,'Données projet'!$E$10+1,1))</f>
        <v>370.05613271587413</v>
      </c>
      <c r="AO135" s="59">
        <f t="shared" si="144"/>
        <v>183.24480056442525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271.64943470187495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271.64943470187495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19.8100000000004</v>
      </c>
      <c r="BE135" s="13">
        <f>BD135*VLOOKUP('Données projet'!$B$11,Paramètres!$A$1:$I$89,3,0)*VLOOKUP('Données projet'!$B$11,Paramètres!$A$1:$I$89,5,0)</f>
        <v>20.08734000000041</v>
      </c>
      <c r="BF135" s="13">
        <f t="shared" si="145"/>
        <v>6.5285137703520215</v>
      </c>
      <c r="BG135" s="20">
        <f t="shared" si="115"/>
        <v>46.355945316697152</v>
      </c>
      <c r="BH135" s="59">
        <f t="shared" si="116"/>
        <v>339.68927865003047</v>
      </c>
      <c r="BI135" s="59">
        <f ca="1">AVERAGE(OFFSET($BH$3,0,0,'Données projet'!$E$11+1,1))-AVERAGE(OFFSET($H$3,0,0,'Données projet'!$E$11+1,1))</f>
        <v>428.72181435671394</v>
      </c>
      <c r="BJ135" s="59">
        <f t="shared" si="146"/>
        <v>211.84936043087572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304.43471130382545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304.43471130382545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367.99999999999972</v>
      </c>
      <c r="BZ135" s="13">
        <f>BY135*VLOOKUP('Données projet'!$B$12,Paramètres!$A$1:$I$89,3,0)*VLOOKUP('Données projet'!$B$12,Paramètres!$A$1:$I$89,5,0)</f>
        <v>292.78079999999977</v>
      </c>
      <c r="CA135" s="13">
        <f t="shared" si="147"/>
        <v>69.660903052386217</v>
      </c>
      <c r="CB135" s="20">
        <f t="shared" si="118"/>
        <v>631.25263281623893</v>
      </c>
      <c r="CC135" s="59">
        <f t="shared" si="119"/>
        <v>924.58596614957219</v>
      </c>
      <c r="CD135" s="59">
        <f ca="1">AVERAGE(OFFSET($CC$3,0,0,'Données projet'!$E$12+1,1))-AVERAGE(OFFSET($H$3,0,0,'Données projet'!$E$12+1,1))</f>
        <v>296.737543892524</v>
      </c>
      <c r="CE135" s="59">
        <f t="shared" si="148"/>
        <v>296.38358650317099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22.007289282992758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22.007289282992758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474.99999999999994</v>
      </c>
      <c r="CU135" s="17">
        <f>CT135*VLOOKUP('Données projet'!$B$13,Paramètres!$A$1:$I$89,3,0)*VLOOKUP('Données projet'!$B$13,Paramètres!$A$1:$I$89,5,0)</f>
        <v>407.55</v>
      </c>
      <c r="CV135" s="13">
        <f t="shared" si="149"/>
        <v>93.305642095357683</v>
      </c>
      <c r="CW135" s="20">
        <f t="shared" si="121"/>
        <v>872.32357664941446</v>
      </c>
      <c r="CX135" s="59">
        <f t="shared" si="122"/>
        <v>1165.6569099827477</v>
      </c>
      <c r="CY135" s="59">
        <f ca="1">AVERAGE(OFFSET($CX$3,0,0,'Données projet'!$E$13+1,1))-AVERAGE(OFFSET($H$3,0,0,'Données projet'!$E$13+1,1))</f>
        <v>391.93999504334352</v>
      </c>
      <c r="CZ135" s="59">
        <f t="shared" si="150"/>
        <v>215.4484906985528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96.36909441664794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96.36909441664794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367.99999999999972</v>
      </c>
      <c r="DP135" s="17">
        <f>DO135*VLOOKUP('Données projet'!$B$14,Paramètres!$A$1:$I$89,3,0)*VLOOKUP('Données projet'!$B$14,Paramètres!$A$1:$I$89,5,0)</f>
        <v>269.8175999999998</v>
      </c>
      <c r="DQ135" s="13">
        <f t="shared" si="151"/>
        <v>64.810557882019467</v>
      </c>
      <c r="DR135" s="20">
        <f t="shared" si="124"/>
        <v>582.81070831118348</v>
      </c>
      <c r="DS135" s="59">
        <f t="shared" si="125"/>
        <v>876.14404164451685</v>
      </c>
      <c r="DT135" s="59">
        <f ca="1">AVERAGE(OFFSET($DS$3,0,0,'Données projet'!$E$14+1,1))-AVERAGE(OFFSET($H$3,0,0,'Données projet'!$E$14+1,1))</f>
        <v>267.92147257573157</v>
      </c>
      <c r="DU135" s="59">
        <f t="shared" si="152"/>
        <v>269.06662611892438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16.454580703266146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16.454580703266146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0.8600000000003547</v>
      </c>
      <c r="EK135" s="17">
        <f>EJ135*VLOOKUP('Données projet'!$B$15,Paramètres!$A$1:$I$89,3,0)*VLOOKUP('Données projet'!$B$15,Paramètres!$A$1:$I$89,5,0)</f>
        <v>0.48074000000019829</v>
      </c>
      <c r="EL135" s="13">
        <f t="shared" si="153"/>
        <v>0.24126147010950588</v>
      </c>
      <c r="EM135" s="20">
        <f t="shared" si="127"/>
        <v>1.2574858937744013</v>
      </c>
      <c r="EN135" s="59">
        <f t="shared" si="128"/>
        <v>294.59081922710772</v>
      </c>
      <c r="EO135" s="59">
        <f ca="1">AVERAGE(OFFSET($EN$3,0,0,'Données projet'!$E$15+1,1))-AVERAGE(OFFSET($H$3,0,0,'Données projet'!$E$15+1,1))</f>
        <v>326.29985515186428</v>
      </c>
      <c r="EP135" s="59">
        <f t="shared" si="154"/>
        <v>437.68177084535927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80.915462508518459</v>
      </c>
      <c r="EW135" s="21">
        <f>EXP(-LN(2)/25)*EW134+(1-EXP(-LN(2)/25))/(LN(2)/25)*Calculateur!ER135*Calculateur!ET135*VLOOKUP('Données projet'!$B$15,Paramètres!$A$1:$I$89,3,0)*0.475*44/12</f>
        <v>2.9902086340748397</v>
      </c>
      <c r="EX135" s="21">
        <f>EXP(-LN(2)/2)*EX134+(1-EXP(-LN(2)/2))/(LN(2)/2)*ER135*EU135*VLOOKUP('Données projet'!$B$15,Paramètres!$A$1:$I$89,3,0)*0.475*44/12</f>
        <v>3.2859072310334453E-16</v>
      </c>
      <c r="EY135" s="22">
        <f t="shared" si="129"/>
        <v>83.905671142593292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1.7053025658242404E-13</v>
      </c>
      <c r="FF135" s="17">
        <f>FE135*VLOOKUP('Données projet'!$B$16,Paramètres!$A$1:$I$89,3,0)*VLOOKUP('Données projet'!$B$16,Paramètres!$A$1:$I$89,5,0)</f>
        <v>9.7631982498569413E-14</v>
      </c>
      <c r="FG135" s="13">
        <f t="shared" si="155"/>
        <v>1.4708068762530911E-12</v>
      </c>
      <c r="FH135" s="20">
        <f t="shared" si="130"/>
        <v>2.7316976789924749E-12</v>
      </c>
      <c r="FI135" s="59">
        <f t="shared" si="131"/>
        <v>293.33333333333604</v>
      </c>
      <c r="FJ135" s="59">
        <f ca="1">AVERAGE(OFFSET($FI$3,0,0,'Données projet'!$E$16+1,1))-AVERAGE(OFFSET($H$3,0,0,'Données projet'!$E$16+1,1))</f>
        <v>211.14768428403215</v>
      </c>
      <c r="FK135" s="59">
        <f t="shared" si="156"/>
        <v>350.7800157534798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11.016994631694013</v>
      </c>
      <c r="FR135" s="21">
        <f>EXP(-LN(2)/25)*FR134+(1-EXP(-LN(2)/25))/(LN(2)/25)*Calculateur!FM135*Calculateur!FO135*VLOOKUP('Données projet'!$B$16,Paramètres!$A$1:$I$89,3,0)*0.475*44/12</f>
        <v>1.2721002149700866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12.289094846664099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116.18879999999989</v>
      </c>
      <c r="D136" s="11">
        <f t="shared" si="140"/>
        <v>30.784436657961677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1134.5302478860192</v>
      </c>
      <c r="H136" s="66">
        <f t="shared" si="110"/>
        <v>549.31172051261638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259.99999999999983</v>
      </c>
      <c r="O136" s="13">
        <f>N136*VLOOKUP('Données projet'!$B$9,Paramètres!$A$1:$I$89,3,0)*VLOOKUP('Données projet'!$B$9,Paramètres!$A$1:$I$89,5,0)</f>
        <v>227.13599999999985</v>
      </c>
      <c r="P136" s="13">
        <f t="shared" si="141"/>
        <v>55.662966886685133</v>
      </c>
      <c r="Q136" s="20">
        <f t="shared" si="108"/>
        <v>492.5415339943097</v>
      </c>
      <c r="R136" s="59">
        <f t="shared" si="109"/>
        <v>785.87486732764296</v>
      </c>
      <c r="S136" s="59">
        <f ca="1">AVERAGE(OFFSET($R$3,0,0,'Données projet'!$E$9+1,1))-AVERAGE(OFFSET($H$3,0,0,'Données projet'!$E$9+1,1))</f>
        <v>252.49539407921907</v>
      </c>
      <c r="T136" s="59">
        <f t="shared" si="142"/>
        <v>263.36387286233929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33.282679946300746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33.282679946300746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19.8100000000004</v>
      </c>
      <c r="AJ136" s="13">
        <f>AI136*VLOOKUP('Données projet'!$B$10,Paramètres!$A$1:$I$89,3,0)*VLOOKUP('Données projet'!$B$10,Paramètres!$A$1:$I$89,5,0)</f>
        <v>17.924088000000364</v>
      </c>
      <c r="AK136" s="13">
        <f t="shared" si="143"/>
        <v>5.9032212091029486</v>
      </c>
      <c r="AL136" s="20">
        <f t="shared" si="112"/>
        <v>41.499230205854936</v>
      </c>
      <c r="AM136" s="59">
        <f t="shared" si="113"/>
        <v>334.83256353918824</v>
      </c>
      <c r="AN136" s="59">
        <f ca="1">AVERAGE(OFFSET($AM$3,0,0,'Données projet'!$E$10+1,1))-AVERAGE(OFFSET($H$3,0,0,'Données projet'!$E$10+1,1))</f>
        <v>370.05613271587413</v>
      </c>
      <c r="AO136" s="59">
        <f t="shared" si="144"/>
        <v>183.24480056442525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266.32255497716585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266.32255497716585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19.8100000000004</v>
      </c>
      <c r="BE136" s="13">
        <f>BD136*VLOOKUP('Données projet'!$B$11,Paramètres!$A$1:$I$89,3,0)*VLOOKUP('Données projet'!$B$11,Paramètres!$A$1:$I$89,5,0)</f>
        <v>20.08734000000041</v>
      </c>
      <c r="BF136" s="13">
        <f t="shared" si="145"/>
        <v>6.5285137703520215</v>
      </c>
      <c r="BG136" s="20">
        <f t="shared" si="115"/>
        <v>46.355945316697152</v>
      </c>
      <c r="BH136" s="59">
        <f t="shared" si="116"/>
        <v>339.68927865003047</v>
      </c>
      <c r="BI136" s="59">
        <f ca="1">AVERAGE(OFFSET($BH$3,0,0,'Données projet'!$E$11+1,1))-AVERAGE(OFFSET($H$3,0,0,'Données projet'!$E$11+1,1))</f>
        <v>428.72181435671394</v>
      </c>
      <c r="BJ136" s="59">
        <f t="shared" si="146"/>
        <v>211.84936043087572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298.46493230199627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298.46493230199627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367.99999999999972</v>
      </c>
      <c r="BZ136" s="13">
        <f>BY136*VLOOKUP('Données projet'!$B$12,Paramètres!$A$1:$I$89,3,0)*VLOOKUP('Données projet'!$B$12,Paramètres!$A$1:$I$89,5,0)</f>
        <v>292.78079999999977</v>
      </c>
      <c r="CA136" s="13">
        <f t="shared" si="147"/>
        <v>69.660903052386217</v>
      </c>
      <c r="CB136" s="20">
        <f t="shared" si="118"/>
        <v>631.25263281623893</v>
      </c>
      <c r="CC136" s="59">
        <f t="shared" si="119"/>
        <v>924.58596614957219</v>
      </c>
      <c r="CD136" s="59">
        <f ca="1">AVERAGE(OFFSET($CC$3,0,0,'Données projet'!$E$12+1,1))-AVERAGE(OFFSET($H$3,0,0,'Données projet'!$E$12+1,1))</f>
        <v>296.737543892524</v>
      </c>
      <c r="CE136" s="59">
        <f t="shared" si="148"/>
        <v>296.38358650317099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21.57573976327431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21.57573976327431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474.99999999999994</v>
      </c>
      <c r="CU136" s="17">
        <f>CT136*VLOOKUP('Données projet'!$B$13,Paramètres!$A$1:$I$89,3,0)*VLOOKUP('Données projet'!$B$13,Paramètres!$A$1:$I$89,5,0)</f>
        <v>407.55</v>
      </c>
      <c r="CV136" s="13">
        <f t="shared" si="149"/>
        <v>93.305642095357683</v>
      </c>
      <c r="CW136" s="20">
        <f t="shared" si="121"/>
        <v>872.32357664941446</v>
      </c>
      <c r="CX136" s="59">
        <f t="shared" si="122"/>
        <v>1165.6569099827477</v>
      </c>
      <c r="CY136" s="59">
        <f ca="1">AVERAGE(OFFSET($CX$3,0,0,'Données projet'!$E$13+1,1))-AVERAGE(OFFSET($H$3,0,0,'Données projet'!$E$13+1,1))</f>
        <v>391.93999504334352</v>
      </c>
      <c r="CZ136" s="59">
        <f t="shared" si="150"/>
        <v>215.4484906985528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94.479355254481092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94.479355254481092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367.99999999999972</v>
      </c>
      <c r="DP136" s="17">
        <f>DO136*VLOOKUP('Données projet'!$B$14,Paramètres!$A$1:$I$89,3,0)*VLOOKUP('Données projet'!$B$14,Paramètres!$A$1:$I$89,5,0)</f>
        <v>269.8175999999998</v>
      </c>
      <c r="DQ136" s="13">
        <f t="shared" si="151"/>
        <v>64.810557882019467</v>
      </c>
      <c r="DR136" s="20">
        <f t="shared" si="124"/>
        <v>582.81070831118348</v>
      </c>
      <c r="DS136" s="59">
        <f t="shared" si="125"/>
        <v>876.14404164451685</v>
      </c>
      <c r="DT136" s="59">
        <f ca="1">AVERAGE(OFFSET($DS$3,0,0,'Données projet'!$E$14+1,1))-AVERAGE(OFFSET($H$3,0,0,'Données projet'!$E$14+1,1))</f>
        <v>267.92147257573157</v>
      </c>
      <c r="DU136" s="59">
        <f t="shared" si="152"/>
        <v>269.06662611892438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16.131916411978324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16.131916411978324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0.8600000000003547</v>
      </c>
      <c r="EK136" s="17">
        <f>EJ136*VLOOKUP('Données projet'!$B$15,Paramètres!$A$1:$I$89,3,0)*VLOOKUP('Données projet'!$B$15,Paramètres!$A$1:$I$89,5,0)</f>
        <v>0.48074000000019829</v>
      </c>
      <c r="EL136" s="13">
        <f t="shared" si="153"/>
        <v>0.24126147010950588</v>
      </c>
      <c r="EM136" s="20">
        <f t="shared" si="127"/>
        <v>1.2574858937744013</v>
      </c>
      <c r="EN136" s="59">
        <f t="shared" si="128"/>
        <v>294.59081922710772</v>
      </c>
      <c r="EO136" s="59">
        <f ca="1">AVERAGE(OFFSET($EN$3,0,0,'Données projet'!$E$15+1,1))-AVERAGE(OFFSET($H$3,0,0,'Données projet'!$E$15+1,1))</f>
        <v>326.29985515186428</v>
      </c>
      <c r="EP136" s="59">
        <f t="shared" si="154"/>
        <v>437.68177084535927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79.328759642285277</v>
      </c>
      <c r="EW136" s="21">
        <f>EXP(-LN(2)/25)*EW135+(1-EXP(-LN(2)/25))/(LN(2)/25)*Calculateur!ER136*Calculateur!ET136*VLOOKUP('Données projet'!$B$15,Paramètres!$A$1:$I$89,3,0)*0.475*44/12</f>
        <v>2.9084412217278253</v>
      </c>
      <c r="EX136" s="21">
        <f>EXP(-LN(2)/2)*EX135+(1-EXP(-LN(2)/2))/(LN(2)/2)*ER136*EU136*VLOOKUP('Données projet'!$B$15,Paramètres!$A$1:$I$89,3,0)*0.475*44/12</f>
        <v>2.3234872854136606E-16</v>
      </c>
      <c r="EY136" s="22">
        <f t="shared" si="129"/>
        <v>82.237200864013104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1.7053025658242404E-13</v>
      </c>
      <c r="FF136" s="17">
        <f>FE136*VLOOKUP('Données projet'!$B$16,Paramètres!$A$1:$I$89,3,0)*VLOOKUP('Données projet'!$B$16,Paramètres!$A$1:$I$89,5,0)</f>
        <v>9.7631982498569413E-14</v>
      </c>
      <c r="FG136" s="13">
        <f t="shared" si="155"/>
        <v>1.4708068762530911E-12</v>
      </c>
      <c r="FH136" s="20">
        <f t="shared" si="130"/>
        <v>2.7316976789924749E-12</v>
      </c>
      <c r="FI136" s="59">
        <f t="shared" si="131"/>
        <v>293.33333333333604</v>
      </c>
      <c r="FJ136" s="59">
        <f ca="1">AVERAGE(OFFSET($FI$3,0,0,'Données projet'!$E$16+1,1))-AVERAGE(OFFSET($H$3,0,0,'Données projet'!$E$16+1,1))</f>
        <v>211.14768428403215</v>
      </c>
      <c r="FK136" s="59">
        <f t="shared" si="156"/>
        <v>350.7800157534798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10.800958086669704</v>
      </c>
      <c r="FR136" s="21">
        <f>EXP(-LN(2)/25)*FR135+(1-EXP(-LN(2)/25))/(LN(2)/25)*Calculateur!FM136*Calculateur!FO136*VLOOKUP('Données projet'!$B$16,Paramètres!$A$1:$I$89,3,0)*0.475*44/12</f>
        <v>1.2373145676948867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12.03827265436459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117.06239999999988</v>
      </c>
      <c r="D137" s="11">
        <f t="shared" si="140"/>
        <v>30.988867171899123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1142.851886940975</v>
      </c>
      <c r="H137" s="66">
        <f t="shared" si="110"/>
        <v>551.18929032439075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259.99999999999983</v>
      </c>
      <c r="O137" s="13">
        <f>N137*VLOOKUP('Données projet'!$B$9,Paramètres!$A$1:$I$89,3,0)*VLOOKUP('Données projet'!$B$9,Paramètres!$A$1:$I$89,5,0)</f>
        <v>227.13599999999985</v>
      </c>
      <c r="P137" s="13">
        <f t="shared" si="141"/>
        <v>55.662966886685133</v>
      </c>
      <c r="Q137" s="20">
        <f t="shared" si="108"/>
        <v>492.5415339943097</v>
      </c>
      <c r="R137" s="59">
        <f t="shared" si="109"/>
        <v>785.87486732764296</v>
      </c>
      <c r="S137" s="59">
        <f ca="1">AVERAGE(OFFSET($R$3,0,0,'Données projet'!$E$9+1,1))-AVERAGE(OFFSET($H$3,0,0,'Données projet'!$E$9+1,1))</f>
        <v>252.49539407921907</v>
      </c>
      <c r="T137" s="59">
        <f t="shared" si="142"/>
        <v>263.36387286233929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32.630026892984056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32.630026892984056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19.8100000000004</v>
      </c>
      <c r="AJ137" s="13">
        <f>AI137*VLOOKUP('Données projet'!$B$10,Paramètres!$A$1:$I$89,3,0)*VLOOKUP('Données projet'!$B$10,Paramètres!$A$1:$I$89,5,0)</f>
        <v>17.924088000000364</v>
      </c>
      <c r="AK137" s="13">
        <f t="shared" si="143"/>
        <v>5.9032212091029486</v>
      </c>
      <c r="AL137" s="20">
        <f t="shared" si="112"/>
        <v>41.499230205854936</v>
      </c>
      <c r="AM137" s="59">
        <f t="shared" si="113"/>
        <v>334.83256353918824</v>
      </c>
      <c r="AN137" s="59">
        <f ca="1">AVERAGE(OFFSET($AM$3,0,0,'Données projet'!$E$10+1,1))-AVERAGE(OFFSET($H$3,0,0,'Données projet'!$E$10+1,1))</f>
        <v>370.05613271587413</v>
      </c>
      <c r="AO137" s="59">
        <f t="shared" si="144"/>
        <v>183.24480056442525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261.10013211478247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261.10013211478247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19.8100000000004</v>
      </c>
      <c r="BE137" s="13">
        <f>BD137*VLOOKUP('Données projet'!$B$11,Paramètres!$A$1:$I$89,3,0)*VLOOKUP('Données projet'!$B$11,Paramètres!$A$1:$I$89,5,0)</f>
        <v>20.08734000000041</v>
      </c>
      <c r="BF137" s="13">
        <f t="shared" si="145"/>
        <v>6.5285137703520215</v>
      </c>
      <c r="BG137" s="20">
        <f t="shared" si="115"/>
        <v>46.355945316697152</v>
      </c>
      <c r="BH137" s="59">
        <f t="shared" si="116"/>
        <v>339.68927865003047</v>
      </c>
      <c r="BI137" s="59">
        <f ca="1">AVERAGE(OFFSET($BH$3,0,0,'Données projet'!$E$11+1,1))-AVERAGE(OFFSET($H$3,0,0,'Données projet'!$E$11+1,1))</f>
        <v>428.72181435671394</v>
      </c>
      <c r="BJ137" s="59">
        <f t="shared" si="146"/>
        <v>211.84936043087572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292.61221702518731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292.61221702518731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367.99999999999972</v>
      </c>
      <c r="BZ137" s="13">
        <f>BY137*VLOOKUP('Données projet'!$B$12,Paramètres!$A$1:$I$89,3,0)*VLOOKUP('Données projet'!$B$12,Paramètres!$A$1:$I$89,5,0)</f>
        <v>292.78079999999977</v>
      </c>
      <c r="CA137" s="13">
        <f t="shared" si="147"/>
        <v>69.660903052386217</v>
      </c>
      <c r="CB137" s="20">
        <f t="shared" si="118"/>
        <v>631.25263281623893</v>
      </c>
      <c r="CC137" s="59">
        <f t="shared" si="119"/>
        <v>924.58596614957219</v>
      </c>
      <c r="CD137" s="59">
        <f ca="1">AVERAGE(OFFSET($CC$3,0,0,'Données projet'!$E$12+1,1))-AVERAGE(OFFSET($H$3,0,0,'Données projet'!$E$12+1,1))</f>
        <v>296.737543892524</v>
      </c>
      <c r="CE137" s="59">
        <f t="shared" si="148"/>
        <v>296.38358650317099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21.152652666418323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21.152652666418323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474.99999999999994</v>
      </c>
      <c r="CU137" s="17">
        <f>CT137*VLOOKUP('Données projet'!$B$13,Paramètres!$A$1:$I$89,3,0)*VLOOKUP('Données projet'!$B$13,Paramètres!$A$1:$I$89,5,0)</f>
        <v>407.55</v>
      </c>
      <c r="CV137" s="13">
        <f t="shared" si="149"/>
        <v>93.305642095357683</v>
      </c>
      <c r="CW137" s="20">
        <f t="shared" si="121"/>
        <v>872.32357664941446</v>
      </c>
      <c r="CX137" s="59">
        <f t="shared" si="122"/>
        <v>1165.6569099827477</v>
      </c>
      <c r="CY137" s="59">
        <f ca="1">AVERAGE(OFFSET($CX$3,0,0,'Données projet'!$E$13+1,1))-AVERAGE(OFFSET($H$3,0,0,'Données projet'!$E$13+1,1))</f>
        <v>391.93999504334352</v>
      </c>
      <c r="CZ137" s="59">
        <f t="shared" si="150"/>
        <v>215.4484906985528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92.626672724657254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92.626672724657254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367.99999999999972</v>
      </c>
      <c r="DP137" s="17">
        <f>DO137*VLOOKUP('Données projet'!$B$14,Paramètres!$A$1:$I$89,3,0)*VLOOKUP('Données projet'!$B$14,Paramètres!$A$1:$I$89,5,0)</f>
        <v>269.8175999999998</v>
      </c>
      <c r="DQ137" s="13">
        <f t="shared" si="151"/>
        <v>64.810557882019467</v>
      </c>
      <c r="DR137" s="20">
        <f t="shared" si="124"/>
        <v>582.81070831118348</v>
      </c>
      <c r="DS137" s="59">
        <f t="shared" si="125"/>
        <v>876.14404164451685</v>
      </c>
      <c r="DT137" s="59">
        <f ca="1">AVERAGE(OFFSET($DS$3,0,0,'Données projet'!$E$14+1,1))-AVERAGE(OFFSET($H$3,0,0,'Données projet'!$E$14+1,1))</f>
        <v>267.92147257573157</v>
      </c>
      <c r="DU137" s="59">
        <f t="shared" si="152"/>
        <v>269.06662611892438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15.81557937063687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15.81557937063687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0.8600000000003547</v>
      </c>
      <c r="EK137" s="17">
        <f>EJ137*VLOOKUP('Données projet'!$B$15,Paramètres!$A$1:$I$89,3,0)*VLOOKUP('Données projet'!$B$15,Paramètres!$A$1:$I$89,5,0)</f>
        <v>0.48074000000019829</v>
      </c>
      <c r="EL137" s="13">
        <f t="shared" si="153"/>
        <v>0.24126147010950588</v>
      </c>
      <c r="EM137" s="20">
        <f t="shared" si="127"/>
        <v>1.2574858937744013</v>
      </c>
      <c r="EN137" s="59">
        <f t="shared" si="128"/>
        <v>294.59081922710772</v>
      </c>
      <c r="EO137" s="59">
        <f ca="1">AVERAGE(OFFSET($EN$3,0,0,'Données projet'!$E$15+1,1))-AVERAGE(OFFSET($H$3,0,0,'Données projet'!$E$15+1,1))</f>
        <v>326.29985515186428</v>
      </c>
      <c r="EP137" s="59">
        <f t="shared" si="154"/>
        <v>437.68177084535927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77.773171051465752</v>
      </c>
      <c r="EW137" s="21">
        <f>EXP(-LN(2)/25)*EW136+(1-EXP(-LN(2)/25))/(LN(2)/25)*Calculateur!ER137*Calculateur!ET137*VLOOKUP('Données projet'!$B$15,Paramètres!$A$1:$I$89,3,0)*0.475*44/12</f>
        <v>2.8289097435714012</v>
      </c>
      <c r="EX137" s="21">
        <f>EXP(-LN(2)/2)*EX136+(1-EXP(-LN(2)/2))/(LN(2)/2)*ER137*EU137*VLOOKUP('Données projet'!$B$15,Paramètres!$A$1:$I$89,3,0)*0.475*44/12</f>
        <v>1.6429536155167227E-16</v>
      </c>
      <c r="EY137" s="22">
        <f t="shared" si="129"/>
        <v>80.602080795037153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1.7053025658242404E-13</v>
      </c>
      <c r="FF137" s="17">
        <f>FE137*VLOOKUP('Données projet'!$B$16,Paramètres!$A$1:$I$89,3,0)*VLOOKUP('Données projet'!$B$16,Paramètres!$A$1:$I$89,5,0)</f>
        <v>9.7631982498569413E-14</v>
      </c>
      <c r="FG137" s="13">
        <f t="shared" si="155"/>
        <v>1.4708068762530911E-12</v>
      </c>
      <c r="FH137" s="20">
        <f t="shared" si="130"/>
        <v>2.7316976789924749E-12</v>
      </c>
      <c r="FI137" s="59">
        <f t="shared" si="131"/>
        <v>293.33333333333604</v>
      </c>
      <c r="FJ137" s="59">
        <f ca="1">AVERAGE(OFFSET($FI$3,0,0,'Données projet'!$E$16+1,1))-AVERAGE(OFFSET($H$3,0,0,'Données projet'!$E$16+1,1))</f>
        <v>211.14768428403215</v>
      </c>
      <c r="FK137" s="59">
        <f t="shared" si="156"/>
        <v>350.7800157534798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10.58915788652404</v>
      </c>
      <c r="FR137" s="21">
        <f>EXP(-LN(2)/25)*FR136+(1-EXP(-LN(2)/25))/(LN(2)/25)*Calculateur!FM137*Calculateur!FO137*VLOOKUP('Données projet'!$B$16,Paramètres!$A$1:$I$89,3,0)*0.475*44/12</f>
        <v>1.2034801357737248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11.792638022297766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117.93599999999988</v>
      </c>
      <c r="D138" s="11">
        <f t="shared" si="140"/>
        <v>31.193120181260472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1151.1721557851677</v>
      </c>
      <c r="H138" s="66">
        <f t="shared" si="110"/>
        <v>553.06655098236172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259.99999999999983</v>
      </c>
      <c r="O138" s="13">
        <f>N138*VLOOKUP('Données projet'!$B$9,Paramètres!$A$1:$I$89,3,0)*VLOOKUP('Données projet'!$B$9,Paramètres!$A$1:$I$89,5,0)</f>
        <v>227.13599999999985</v>
      </c>
      <c r="P138" s="13">
        <f t="shared" si="141"/>
        <v>55.662966886685133</v>
      </c>
      <c r="Q138" s="20">
        <f t="shared" si="108"/>
        <v>492.5415339943097</v>
      </c>
      <c r="R138" s="59">
        <f t="shared" si="109"/>
        <v>785.87486732764296</v>
      </c>
      <c r="S138" s="59">
        <f ca="1">AVERAGE(OFFSET($R$3,0,0,'Données projet'!$E$9+1,1))-AVERAGE(OFFSET($H$3,0,0,'Données projet'!$E$9+1,1))</f>
        <v>252.49539407921907</v>
      </c>
      <c r="T138" s="59">
        <f t="shared" si="142"/>
        <v>263.36387286233929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31.99017196796385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31.99017196796385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19.8100000000004</v>
      </c>
      <c r="AJ138" s="13">
        <f>AI138*VLOOKUP('Données projet'!$B$10,Paramètres!$A$1:$I$89,3,0)*VLOOKUP('Données projet'!$B$10,Paramètres!$A$1:$I$89,5,0)</f>
        <v>17.924088000000364</v>
      </c>
      <c r="AK138" s="13">
        <f t="shared" si="143"/>
        <v>5.9032212091029486</v>
      </c>
      <c r="AL138" s="20">
        <f t="shared" si="112"/>
        <v>41.499230205854936</v>
      </c>
      <c r="AM138" s="59">
        <f t="shared" si="113"/>
        <v>334.83256353918824</v>
      </c>
      <c r="AN138" s="59">
        <f ca="1">AVERAGE(OFFSET($AM$3,0,0,'Données projet'!$E$10+1,1))-AVERAGE(OFFSET($H$3,0,0,'Données projet'!$E$10+1,1))</f>
        <v>370.05613271587413</v>
      </c>
      <c r="AO138" s="59">
        <f t="shared" si="144"/>
        <v>183.24480056442525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255.98011777936702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255.98011777936702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19.8100000000004</v>
      </c>
      <c r="BE138" s="13">
        <f>BD138*VLOOKUP('Données projet'!$B$11,Paramètres!$A$1:$I$89,3,0)*VLOOKUP('Données projet'!$B$11,Paramètres!$A$1:$I$89,5,0)</f>
        <v>20.08734000000041</v>
      </c>
      <c r="BF138" s="13">
        <f t="shared" si="145"/>
        <v>6.5285137703520215</v>
      </c>
      <c r="BG138" s="20">
        <f t="shared" si="115"/>
        <v>46.355945316697152</v>
      </c>
      <c r="BH138" s="59">
        <f t="shared" si="116"/>
        <v>339.68927865003047</v>
      </c>
      <c r="BI138" s="59">
        <f ca="1">AVERAGE(OFFSET($BH$3,0,0,'Données projet'!$E$11+1,1))-AVERAGE(OFFSET($H$3,0,0,'Données projet'!$E$11+1,1))</f>
        <v>428.72181435671394</v>
      </c>
      <c r="BJ138" s="59">
        <f t="shared" si="146"/>
        <v>211.84936043087572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286.87426992515276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286.87426992515276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367.99999999999972</v>
      </c>
      <c r="BZ138" s="13">
        <f>BY138*VLOOKUP('Données projet'!$B$12,Paramètres!$A$1:$I$89,3,0)*VLOOKUP('Données projet'!$B$12,Paramètres!$A$1:$I$89,5,0)</f>
        <v>292.78079999999977</v>
      </c>
      <c r="CA138" s="13">
        <f t="shared" si="147"/>
        <v>69.660903052386217</v>
      </c>
      <c r="CB138" s="20">
        <f t="shared" si="118"/>
        <v>631.25263281623893</v>
      </c>
      <c r="CC138" s="59">
        <f t="shared" si="119"/>
        <v>924.58596614957219</v>
      </c>
      <c r="CD138" s="59">
        <f ca="1">AVERAGE(OFFSET($CC$3,0,0,'Données projet'!$E$12+1,1))-AVERAGE(OFFSET($H$3,0,0,'Données projet'!$E$12+1,1))</f>
        <v>296.737543892524</v>
      </c>
      <c r="CE138" s="59">
        <f t="shared" si="148"/>
        <v>296.38358650317099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20.737862049474035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20.737862049474035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474.99999999999994</v>
      </c>
      <c r="CU138" s="17">
        <f>CT138*VLOOKUP('Données projet'!$B$13,Paramètres!$A$1:$I$89,3,0)*VLOOKUP('Données projet'!$B$13,Paramètres!$A$1:$I$89,5,0)</f>
        <v>407.55</v>
      </c>
      <c r="CV138" s="13">
        <f t="shared" si="149"/>
        <v>93.305642095357683</v>
      </c>
      <c r="CW138" s="20">
        <f t="shared" si="121"/>
        <v>872.32357664941446</v>
      </c>
      <c r="CX138" s="59">
        <f t="shared" si="122"/>
        <v>1165.6569099827477</v>
      </c>
      <c r="CY138" s="59">
        <f ca="1">AVERAGE(OFFSET($CX$3,0,0,'Données projet'!$E$13+1,1))-AVERAGE(OFFSET($H$3,0,0,'Données projet'!$E$13+1,1))</f>
        <v>391.93999504334352</v>
      </c>
      <c r="CZ138" s="59">
        <f t="shared" si="150"/>
        <v>215.4484906985528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90.8103201692185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90.8103201692185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367.99999999999972</v>
      </c>
      <c r="DP138" s="17">
        <f>DO138*VLOOKUP('Données projet'!$B$14,Paramètres!$A$1:$I$89,3,0)*VLOOKUP('Données projet'!$B$14,Paramètres!$A$1:$I$89,5,0)</f>
        <v>269.8175999999998</v>
      </c>
      <c r="DQ138" s="13">
        <f t="shared" si="151"/>
        <v>64.810557882019467</v>
      </c>
      <c r="DR138" s="20">
        <f t="shared" si="124"/>
        <v>582.81070831118348</v>
      </c>
      <c r="DS138" s="59">
        <f t="shared" si="125"/>
        <v>876.14404164451685</v>
      </c>
      <c r="DT138" s="59">
        <f ca="1">AVERAGE(OFFSET($DS$3,0,0,'Données projet'!$E$14+1,1))-AVERAGE(OFFSET($H$3,0,0,'Données projet'!$E$14+1,1))</f>
        <v>267.92147257573157</v>
      </c>
      <c r="DU138" s="59">
        <f t="shared" si="152"/>
        <v>269.06662611892438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15.505445505729579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15.505445505729579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0.8600000000003547</v>
      </c>
      <c r="EK138" s="17">
        <f>EJ138*VLOOKUP('Données projet'!$B$15,Paramètres!$A$1:$I$89,3,0)*VLOOKUP('Données projet'!$B$15,Paramètres!$A$1:$I$89,5,0)</f>
        <v>0.48074000000019829</v>
      </c>
      <c r="EL138" s="13">
        <f t="shared" si="153"/>
        <v>0.24126147010950588</v>
      </c>
      <c r="EM138" s="20">
        <f t="shared" si="127"/>
        <v>1.2574858937744013</v>
      </c>
      <c r="EN138" s="59">
        <f t="shared" si="128"/>
        <v>294.59081922710772</v>
      </c>
      <c r="EO138" s="59">
        <f ca="1">AVERAGE(OFFSET($EN$3,0,0,'Données projet'!$E$15+1,1))-AVERAGE(OFFSET($H$3,0,0,'Données projet'!$E$15+1,1))</f>
        <v>326.29985515186428</v>
      </c>
      <c r="EP138" s="59">
        <f t="shared" si="154"/>
        <v>437.68177084535927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76.248086604096841</v>
      </c>
      <c r="EW138" s="21">
        <f>EXP(-LN(2)/25)*EW137+(1-EXP(-LN(2)/25))/(LN(2)/25)*Calculateur!ER138*Calculateur!ET138*VLOOKUP('Données projet'!$B$15,Paramètres!$A$1:$I$89,3,0)*0.475*44/12</f>
        <v>2.7515530578675436</v>
      </c>
      <c r="EX138" s="21">
        <f>EXP(-LN(2)/2)*EX137+(1-EXP(-LN(2)/2))/(LN(2)/2)*ER138*EU138*VLOOKUP('Données projet'!$B$15,Paramètres!$A$1:$I$89,3,0)*0.475*44/12</f>
        <v>1.1617436427068303E-16</v>
      </c>
      <c r="EY138" s="22">
        <f t="shared" si="129"/>
        <v>78.99963966196438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1.7053025658242404E-13</v>
      </c>
      <c r="FF138" s="17">
        <f>FE138*VLOOKUP('Données projet'!$B$16,Paramètres!$A$1:$I$89,3,0)*VLOOKUP('Données projet'!$B$16,Paramètres!$A$1:$I$89,5,0)</f>
        <v>9.7631982498569413E-14</v>
      </c>
      <c r="FG138" s="13">
        <f t="shared" si="155"/>
        <v>1.4708068762530911E-12</v>
      </c>
      <c r="FH138" s="20">
        <f t="shared" si="130"/>
        <v>2.7316976789924749E-12</v>
      </c>
      <c r="FI138" s="59">
        <f t="shared" si="131"/>
        <v>293.33333333333604</v>
      </c>
      <c r="FJ138" s="59">
        <f ca="1">AVERAGE(OFFSET($FI$3,0,0,'Données projet'!$E$16+1,1))-AVERAGE(OFFSET($H$3,0,0,'Données projet'!$E$16+1,1))</f>
        <v>211.14768428403215</v>
      </c>
      <c r="FK138" s="59">
        <f t="shared" si="156"/>
        <v>350.7800157534798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10.381510959117866</v>
      </c>
      <c r="FR138" s="21">
        <f>EXP(-LN(2)/25)*FR137+(1-EXP(-LN(2)/25))/(LN(2)/25)*Calculateur!FM138*Calculateur!FO138*VLOOKUP('Données projet'!$B$16,Paramètres!$A$1:$I$89,3,0)*0.475*44/12</f>
        <v>1.1705709081727225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11.552081867290589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118.80959999999988</v>
      </c>
      <c r="D139" s="11">
        <f t="shared" si="140"/>
        <v>31.397197153337192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1159.4910657450582</v>
      </c>
      <c r="H139" s="66">
        <f t="shared" si="110"/>
        <v>554.94350504206204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259.99999999999983</v>
      </c>
      <c r="O139" s="13">
        <f>N139*VLOOKUP('Données projet'!$B$9,Paramètres!$A$1:$I$89,3,0)*VLOOKUP('Données projet'!$B$9,Paramètres!$A$1:$I$89,5,0)</f>
        <v>227.13599999999985</v>
      </c>
      <c r="P139" s="13">
        <f t="shared" si="141"/>
        <v>55.662966886685133</v>
      </c>
      <c r="Q139" s="20">
        <f t="shared" si="108"/>
        <v>492.5415339943097</v>
      </c>
      <c r="R139" s="59">
        <f t="shared" si="109"/>
        <v>785.87486732764296</v>
      </c>
      <c r="S139" s="59">
        <f ca="1">AVERAGE(OFFSET($R$3,0,0,'Données projet'!$E$9+1,1))-AVERAGE(OFFSET($H$3,0,0,'Données projet'!$E$9+1,1))</f>
        <v>252.49539407921907</v>
      </c>
      <c r="T139" s="59">
        <f t="shared" si="142"/>
        <v>263.36387286233929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31.36286420775032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31.36286420775032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19.8100000000004</v>
      </c>
      <c r="AJ139" s="13">
        <f>AI139*VLOOKUP('Données projet'!$B$10,Paramètres!$A$1:$I$89,3,0)*VLOOKUP('Données projet'!$B$10,Paramètres!$A$1:$I$89,5,0)</f>
        <v>17.924088000000364</v>
      </c>
      <c r="AK139" s="13">
        <f t="shared" si="143"/>
        <v>5.9032212091029486</v>
      </c>
      <c r="AL139" s="20">
        <f t="shared" si="112"/>
        <v>41.499230205854936</v>
      </c>
      <c r="AM139" s="59">
        <f t="shared" si="113"/>
        <v>334.83256353918824</v>
      </c>
      <c r="AN139" s="59">
        <f ca="1">AVERAGE(OFFSET($AM$3,0,0,'Données projet'!$E$10+1,1))-AVERAGE(OFFSET($H$3,0,0,'Données projet'!$E$10+1,1))</f>
        <v>370.05613271587413</v>
      </c>
      <c r="AO139" s="59">
        <f t="shared" si="144"/>
        <v>183.24480056442525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250.96050380216869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250.96050380216869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19.8100000000004</v>
      </c>
      <c r="BE139" s="13">
        <f>BD139*VLOOKUP('Données projet'!$B$11,Paramètres!$A$1:$I$89,3,0)*VLOOKUP('Données projet'!$B$11,Paramètres!$A$1:$I$89,5,0)</f>
        <v>20.08734000000041</v>
      </c>
      <c r="BF139" s="13">
        <f t="shared" si="145"/>
        <v>6.5285137703520215</v>
      </c>
      <c r="BG139" s="20">
        <f t="shared" si="115"/>
        <v>46.355945316697152</v>
      </c>
      <c r="BH139" s="59">
        <f t="shared" si="116"/>
        <v>339.68927865003047</v>
      </c>
      <c r="BI139" s="59">
        <f ca="1">AVERAGE(OFFSET($BH$3,0,0,'Données projet'!$E$11+1,1))-AVERAGE(OFFSET($H$3,0,0,'Données projet'!$E$11+1,1))</f>
        <v>428.72181435671394</v>
      </c>
      <c r="BJ139" s="59">
        <f t="shared" si="146"/>
        <v>211.84936043087572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281.24884046794773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281.24884046794773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367.99999999999972</v>
      </c>
      <c r="BZ139" s="13">
        <f>BY139*VLOOKUP('Données projet'!$B$12,Paramètres!$A$1:$I$89,3,0)*VLOOKUP('Données projet'!$B$12,Paramètres!$A$1:$I$89,5,0)</f>
        <v>292.78079999999977</v>
      </c>
      <c r="CA139" s="13">
        <f t="shared" si="147"/>
        <v>69.660903052386217</v>
      </c>
      <c r="CB139" s="20">
        <f t="shared" si="118"/>
        <v>631.25263281623893</v>
      </c>
      <c r="CC139" s="59">
        <f t="shared" si="119"/>
        <v>924.58596614957219</v>
      </c>
      <c r="CD139" s="59">
        <f ca="1">AVERAGE(OFFSET($CC$3,0,0,'Données projet'!$E$12+1,1))-AVERAGE(OFFSET($H$3,0,0,'Données projet'!$E$12+1,1))</f>
        <v>296.737543892524</v>
      </c>
      <c r="CE139" s="59">
        <f t="shared" si="148"/>
        <v>296.38358650317099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20.331205223530731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20.331205223530731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474.99999999999994</v>
      </c>
      <c r="CU139" s="17">
        <f>CT139*VLOOKUP('Données projet'!$B$13,Paramètres!$A$1:$I$89,3,0)*VLOOKUP('Données projet'!$B$13,Paramètres!$A$1:$I$89,5,0)</f>
        <v>407.55</v>
      </c>
      <c r="CV139" s="13">
        <f t="shared" si="149"/>
        <v>93.305642095357683</v>
      </c>
      <c r="CW139" s="20">
        <f t="shared" si="121"/>
        <v>872.32357664941446</v>
      </c>
      <c r="CX139" s="59">
        <f t="shared" si="122"/>
        <v>1165.6569099827477</v>
      </c>
      <c r="CY139" s="59">
        <f ca="1">AVERAGE(OFFSET($CX$3,0,0,'Données projet'!$E$13+1,1))-AVERAGE(OFFSET($H$3,0,0,'Données projet'!$E$13+1,1))</f>
        <v>391.93999504334352</v>
      </c>
      <c r="CZ139" s="59">
        <f t="shared" si="150"/>
        <v>215.4484906985528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89.029585179526237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89.029585179526237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367.99999999999972</v>
      </c>
      <c r="DP139" s="17">
        <f>DO139*VLOOKUP('Données projet'!$B$14,Paramètres!$A$1:$I$89,3,0)*VLOOKUP('Données projet'!$B$14,Paramètres!$A$1:$I$89,5,0)</f>
        <v>269.8175999999998</v>
      </c>
      <c r="DQ139" s="13">
        <f t="shared" si="151"/>
        <v>64.810557882019467</v>
      </c>
      <c r="DR139" s="20">
        <f t="shared" si="124"/>
        <v>582.81070831118348</v>
      </c>
      <c r="DS139" s="59">
        <f t="shared" si="125"/>
        <v>876.14404164451685</v>
      </c>
      <c r="DT139" s="59">
        <f ca="1">AVERAGE(OFFSET($DS$3,0,0,'Données projet'!$E$14+1,1))-AVERAGE(OFFSET($H$3,0,0,'Données projet'!$E$14+1,1))</f>
        <v>267.92147257573157</v>
      </c>
      <c r="DU139" s="59">
        <f t="shared" si="152"/>
        <v>269.06662611892438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15.201393176750141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15.201393176750141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0.8600000000003547</v>
      </c>
      <c r="EK139" s="17">
        <f>EJ139*VLOOKUP('Données projet'!$B$15,Paramètres!$A$1:$I$89,3,0)*VLOOKUP('Données projet'!$B$15,Paramètres!$A$1:$I$89,5,0)</f>
        <v>0.48074000000019829</v>
      </c>
      <c r="EL139" s="13">
        <f t="shared" si="153"/>
        <v>0.24126147010950588</v>
      </c>
      <c r="EM139" s="20">
        <f t="shared" si="127"/>
        <v>1.2574858937744013</v>
      </c>
      <c r="EN139" s="59">
        <f t="shared" si="128"/>
        <v>294.59081922710772</v>
      </c>
      <c r="EO139" s="59">
        <f ca="1">AVERAGE(OFFSET($EN$3,0,0,'Données projet'!$E$15+1,1))-AVERAGE(OFFSET($H$3,0,0,'Données projet'!$E$15+1,1))</f>
        <v>326.29985515186428</v>
      </c>
      <c r="EP139" s="59">
        <f t="shared" si="154"/>
        <v>437.68177084535927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74.752908132531175</v>
      </c>
      <c r="EW139" s="21">
        <f>EXP(-LN(2)/25)*EW138+(1-EXP(-LN(2)/25))/(LN(2)/25)*Calculateur!ER139*Calculateur!ET139*VLOOKUP('Données projet'!$B$15,Paramètres!$A$1:$I$89,3,0)*0.475*44/12</f>
        <v>2.6763116948022692</v>
      </c>
      <c r="EX139" s="21">
        <f>EXP(-LN(2)/2)*EX138+(1-EXP(-LN(2)/2))/(LN(2)/2)*ER139*EU139*VLOOKUP('Données projet'!$B$15,Paramètres!$A$1:$I$89,3,0)*0.475*44/12</f>
        <v>8.2147680775836134E-17</v>
      </c>
      <c r="EY139" s="22">
        <f t="shared" si="129"/>
        <v>77.429219827333441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1.7053025658242404E-13</v>
      </c>
      <c r="FF139" s="17">
        <f>FE139*VLOOKUP('Données projet'!$B$16,Paramètres!$A$1:$I$89,3,0)*VLOOKUP('Données projet'!$B$16,Paramètres!$A$1:$I$89,5,0)</f>
        <v>9.7631982498569413E-14</v>
      </c>
      <c r="FG139" s="13">
        <f t="shared" si="155"/>
        <v>1.4708068762530911E-12</v>
      </c>
      <c r="FH139" s="20">
        <f t="shared" si="130"/>
        <v>2.7316976789924749E-12</v>
      </c>
      <c r="FI139" s="59">
        <f t="shared" si="131"/>
        <v>293.33333333333604</v>
      </c>
      <c r="FJ139" s="59">
        <f ca="1">AVERAGE(OFFSET($FI$3,0,0,'Données projet'!$E$16+1,1))-AVERAGE(OFFSET($H$3,0,0,'Données projet'!$E$16+1,1))</f>
        <v>211.14768428403215</v>
      </c>
      <c r="FK139" s="59">
        <f t="shared" si="156"/>
        <v>350.7800157534798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10.177935861306008</v>
      </c>
      <c r="FR139" s="21">
        <f>EXP(-LN(2)/25)*FR138+(1-EXP(-LN(2)/25))/(LN(2)/25)*Calculateur!FM139*Calculateur!FO139*VLOOKUP('Données projet'!$B$16,Paramètres!$A$1:$I$89,3,0)*0.475*44/12</f>
        <v>1.1385615851310906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11.316497446437099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119.68319999999987</v>
      </c>
      <c r="D140" s="11">
        <f t="shared" si="140"/>
        <v>31.601099532596137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1167.8086279709166</v>
      </c>
      <c r="H140" s="66">
        <f t="shared" si="110"/>
        <v>556.8201550192714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259.99999999999983</v>
      </c>
      <c r="O140" s="13">
        <f>N140*VLOOKUP('Données projet'!$B$9,Paramètres!$A$1:$I$89,3,0)*VLOOKUP('Données projet'!$B$9,Paramètres!$A$1:$I$89,5,0)</f>
        <v>227.13599999999985</v>
      </c>
      <c r="P140" s="13">
        <f t="shared" si="141"/>
        <v>55.662966886685133</v>
      </c>
      <c r="Q140" s="20">
        <f t="shared" si="108"/>
        <v>492.5415339943097</v>
      </c>
      <c r="R140" s="59">
        <f t="shared" si="109"/>
        <v>785.87486732764296</v>
      </c>
      <c r="S140" s="59">
        <f ca="1">AVERAGE(OFFSET($R$3,0,0,'Données projet'!$E$9+1,1))-AVERAGE(OFFSET($H$3,0,0,'Données projet'!$E$9+1,1))</f>
        <v>252.49539407921907</v>
      </c>
      <c r="T140" s="59">
        <f t="shared" si="142"/>
        <v>263.36387286233929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30.747857570094627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30.747857570094627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19.8100000000004</v>
      </c>
      <c r="AJ140" s="13">
        <f>AI140*VLOOKUP('Données projet'!$B$10,Paramètres!$A$1:$I$89,3,0)*VLOOKUP('Données projet'!$B$10,Paramètres!$A$1:$I$89,5,0)</f>
        <v>17.924088000000364</v>
      </c>
      <c r="AK140" s="13">
        <f t="shared" si="143"/>
        <v>5.9032212091029486</v>
      </c>
      <c r="AL140" s="20">
        <f t="shared" si="112"/>
        <v>41.499230205854936</v>
      </c>
      <c r="AM140" s="59">
        <f t="shared" si="113"/>
        <v>334.83256353918824</v>
      </c>
      <c r="AN140" s="59">
        <f ca="1">AVERAGE(OFFSET($AM$3,0,0,'Données projet'!$E$10+1,1))-AVERAGE(OFFSET($H$3,0,0,'Données projet'!$E$10+1,1))</f>
        <v>370.05613271587413</v>
      </c>
      <c r="AO140" s="59">
        <f t="shared" si="144"/>
        <v>183.24480056442525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246.039321393401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246.039321393401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19.8100000000004</v>
      </c>
      <c r="BE140" s="13">
        <f>BD140*VLOOKUP('Données projet'!$B$11,Paramètres!$A$1:$I$89,3,0)*VLOOKUP('Données projet'!$B$11,Paramètres!$A$1:$I$89,5,0)</f>
        <v>20.08734000000041</v>
      </c>
      <c r="BF140" s="13">
        <f t="shared" si="145"/>
        <v>6.5285137703520215</v>
      </c>
      <c r="BG140" s="20">
        <f t="shared" si="115"/>
        <v>46.355945316697152</v>
      </c>
      <c r="BH140" s="59">
        <f t="shared" si="116"/>
        <v>339.68927865003047</v>
      </c>
      <c r="BI140" s="59">
        <f ca="1">AVERAGE(OFFSET($BH$3,0,0,'Données projet'!$E$11+1,1))-AVERAGE(OFFSET($H$3,0,0,'Données projet'!$E$11+1,1))</f>
        <v>428.72181435671394</v>
      </c>
      <c r="BJ140" s="59">
        <f t="shared" si="146"/>
        <v>211.84936043087572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275.73372225122529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275.73372225122529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367.99999999999972</v>
      </c>
      <c r="BZ140" s="13">
        <f>BY140*VLOOKUP('Données projet'!$B$12,Paramètres!$A$1:$I$89,3,0)*VLOOKUP('Données projet'!$B$12,Paramètres!$A$1:$I$89,5,0)</f>
        <v>292.78079999999977</v>
      </c>
      <c r="CA140" s="13">
        <f t="shared" si="147"/>
        <v>69.660903052386217</v>
      </c>
      <c r="CB140" s="20">
        <f t="shared" si="118"/>
        <v>631.25263281623893</v>
      </c>
      <c r="CC140" s="59">
        <f t="shared" si="119"/>
        <v>924.58596614957219</v>
      </c>
      <c r="CD140" s="59">
        <f ca="1">AVERAGE(OFFSET($CC$3,0,0,'Données projet'!$E$12+1,1))-AVERAGE(OFFSET($H$3,0,0,'Données projet'!$E$12+1,1))</f>
        <v>296.737543892524</v>
      </c>
      <c r="CE140" s="59">
        <f t="shared" si="148"/>
        <v>296.38358650317099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19.932522689908001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19.932522689908001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474.99999999999994</v>
      </c>
      <c r="CU140" s="17">
        <f>CT140*VLOOKUP('Données projet'!$B$13,Paramètres!$A$1:$I$89,3,0)*VLOOKUP('Données projet'!$B$13,Paramètres!$A$1:$I$89,5,0)</f>
        <v>407.55</v>
      </c>
      <c r="CV140" s="13">
        <f t="shared" si="149"/>
        <v>93.305642095357683</v>
      </c>
      <c r="CW140" s="20">
        <f t="shared" si="121"/>
        <v>872.32357664941446</v>
      </c>
      <c r="CX140" s="59">
        <f t="shared" si="122"/>
        <v>1165.6569099827477</v>
      </c>
      <c r="CY140" s="59">
        <f ca="1">AVERAGE(OFFSET($CX$3,0,0,'Données projet'!$E$13+1,1))-AVERAGE(OFFSET($H$3,0,0,'Données projet'!$E$13+1,1))</f>
        <v>391.93999504334352</v>
      </c>
      <c r="CZ140" s="59">
        <f t="shared" si="150"/>
        <v>215.4484906985528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87.283769316840747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87.283769316840747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367.99999999999972</v>
      </c>
      <c r="DP140" s="17">
        <f>DO140*VLOOKUP('Données projet'!$B$14,Paramètres!$A$1:$I$89,3,0)*VLOOKUP('Données projet'!$B$14,Paramètres!$A$1:$I$89,5,0)</f>
        <v>269.8175999999998</v>
      </c>
      <c r="DQ140" s="13">
        <f t="shared" si="151"/>
        <v>64.810557882019467</v>
      </c>
      <c r="DR140" s="20">
        <f t="shared" si="124"/>
        <v>582.81070831118348</v>
      </c>
      <c r="DS140" s="59">
        <f t="shared" si="125"/>
        <v>876.14404164451685</v>
      </c>
      <c r="DT140" s="59">
        <f ca="1">AVERAGE(OFFSET($DS$3,0,0,'Données projet'!$E$14+1,1))-AVERAGE(OFFSET($H$3,0,0,'Données projet'!$E$14+1,1))</f>
        <v>267.92147257573157</v>
      </c>
      <c r="DU140" s="59">
        <f t="shared" si="152"/>
        <v>269.06662611892438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14.903303128488382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14.903303128488382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0.8600000000003547</v>
      </c>
      <c r="EK140" s="17">
        <f>EJ140*VLOOKUP('Données projet'!$B$15,Paramètres!$A$1:$I$89,3,0)*VLOOKUP('Données projet'!$B$15,Paramètres!$A$1:$I$89,5,0)</f>
        <v>0.48074000000019829</v>
      </c>
      <c r="EL140" s="13">
        <f t="shared" si="153"/>
        <v>0.24126147010950588</v>
      </c>
      <c r="EM140" s="20">
        <f t="shared" si="127"/>
        <v>1.2574858937744013</v>
      </c>
      <c r="EN140" s="59">
        <f t="shared" si="128"/>
        <v>294.59081922710772</v>
      </c>
      <c r="EO140" s="59">
        <f ca="1">AVERAGE(OFFSET($EN$3,0,0,'Données projet'!$E$15+1,1))-AVERAGE(OFFSET($H$3,0,0,'Données projet'!$E$15+1,1))</f>
        <v>326.29985515186428</v>
      </c>
      <c r="EP140" s="59">
        <f t="shared" si="154"/>
        <v>437.68177084535927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73.287049198824093</v>
      </c>
      <c r="EW140" s="21">
        <f>EXP(-LN(2)/25)*EW139+(1-EXP(-LN(2)/25))/(LN(2)/25)*Calculateur!ER140*Calculateur!ET140*VLOOKUP('Données projet'!$B$15,Paramètres!$A$1:$I$89,3,0)*0.475*44/12</f>
        <v>2.6031278107667859</v>
      </c>
      <c r="EX140" s="21">
        <f>EXP(-LN(2)/2)*EX139+(1-EXP(-LN(2)/2))/(LN(2)/2)*ER140*EU140*VLOOKUP('Données projet'!$B$15,Paramètres!$A$1:$I$89,3,0)*0.475*44/12</f>
        <v>5.8087182135341516E-17</v>
      </c>
      <c r="EY140" s="22">
        <f t="shared" si="129"/>
        <v>75.890177009590872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1.7053025658242404E-13</v>
      </c>
      <c r="FF140" s="17">
        <f>FE140*VLOOKUP('Données projet'!$B$16,Paramètres!$A$1:$I$89,3,0)*VLOOKUP('Données projet'!$B$16,Paramètres!$A$1:$I$89,5,0)</f>
        <v>9.7631982498569413E-14</v>
      </c>
      <c r="FG140" s="13">
        <f t="shared" si="155"/>
        <v>1.4708068762530911E-12</v>
      </c>
      <c r="FH140" s="20">
        <f t="shared" si="130"/>
        <v>2.7316976789924749E-12</v>
      </c>
      <c r="FI140" s="59">
        <f t="shared" si="131"/>
        <v>293.33333333333604</v>
      </c>
      <c r="FJ140" s="59">
        <f ca="1">AVERAGE(OFFSET($FI$3,0,0,'Données projet'!$E$16+1,1))-AVERAGE(OFFSET($H$3,0,0,'Données projet'!$E$16+1,1))</f>
        <v>211.14768428403215</v>
      </c>
      <c r="FK140" s="59">
        <f t="shared" si="156"/>
        <v>350.7800157534798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9.978352746993691</v>
      </c>
      <c r="FR140" s="21">
        <f>EXP(-LN(2)/25)*FR139+(1-EXP(-LN(2)/25))/(LN(2)/25)*Calculateur!FM140*Calculateur!FO140*VLOOKUP('Données projet'!$B$16,Paramètres!$A$1:$I$89,3,0)*0.475*44/12</f>
        <v>1.1074275587113294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11.08578030570502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120.55679999999987</v>
      </c>
      <c r="D141" s="11">
        <f t="shared" si="140"/>
        <v>31.804828741198751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1176.1248534408314</v>
      </c>
      <c r="H141" s="66">
        <f t="shared" si="110"/>
        <v>558.69650339092095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259.99999999999983</v>
      </c>
      <c r="O141" s="13">
        <f>N141*VLOOKUP('Données projet'!$B$9,Paramètres!$A$1:$I$89,3,0)*VLOOKUP('Données projet'!$B$9,Paramètres!$A$1:$I$89,5,0)</f>
        <v>227.13599999999985</v>
      </c>
      <c r="P141" s="13">
        <f t="shared" si="141"/>
        <v>55.662966886685133</v>
      </c>
      <c r="Q141" s="20">
        <f t="shared" si="108"/>
        <v>492.5415339943097</v>
      </c>
      <c r="R141" s="59">
        <f t="shared" si="109"/>
        <v>785.87486732764296</v>
      </c>
      <c r="S141" s="59">
        <f ca="1">AVERAGE(OFFSET($R$3,0,0,'Données projet'!$E$9+1,1))-AVERAGE(OFFSET($H$3,0,0,'Données projet'!$E$9+1,1))</f>
        <v>252.49539407921907</v>
      </c>
      <c r="T141" s="59">
        <f t="shared" si="142"/>
        <v>263.36387286233929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30.144910837486353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30.144910837486353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19.8100000000004</v>
      </c>
      <c r="AJ141" s="13">
        <f>AI141*VLOOKUP('Données projet'!$B$10,Paramètres!$A$1:$I$89,3,0)*VLOOKUP('Données projet'!$B$10,Paramètres!$A$1:$I$89,5,0)</f>
        <v>17.924088000000364</v>
      </c>
      <c r="AK141" s="13">
        <f t="shared" si="143"/>
        <v>5.9032212091029486</v>
      </c>
      <c r="AL141" s="20">
        <f t="shared" si="112"/>
        <v>41.499230205854936</v>
      </c>
      <c r="AM141" s="59">
        <f t="shared" si="113"/>
        <v>334.83256353918824</v>
      </c>
      <c r="AN141" s="59">
        <f ca="1">AVERAGE(OFFSET($AM$3,0,0,'Données projet'!$E$10+1,1))-AVERAGE(OFFSET($H$3,0,0,'Données projet'!$E$10+1,1))</f>
        <v>370.05613271587413</v>
      </c>
      <c r="AO141" s="59">
        <f t="shared" si="144"/>
        <v>183.24480056442525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241.21464037004435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241.21464037004435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19.8100000000004</v>
      </c>
      <c r="BE141" s="13">
        <f>BD141*VLOOKUP('Données projet'!$B$11,Paramètres!$A$1:$I$89,3,0)*VLOOKUP('Données projet'!$B$11,Paramètres!$A$1:$I$89,5,0)</f>
        <v>20.08734000000041</v>
      </c>
      <c r="BF141" s="13">
        <f t="shared" si="145"/>
        <v>6.5285137703520215</v>
      </c>
      <c r="BG141" s="20">
        <f t="shared" si="115"/>
        <v>46.355945316697152</v>
      </c>
      <c r="BH141" s="59">
        <f t="shared" si="116"/>
        <v>339.68927865003047</v>
      </c>
      <c r="BI141" s="59">
        <f ca="1">AVERAGE(OFFSET($BH$3,0,0,'Données projet'!$E$11+1,1))-AVERAGE(OFFSET($H$3,0,0,'Données projet'!$E$11+1,1))</f>
        <v>428.72181435671394</v>
      </c>
      <c r="BJ141" s="59">
        <f t="shared" si="146"/>
        <v>211.84936043087572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270.32675213884283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270.32675213884283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367.99999999999972</v>
      </c>
      <c r="BZ141" s="13">
        <f>BY141*VLOOKUP('Données projet'!$B$12,Paramètres!$A$1:$I$89,3,0)*VLOOKUP('Données projet'!$B$12,Paramètres!$A$1:$I$89,5,0)</f>
        <v>292.78079999999977</v>
      </c>
      <c r="CA141" s="13">
        <f t="shared" si="147"/>
        <v>69.660903052386217</v>
      </c>
      <c r="CB141" s="20">
        <f t="shared" si="118"/>
        <v>631.25263281623893</v>
      </c>
      <c r="CC141" s="59">
        <f t="shared" si="119"/>
        <v>924.58596614957219</v>
      </c>
      <c r="CD141" s="59">
        <f ca="1">AVERAGE(OFFSET($CC$3,0,0,'Données projet'!$E$12+1,1))-AVERAGE(OFFSET($H$3,0,0,'Données projet'!$E$12+1,1))</f>
        <v>296.737543892524</v>
      </c>
      <c r="CE141" s="59">
        <f t="shared" si="148"/>
        <v>296.38358650317099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19.54165807759728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19.54165807759728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474.99999999999994</v>
      </c>
      <c r="CU141" s="17">
        <f>CT141*VLOOKUP('Données projet'!$B$13,Paramètres!$A$1:$I$89,3,0)*VLOOKUP('Données projet'!$B$13,Paramètres!$A$1:$I$89,5,0)</f>
        <v>407.55</v>
      </c>
      <c r="CV141" s="13">
        <f t="shared" si="149"/>
        <v>93.305642095357683</v>
      </c>
      <c r="CW141" s="20">
        <f t="shared" si="121"/>
        <v>872.32357664941446</v>
      </c>
      <c r="CX141" s="59">
        <f t="shared" si="122"/>
        <v>1165.6569099827477</v>
      </c>
      <c r="CY141" s="59">
        <f ca="1">AVERAGE(OFFSET($CX$3,0,0,'Données projet'!$E$13+1,1))-AVERAGE(OFFSET($H$3,0,0,'Données projet'!$E$13+1,1))</f>
        <v>391.93999504334352</v>
      </c>
      <c r="CZ141" s="59">
        <f t="shared" si="150"/>
        <v>215.4484906985528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85.572187838379989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85.572187838379989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367.99999999999972</v>
      </c>
      <c r="DP141" s="17">
        <f>DO141*VLOOKUP('Données projet'!$B$14,Paramètres!$A$1:$I$89,3,0)*VLOOKUP('Données projet'!$B$14,Paramètres!$A$1:$I$89,5,0)</f>
        <v>269.8175999999998</v>
      </c>
      <c r="DQ141" s="13">
        <f t="shared" si="151"/>
        <v>64.810557882019467</v>
      </c>
      <c r="DR141" s="20">
        <f t="shared" si="124"/>
        <v>582.81070831118348</v>
      </c>
      <c r="DS141" s="59">
        <f t="shared" si="125"/>
        <v>876.14404164451685</v>
      </c>
      <c r="DT141" s="59">
        <f ca="1">AVERAGE(OFFSET($DS$3,0,0,'Données projet'!$E$14+1,1))-AVERAGE(OFFSET($H$3,0,0,'Données projet'!$E$14+1,1))</f>
        <v>267.92147257573157</v>
      </c>
      <c r="DU141" s="59">
        <f t="shared" si="152"/>
        <v>269.06662611892438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14.611058444256059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14.611058444256059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0.8600000000003547</v>
      </c>
      <c r="EK141" s="17">
        <f>EJ141*VLOOKUP('Données projet'!$B$15,Paramètres!$A$1:$I$89,3,0)*VLOOKUP('Données projet'!$B$15,Paramètres!$A$1:$I$89,5,0)</f>
        <v>0.48074000000019829</v>
      </c>
      <c r="EL141" s="13">
        <f t="shared" si="153"/>
        <v>0.24126147010950588</v>
      </c>
      <c r="EM141" s="20">
        <f t="shared" si="127"/>
        <v>1.2574858937744013</v>
      </c>
      <c r="EN141" s="59">
        <f t="shared" si="128"/>
        <v>294.59081922710772</v>
      </c>
      <c r="EO141" s="59">
        <f ca="1">AVERAGE(OFFSET($EN$3,0,0,'Données projet'!$E$15+1,1))-AVERAGE(OFFSET($H$3,0,0,'Données projet'!$E$15+1,1))</f>
        <v>326.29985515186428</v>
      </c>
      <c r="EP141" s="59">
        <f t="shared" si="154"/>
        <v>437.68177084535927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71.849934864721334</v>
      </c>
      <c r="EW141" s="21">
        <f>EXP(-LN(2)/25)*EW140+(1-EXP(-LN(2)/25))/(LN(2)/25)*Calculateur!ER141*Calculateur!ET141*VLOOKUP('Données projet'!$B$15,Paramètres!$A$1:$I$89,3,0)*0.475*44/12</f>
        <v>2.5319451438888261</v>
      </c>
      <c r="EX141" s="21">
        <f>EXP(-LN(2)/2)*EX140+(1-EXP(-LN(2)/2))/(LN(2)/2)*ER141*EU141*VLOOKUP('Données projet'!$B$15,Paramètres!$A$1:$I$89,3,0)*0.475*44/12</f>
        <v>4.1073840387918067E-17</v>
      </c>
      <c r="EY141" s="22">
        <f t="shared" si="129"/>
        <v>74.381880008610153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1.7053025658242404E-13</v>
      </c>
      <c r="FF141" s="17">
        <f>FE141*VLOOKUP('Données projet'!$B$16,Paramètres!$A$1:$I$89,3,0)*VLOOKUP('Données projet'!$B$16,Paramètres!$A$1:$I$89,5,0)</f>
        <v>9.7631982498569413E-14</v>
      </c>
      <c r="FG141" s="13">
        <f t="shared" si="155"/>
        <v>1.4708068762530911E-12</v>
      </c>
      <c r="FH141" s="20">
        <f t="shared" si="130"/>
        <v>2.7316976789924749E-12</v>
      </c>
      <c r="FI141" s="59">
        <f t="shared" si="131"/>
        <v>293.33333333333604</v>
      </c>
      <c r="FJ141" s="59">
        <f ca="1">AVERAGE(OFFSET($FI$3,0,0,'Données projet'!$E$16+1,1))-AVERAGE(OFFSET($H$3,0,0,'Données projet'!$E$16+1,1))</f>
        <v>211.14768428403215</v>
      </c>
      <c r="FK141" s="59">
        <f t="shared" si="156"/>
        <v>350.7800157534798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9.7826833358193586</v>
      </c>
      <c r="FR141" s="21">
        <f>EXP(-LN(2)/25)*FR140+(1-EXP(-LN(2)/25))/(LN(2)/25)*Calculateur!FM141*Calculateur!FO141*VLOOKUP('Données projet'!$B$16,Paramètres!$A$1:$I$89,3,0)*0.475*44/12</f>
        <v>1.0771448938812838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10.859828229700643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121.43039999999986</v>
      </c>
      <c r="D142" s="11">
        <f t="shared" si="140"/>
        <v>32.008386179504427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1184.4397529645946</v>
      </c>
      <c r="H142" s="66">
        <f t="shared" si="110"/>
        <v>560.57255259596991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259.99999999999983</v>
      </c>
      <c r="O142" s="13">
        <f>N142*VLOOKUP('Données projet'!$B$9,Paramètres!$A$1:$I$89,3,0)*VLOOKUP('Données projet'!$B$9,Paramètres!$A$1:$I$89,5,0)</f>
        <v>227.13599999999985</v>
      </c>
      <c r="P142" s="13">
        <f t="shared" si="141"/>
        <v>55.662966886685133</v>
      </c>
      <c r="Q142" s="20">
        <f t="shared" si="108"/>
        <v>492.5415339943097</v>
      </c>
      <c r="R142" s="59">
        <f t="shared" si="109"/>
        <v>785.87486732764296</v>
      </c>
      <c r="S142" s="59">
        <f ca="1">AVERAGE(OFFSET($R$3,0,0,'Données projet'!$E$9+1,1))-AVERAGE(OFFSET($H$3,0,0,'Données projet'!$E$9+1,1))</f>
        <v>252.49539407921907</v>
      </c>
      <c r="T142" s="59">
        <f t="shared" si="142"/>
        <v>263.36387286233929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29.553787522543335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29.553787522543335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19.8100000000004</v>
      </c>
      <c r="AJ142" s="13">
        <f>AI142*VLOOKUP('Données projet'!$B$10,Paramètres!$A$1:$I$89,3,0)*VLOOKUP('Données projet'!$B$10,Paramètres!$A$1:$I$89,5,0)</f>
        <v>17.924088000000364</v>
      </c>
      <c r="AK142" s="13">
        <f t="shared" si="143"/>
        <v>5.9032212091029486</v>
      </c>
      <c r="AL142" s="20">
        <f t="shared" si="112"/>
        <v>41.499230205854936</v>
      </c>
      <c r="AM142" s="59">
        <f t="shared" si="113"/>
        <v>334.83256353918824</v>
      </c>
      <c r="AN142" s="59">
        <f ca="1">AVERAGE(OFFSET($AM$3,0,0,'Données projet'!$E$10+1,1))-AVERAGE(OFFSET($H$3,0,0,'Données projet'!$E$10+1,1))</f>
        <v>370.05613271587413</v>
      </c>
      <c r="AO142" s="59">
        <f t="shared" si="144"/>
        <v>183.24480056442525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236.48456839879088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236.48456839879088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19.8100000000004</v>
      </c>
      <c r="BE142" s="13">
        <f>BD142*VLOOKUP('Données projet'!$B$11,Paramètres!$A$1:$I$89,3,0)*VLOOKUP('Données projet'!$B$11,Paramètres!$A$1:$I$89,5,0)</f>
        <v>20.08734000000041</v>
      </c>
      <c r="BF142" s="13">
        <f t="shared" si="145"/>
        <v>6.5285137703520215</v>
      </c>
      <c r="BG142" s="20">
        <f t="shared" si="115"/>
        <v>46.355945316697152</v>
      </c>
      <c r="BH142" s="59">
        <f t="shared" si="116"/>
        <v>339.68927865003047</v>
      </c>
      <c r="BI142" s="59">
        <f ca="1">AVERAGE(OFFSET($BH$3,0,0,'Données projet'!$E$11+1,1))-AVERAGE(OFFSET($H$3,0,0,'Données projet'!$E$11+1,1))</f>
        <v>428.72181435671394</v>
      </c>
      <c r="BJ142" s="59">
        <f t="shared" si="146"/>
        <v>211.84936043087572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265.02580941243809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265.02580941243809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367.99999999999972</v>
      </c>
      <c r="BZ142" s="13">
        <f>BY142*VLOOKUP('Données projet'!$B$12,Paramètres!$A$1:$I$89,3,0)*VLOOKUP('Données projet'!$B$12,Paramètres!$A$1:$I$89,5,0)</f>
        <v>292.78079999999977</v>
      </c>
      <c r="CA142" s="13">
        <f t="shared" si="147"/>
        <v>69.660903052386217</v>
      </c>
      <c r="CB142" s="20">
        <f t="shared" si="118"/>
        <v>631.25263281623893</v>
      </c>
      <c r="CC142" s="59">
        <f t="shared" si="119"/>
        <v>924.58596614957219</v>
      </c>
      <c r="CD142" s="59">
        <f ca="1">AVERAGE(OFFSET($CC$3,0,0,'Données projet'!$E$12+1,1))-AVERAGE(OFFSET($H$3,0,0,'Données projet'!$E$12+1,1))</f>
        <v>296.737543892524</v>
      </c>
      <c r="CE142" s="59">
        <f t="shared" si="148"/>
        <v>296.38358650317099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19.158458081930096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19.158458081930096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474.99999999999994</v>
      </c>
      <c r="CU142" s="17">
        <f>CT142*VLOOKUP('Données projet'!$B$13,Paramètres!$A$1:$I$89,3,0)*VLOOKUP('Données projet'!$B$13,Paramètres!$A$1:$I$89,5,0)</f>
        <v>407.55</v>
      </c>
      <c r="CV142" s="13">
        <f t="shared" si="149"/>
        <v>93.305642095357683</v>
      </c>
      <c r="CW142" s="20">
        <f t="shared" si="121"/>
        <v>872.32357664941446</v>
      </c>
      <c r="CX142" s="59">
        <f t="shared" si="122"/>
        <v>1165.6569099827477</v>
      </c>
      <c r="CY142" s="59">
        <f ca="1">AVERAGE(OFFSET($CX$3,0,0,'Données projet'!$E$13+1,1))-AVERAGE(OFFSET($H$3,0,0,'Données projet'!$E$13+1,1))</f>
        <v>391.93999504334352</v>
      </c>
      <c r="CZ142" s="59">
        <f t="shared" si="150"/>
        <v>215.4484906985528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83.894169428750217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83.894169428750217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367.99999999999972</v>
      </c>
      <c r="DP142" s="17">
        <f>DO142*VLOOKUP('Données projet'!$B$14,Paramètres!$A$1:$I$89,3,0)*VLOOKUP('Données projet'!$B$14,Paramètres!$A$1:$I$89,5,0)</f>
        <v>269.8175999999998</v>
      </c>
      <c r="DQ142" s="13">
        <f t="shared" si="151"/>
        <v>64.810557882019467</v>
      </c>
      <c r="DR142" s="20">
        <f t="shared" si="124"/>
        <v>582.81070831118348</v>
      </c>
      <c r="DS142" s="59">
        <f t="shared" si="125"/>
        <v>876.14404164451685</v>
      </c>
      <c r="DT142" s="59">
        <f ca="1">AVERAGE(OFFSET($DS$3,0,0,'Données projet'!$E$14+1,1))-AVERAGE(OFFSET($H$3,0,0,'Données projet'!$E$14+1,1))</f>
        <v>267.92147257573157</v>
      </c>
      <c r="DU142" s="59">
        <f t="shared" si="152"/>
        <v>269.06662611892438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14.324544500029875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14.324544500029875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0.8600000000003547</v>
      </c>
      <c r="EK142" s="17">
        <f>EJ142*VLOOKUP('Données projet'!$B$15,Paramètres!$A$1:$I$89,3,0)*VLOOKUP('Données projet'!$B$15,Paramètres!$A$1:$I$89,5,0)</f>
        <v>0.48074000000019829</v>
      </c>
      <c r="EL142" s="13">
        <f t="shared" si="153"/>
        <v>0.24126147010950588</v>
      </c>
      <c r="EM142" s="20">
        <f t="shared" si="127"/>
        <v>1.2574858937744013</v>
      </c>
      <c r="EN142" s="59">
        <f t="shared" si="128"/>
        <v>294.59081922710772</v>
      </c>
      <c r="EO142" s="59">
        <f ca="1">AVERAGE(OFFSET($EN$3,0,0,'Données projet'!$E$15+1,1))-AVERAGE(OFFSET($H$3,0,0,'Données projet'!$E$15+1,1))</f>
        <v>326.29985515186428</v>
      </c>
      <c r="EP142" s="59">
        <f t="shared" si="154"/>
        <v>437.68177084535927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70.441001466157147</v>
      </c>
      <c r="EW142" s="21">
        <f>EXP(-LN(2)/25)*EW141+(1-EXP(-LN(2)/25))/(LN(2)/25)*Calculateur!ER142*Calculateur!ET142*VLOOKUP('Données projet'!$B$15,Paramètres!$A$1:$I$89,3,0)*0.475*44/12</f>
        <v>2.4627089707799779</v>
      </c>
      <c r="EX142" s="21">
        <f>EXP(-LN(2)/2)*EX141+(1-EXP(-LN(2)/2))/(LN(2)/2)*ER142*EU142*VLOOKUP('Données projet'!$B$15,Paramètres!$A$1:$I$89,3,0)*0.475*44/12</f>
        <v>2.9043591067670758E-17</v>
      </c>
      <c r="EY142" s="22">
        <f t="shared" si="129"/>
        <v>72.903710436937118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1.7053025658242404E-13</v>
      </c>
      <c r="FF142" s="17">
        <f>FE142*VLOOKUP('Données projet'!$B$16,Paramètres!$A$1:$I$89,3,0)*VLOOKUP('Données projet'!$B$16,Paramètres!$A$1:$I$89,5,0)</f>
        <v>9.7631982498569413E-14</v>
      </c>
      <c r="FG142" s="13">
        <f t="shared" si="155"/>
        <v>1.4708068762530911E-12</v>
      </c>
      <c r="FH142" s="20">
        <f t="shared" si="130"/>
        <v>2.7316976789924749E-12</v>
      </c>
      <c r="FI142" s="59">
        <f t="shared" si="131"/>
        <v>293.33333333333604</v>
      </c>
      <c r="FJ142" s="59">
        <f ca="1">AVERAGE(OFFSET($FI$3,0,0,'Données projet'!$E$16+1,1))-AVERAGE(OFFSET($H$3,0,0,'Données projet'!$E$16+1,1))</f>
        <v>211.14768428403215</v>
      </c>
      <c r="FK142" s="59">
        <f t="shared" si="156"/>
        <v>350.7800157534798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9.5908508824515977</v>
      </c>
      <c r="FR142" s="21">
        <f>EXP(-LN(2)/25)*FR141+(1-EXP(-LN(2)/25))/(LN(2)/25)*Calculateur!FM142*Calculateur!FO142*VLOOKUP('Données projet'!$B$16,Paramètres!$A$1:$I$89,3,0)*0.475*44/12</f>
        <v>1.047690310113512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10.638541192565111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122.30399999999986</v>
      </c>
      <c r="D143" s="11">
        <f t="shared" si="140"/>
        <v>32.211773226559345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1192.7533371874745</v>
      </c>
      <c r="H143" s="66">
        <f t="shared" si="110"/>
        <v>562.44830503625724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259.99999999999983</v>
      </c>
      <c r="O143" s="13">
        <f>N143*VLOOKUP('Données projet'!$B$9,Paramètres!$A$1:$I$89,3,0)*VLOOKUP('Données projet'!$B$9,Paramètres!$A$1:$I$89,5,0)</f>
        <v>227.13599999999985</v>
      </c>
      <c r="P143" s="13">
        <f t="shared" si="141"/>
        <v>55.662966886685133</v>
      </c>
      <c r="Q143" s="20">
        <f t="shared" si="108"/>
        <v>492.5415339943097</v>
      </c>
      <c r="R143" s="59">
        <f t="shared" si="109"/>
        <v>785.87486732764296</v>
      </c>
      <c r="S143" s="59">
        <f ca="1">AVERAGE(OFFSET($R$3,0,0,'Données projet'!$E$9+1,1))-AVERAGE(OFFSET($H$3,0,0,'Données projet'!$E$9+1,1))</f>
        <v>252.49539407921907</v>
      </c>
      <c r="T143" s="59">
        <f t="shared" si="142"/>
        <v>263.36387286233929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28.974255775256726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28.974255775256726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19.8100000000004</v>
      </c>
      <c r="AJ143" s="13">
        <f>AI143*VLOOKUP('Données projet'!$B$10,Paramètres!$A$1:$I$89,3,0)*VLOOKUP('Données projet'!$B$10,Paramètres!$A$1:$I$89,5,0)</f>
        <v>17.924088000000364</v>
      </c>
      <c r="AK143" s="13">
        <f t="shared" si="143"/>
        <v>5.9032212091029486</v>
      </c>
      <c r="AL143" s="20">
        <f t="shared" si="112"/>
        <v>41.499230205854936</v>
      </c>
      <c r="AM143" s="59">
        <f t="shared" si="113"/>
        <v>334.83256353918824</v>
      </c>
      <c r="AN143" s="59">
        <f ca="1">AVERAGE(OFFSET($AM$3,0,0,'Données projet'!$E$10+1,1))-AVERAGE(OFFSET($H$3,0,0,'Données projet'!$E$10+1,1))</f>
        <v>370.05613271587413</v>
      </c>
      <c r="AO143" s="59">
        <f t="shared" si="144"/>
        <v>183.24480056442525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231.84725025383466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231.84725025383466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19.8100000000004</v>
      </c>
      <c r="BE143" s="13">
        <f>BD143*VLOOKUP('Données projet'!$B$11,Paramètres!$A$1:$I$89,3,0)*VLOOKUP('Données projet'!$B$11,Paramètres!$A$1:$I$89,5,0)</f>
        <v>20.08734000000041</v>
      </c>
      <c r="BF143" s="13">
        <f t="shared" si="145"/>
        <v>6.5285137703520215</v>
      </c>
      <c r="BG143" s="20">
        <f t="shared" si="115"/>
        <v>46.355945316697152</v>
      </c>
      <c r="BH143" s="59">
        <f t="shared" si="116"/>
        <v>339.68927865003047</v>
      </c>
      <c r="BI143" s="59">
        <f ca="1">AVERAGE(OFFSET($BH$3,0,0,'Données projet'!$E$11+1,1))-AVERAGE(OFFSET($H$3,0,0,'Données projet'!$E$11+1,1))</f>
        <v>428.72181435671394</v>
      </c>
      <c r="BJ143" s="59">
        <f t="shared" si="146"/>
        <v>211.84936043087572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259.82881493964231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259.82881493964231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367.99999999999972</v>
      </c>
      <c r="BZ143" s="13">
        <f>BY143*VLOOKUP('Données projet'!$B$12,Paramètres!$A$1:$I$89,3,0)*VLOOKUP('Données projet'!$B$12,Paramètres!$A$1:$I$89,5,0)</f>
        <v>292.78079999999977</v>
      </c>
      <c r="CA143" s="13">
        <f t="shared" si="147"/>
        <v>69.660903052386217</v>
      </c>
      <c r="CB143" s="20">
        <f t="shared" si="118"/>
        <v>631.25263281623893</v>
      </c>
      <c r="CC143" s="59">
        <f t="shared" si="119"/>
        <v>924.58596614957219</v>
      </c>
      <c r="CD143" s="59">
        <f ca="1">AVERAGE(OFFSET($CC$3,0,0,'Données projet'!$E$12+1,1))-AVERAGE(OFFSET($H$3,0,0,'Données projet'!$E$12+1,1))</f>
        <v>296.737543892524</v>
      </c>
      <c r="CE143" s="59">
        <f t="shared" si="148"/>
        <v>296.38358650317099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18.78277240444903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18.78277240444903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474.99999999999994</v>
      </c>
      <c r="CU143" s="17">
        <f>CT143*VLOOKUP('Données projet'!$B$13,Paramètres!$A$1:$I$89,3,0)*VLOOKUP('Données projet'!$B$13,Paramètres!$A$1:$I$89,5,0)</f>
        <v>407.55</v>
      </c>
      <c r="CV143" s="13">
        <f t="shared" si="149"/>
        <v>93.305642095357683</v>
      </c>
      <c r="CW143" s="20">
        <f t="shared" si="121"/>
        <v>872.32357664941446</v>
      </c>
      <c r="CX143" s="59">
        <f t="shared" si="122"/>
        <v>1165.6569099827477</v>
      </c>
      <c r="CY143" s="59">
        <f ca="1">AVERAGE(OFFSET($CX$3,0,0,'Données projet'!$E$13+1,1))-AVERAGE(OFFSET($H$3,0,0,'Données projet'!$E$13+1,1))</f>
        <v>391.93999504334352</v>
      </c>
      <c r="CZ143" s="59">
        <f t="shared" si="150"/>
        <v>215.4484906985528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82.249055936643117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82.249055936643117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367.99999999999972</v>
      </c>
      <c r="DP143" s="17">
        <f>DO143*VLOOKUP('Données projet'!$B$14,Paramètres!$A$1:$I$89,3,0)*VLOOKUP('Données projet'!$B$14,Paramètres!$A$1:$I$89,5,0)</f>
        <v>269.8175999999998</v>
      </c>
      <c r="DQ143" s="13">
        <f t="shared" si="151"/>
        <v>64.810557882019467</v>
      </c>
      <c r="DR143" s="20">
        <f t="shared" si="124"/>
        <v>582.81070831118348</v>
      </c>
      <c r="DS143" s="59">
        <f t="shared" si="125"/>
        <v>876.14404164451685</v>
      </c>
      <c r="DT143" s="59">
        <f ca="1">AVERAGE(OFFSET($DS$3,0,0,'Données projet'!$E$14+1,1))-AVERAGE(OFFSET($H$3,0,0,'Données projet'!$E$14+1,1))</f>
        <v>267.92147257573157</v>
      </c>
      <c r="DU143" s="59">
        <f t="shared" si="152"/>
        <v>269.06662611892438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14.043648919493716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14.043648919493716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0.8600000000003547</v>
      </c>
      <c r="EK143" s="17">
        <f>EJ143*VLOOKUP('Données projet'!$B$15,Paramètres!$A$1:$I$89,3,0)*VLOOKUP('Données projet'!$B$15,Paramètres!$A$1:$I$89,5,0)</f>
        <v>0.48074000000019829</v>
      </c>
      <c r="EL143" s="13">
        <f t="shared" si="153"/>
        <v>0.24126147010950588</v>
      </c>
      <c r="EM143" s="20">
        <f t="shared" si="127"/>
        <v>1.2574858937744013</v>
      </c>
      <c r="EN143" s="59">
        <f t="shared" si="128"/>
        <v>294.59081922710772</v>
      </c>
      <c r="EO143" s="59">
        <f ca="1">AVERAGE(OFFSET($EN$3,0,0,'Données projet'!$E$15+1,1))-AVERAGE(OFFSET($H$3,0,0,'Données projet'!$E$15+1,1))</f>
        <v>326.29985515186428</v>
      </c>
      <c r="EP143" s="59">
        <f t="shared" si="154"/>
        <v>437.68177084535927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69.059696392174274</v>
      </c>
      <c r="EW143" s="21">
        <f>EXP(-LN(2)/25)*EW142+(1-EXP(-LN(2)/25))/(LN(2)/25)*Calculateur!ER143*Calculateur!ET143*VLOOKUP('Données projet'!$B$15,Paramètres!$A$1:$I$89,3,0)*0.475*44/12</f>
        <v>2.3953660644657631</v>
      </c>
      <c r="EX143" s="21">
        <f>EXP(-LN(2)/2)*EX142+(1-EXP(-LN(2)/2))/(LN(2)/2)*ER143*EU143*VLOOKUP('Données projet'!$B$15,Paramètres!$A$1:$I$89,3,0)*0.475*44/12</f>
        <v>2.0536920193959033E-17</v>
      </c>
      <c r="EY143" s="22">
        <f t="shared" si="129"/>
        <v>71.455062456640036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1.7053025658242404E-13</v>
      </c>
      <c r="FF143" s="17">
        <f>FE143*VLOOKUP('Données projet'!$B$16,Paramètres!$A$1:$I$89,3,0)*VLOOKUP('Données projet'!$B$16,Paramètres!$A$1:$I$89,5,0)</f>
        <v>9.7631982498569413E-14</v>
      </c>
      <c r="FG143" s="13">
        <f t="shared" si="155"/>
        <v>1.4708068762530911E-12</v>
      </c>
      <c r="FH143" s="20">
        <f t="shared" si="130"/>
        <v>2.7316976789924749E-12</v>
      </c>
      <c r="FI143" s="59">
        <f t="shared" si="131"/>
        <v>293.33333333333604</v>
      </c>
      <c r="FJ143" s="59">
        <f ca="1">AVERAGE(OFFSET($FI$3,0,0,'Données projet'!$E$16+1,1))-AVERAGE(OFFSET($H$3,0,0,'Données projet'!$E$16+1,1))</f>
        <v>211.14768428403215</v>
      </c>
      <c r="FK143" s="59">
        <f t="shared" si="156"/>
        <v>350.7800157534798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9.4027801464881371</v>
      </c>
      <c r="FR143" s="21">
        <f>EXP(-LN(2)/25)*FR142+(1-EXP(-LN(2)/25))/(LN(2)/25)*Calculateur!FM143*Calculateur!FO143*VLOOKUP('Données projet'!$B$16,Paramètres!$A$1:$I$89,3,0)*0.475*44/12</f>
        <v>1.0190411634878191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10.421821309975956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123.17759999999986</v>
      </c>
      <c r="D144" s="11">
        <f t="shared" si="140"/>
        <v>32.414991240570387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1201.0656165938756</v>
      </c>
      <c r="H144" s="66">
        <f t="shared" si="110"/>
        <v>564.32376307732648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259.99999999999983</v>
      </c>
      <c r="O144" s="13">
        <f>N144*VLOOKUP('Données projet'!$B$9,Paramètres!$A$1:$I$89,3,0)*VLOOKUP('Données projet'!$B$9,Paramètres!$A$1:$I$89,5,0)</f>
        <v>227.13599999999985</v>
      </c>
      <c r="P144" s="13">
        <f t="shared" si="141"/>
        <v>55.662966886685133</v>
      </c>
      <c r="Q144" s="20">
        <f t="shared" si="108"/>
        <v>492.5415339943097</v>
      </c>
      <c r="R144" s="59">
        <f t="shared" si="109"/>
        <v>785.87486732764296</v>
      </c>
      <c r="S144" s="59">
        <f ca="1">AVERAGE(OFFSET($R$3,0,0,'Données projet'!$E$9+1,1))-AVERAGE(OFFSET($H$3,0,0,'Données projet'!$E$9+1,1))</f>
        <v>252.49539407921907</v>
      </c>
      <c r="T144" s="59">
        <f t="shared" si="142"/>
        <v>263.36387286233929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28.406088292054946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28.406088292054946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19.8100000000004</v>
      </c>
      <c r="AJ144" s="13">
        <f>AI144*VLOOKUP('Données projet'!$B$10,Paramètres!$A$1:$I$89,3,0)*VLOOKUP('Données projet'!$B$10,Paramètres!$A$1:$I$89,5,0)</f>
        <v>17.924088000000364</v>
      </c>
      <c r="AK144" s="13">
        <f t="shared" si="143"/>
        <v>5.9032212091029486</v>
      </c>
      <c r="AL144" s="20">
        <f t="shared" si="112"/>
        <v>41.499230205854936</v>
      </c>
      <c r="AM144" s="59">
        <f t="shared" si="113"/>
        <v>334.83256353918824</v>
      </c>
      <c r="AN144" s="59">
        <f ca="1">AVERAGE(OFFSET($AM$3,0,0,'Données projet'!$E$10+1,1))-AVERAGE(OFFSET($H$3,0,0,'Données projet'!$E$10+1,1))</f>
        <v>370.05613271587413</v>
      </c>
      <c r="AO144" s="59">
        <f t="shared" si="144"/>
        <v>183.24480056442525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227.30086708921627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227.30086708921627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19.8100000000004</v>
      </c>
      <c r="BE144" s="13">
        <f>BD144*VLOOKUP('Données projet'!$B$11,Paramètres!$A$1:$I$89,3,0)*VLOOKUP('Données projet'!$B$11,Paramètres!$A$1:$I$89,5,0)</f>
        <v>20.08734000000041</v>
      </c>
      <c r="BF144" s="13">
        <f t="shared" si="145"/>
        <v>6.5285137703520215</v>
      </c>
      <c r="BG144" s="20">
        <f t="shared" si="115"/>
        <v>46.355945316697152</v>
      </c>
      <c r="BH144" s="59">
        <f t="shared" si="116"/>
        <v>339.68927865003047</v>
      </c>
      <c r="BI144" s="59">
        <f ca="1">AVERAGE(OFFSET($BH$3,0,0,'Données projet'!$E$11+1,1))-AVERAGE(OFFSET($H$3,0,0,'Données projet'!$E$11+1,1))</f>
        <v>428.72181435671394</v>
      </c>
      <c r="BJ144" s="59">
        <f t="shared" si="146"/>
        <v>211.84936043087572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254.73373035860445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254.73373035860445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367.99999999999972</v>
      </c>
      <c r="BZ144" s="13">
        <f>BY144*VLOOKUP('Données projet'!$B$12,Paramètres!$A$1:$I$89,3,0)*VLOOKUP('Données projet'!$B$12,Paramètres!$A$1:$I$89,5,0)</f>
        <v>292.78079999999977</v>
      </c>
      <c r="CA144" s="13">
        <f t="shared" si="147"/>
        <v>69.660903052386217</v>
      </c>
      <c r="CB144" s="20">
        <f t="shared" si="118"/>
        <v>631.25263281623893</v>
      </c>
      <c r="CC144" s="59">
        <f t="shared" si="119"/>
        <v>924.58596614957219</v>
      </c>
      <c r="CD144" s="59">
        <f ca="1">AVERAGE(OFFSET($CC$3,0,0,'Données projet'!$E$12+1,1))-AVERAGE(OFFSET($H$3,0,0,'Données projet'!$E$12+1,1))</f>
        <v>296.737543892524</v>
      </c>
      <c r="CE144" s="59">
        <f t="shared" si="148"/>
        <v>296.38358650317099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18.414453693957729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18.414453693957729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474.99999999999994</v>
      </c>
      <c r="CU144" s="17">
        <f>CT144*VLOOKUP('Données projet'!$B$13,Paramètres!$A$1:$I$89,3,0)*VLOOKUP('Données projet'!$B$13,Paramètres!$A$1:$I$89,5,0)</f>
        <v>407.55</v>
      </c>
      <c r="CV144" s="13">
        <f t="shared" si="149"/>
        <v>93.305642095357683</v>
      </c>
      <c r="CW144" s="20">
        <f t="shared" si="121"/>
        <v>872.32357664941446</v>
      </c>
      <c r="CX144" s="59">
        <f t="shared" si="122"/>
        <v>1165.6569099827477</v>
      </c>
      <c r="CY144" s="59">
        <f ca="1">AVERAGE(OFFSET($CX$3,0,0,'Données projet'!$E$13+1,1))-AVERAGE(OFFSET($H$3,0,0,'Données projet'!$E$13+1,1))</f>
        <v>391.93999504334352</v>
      </c>
      <c r="CZ144" s="59">
        <f t="shared" si="150"/>
        <v>215.4484906985528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80.636202116696083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80.636202116696083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367.99999999999972</v>
      </c>
      <c r="DP144" s="17">
        <f>DO144*VLOOKUP('Données projet'!$B$14,Paramètres!$A$1:$I$89,3,0)*VLOOKUP('Données projet'!$B$14,Paramètres!$A$1:$I$89,5,0)</f>
        <v>269.8175999999998</v>
      </c>
      <c r="DQ144" s="13">
        <f t="shared" si="151"/>
        <v>64.810557882019467</v>
      </c>
      <c r="DR144" s="20">
        <f t="shared" si="124"/>
        <v>582.81070831118348</v>
      </c>
      <c r="DS144" s="59">
        <f t="shared" si="125"/>
        <v>876.14404164451685</v>
      </c>
      <c r="DT144" s="59">
        <f ca="1">AVERAGE(OFFSET($DS$3,0,0,'Données projet'!$E$14+1,1))-AVERAGE(OFFSET($H$3,0,0,'Données projet'!$E$14+1,1))</f>
        <v>267.92147257573157</v>
      </c>
      <c r="DU144" s="59">
        <f t="shared" si="152"/>
        <v>269.06662611892438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13.768261529962485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13.768261529962485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0.8600000000003547</v>
      </c>
      <c r="EK144" s="17">
        <f>EJ144*VLOOKUP('Données projet'!$B$15,Paramètres!$A$1:$I$89,3,0)*VLOOKUP('Données projet'!$B$15,Paramètres!$A$1:$I$89,5,0)</f>
        <v>0.48074000000019829</v>
      </c>
      <c r="EL144" s="13">
        <f t="shared" si="153"/>
        <v>0.24126147010950588</v>
      </c>
      <c r="EM144" s="20">
        <f t="shared" si="127"/>
        <v>1.2574858937744013</v>
      </c>
      <c r="EN144" s="59">
        <f t="shared" si="128"/>
        <v>294.59081922710772</v>
      </c>
      <c r="EO144" s="59">
        <f ca="1">AVERAGE(OFFSET($EN$3,0,0,'Données projet'!$E$15+1,1))-AVERAGE(OFFSET($H$3,0,0,'Données projet'!$E$15+1,1))</f>
        <v>326.29985515186428</v>
      </c>
      <c r="EP144" s="59">
        <f t="shared" si="154"/>
        <v>437.68177084535927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67.705477868179315</v>
      </c>
      <c r="EW144" s="21">
        <f>EXP(-LN(2)/25)*EW143+(1-EXP(-LN(2)/25))/(LN(2)/25)*Calculateur!ER144*Calculateur!ET144*VLOOKUP('Données projet'!$B$15,Paramètres!$A$1:$I$89,3,0)*0.475*44/12</f>
        <v>2.32986465346612</v>
      </c>
      <c r="EX144" s="21">
        <f>EXP(-LN(2)/2)*EX143+(1-EXP(-LN(2)/2))/(LN(2)/2)*ER144*EU144*VLOOKUP('Données projet'!$B$15,Paramètres!$A$1:$I$89,3,0)*0.475*44/12</f>
        <v>1.4521795533835379E-17</v>
      </c>
      <c r="EY144" s="22">
        <f t="shared" si="129"/>
        <v>70.035342521645433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1.7053025658242404E-13</v>
      </c>
      <c r="FF144" s="17">
        <f>FE144*VLOOKUP('Données projet'!$B$16,Paramètres!$A$1:$I$89,3,0)*VLOOKUP('Données projet'!$B$16,Paramètres!$A$1:$I$89,5,0)</f>
        <v>9.7631982498569413E-14</v>
      </c>
      <c r="FG144" s="13">
        <f t="shared" si="155"/>
        <v>1.4708068762530911E-12</v>
      </c>
      <c r="FH144" s="20">
        <f t="shared" si="130"/>
        <v>2.7316976789924749E-12</v>
      </c>
      <c r="FI144" s="59">
        <f t="shared" si="131"/>
        <v>293.33333333333604</v>
      </c>
      <c r="FJ144" s="59">
        <f ca="1">AVERAGE(OFFSET($FI$3,0,0,'Données projet'!$E$16+1,1))-AVERAGE(OFFSET($H$3,0,0,'Données projet'!$E$16+1,1))</f>
        <v>211.14768428403215</v>
      </c>
      <c r="FK144" s="59">
        <f t="shared" si="156"/>
        <v>350.7800157534798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9.2183973629450975</v>
      </c>
      <c r="FR144" s="21">
        <f>EXP(-LN(2)/25)*FR143+(1-EXP(-LN(2)/25))/(LN(2)/25)*Calculateur!FM144*Calculateur!FO144*VLOOKUP('Données projet'!$B$16,Paramètres!$A$1:$I$89,3,0)*0.475*44/12</f>
        <v>0.99117542928319902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10.209572792228297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124.05119999999985</v>
      </c>
      <c r="D145" s="11">
        <f t="shared" si="140"/>
        <v>32.618041559365949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1209.3766015108938</v>
      </c>
      <c r="H145" s="66">
        <f t="shared" si="110"/>
        <v>566.1989290492287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259.99999999999983</v>
      </c>
      <c r="O145" s="13">
        <f>N145*VLOOKUP('Données projet'!$B$9,Paramètres!$A$1:$I$89,3,0)*VLOOKUP('Données projet'!$B$9,Paramètres!$A$1:$I$89,5,0)</f>
        <v>227.13599999999985</v>
      </c>
      <c r="P145" s="13">
        <f t="shared" si="141"/>
        <v>55.662966886685133</v>
      </c>
      <c r="Q145" s="20">
        <f t="shared" si="108"/>
        <v>492.5415339943097</v>
      </c>
      <c r="R145" s="59">
        <f t="shared" si="109"/>
        <v>785.87486732764296</v>
      </c>
      <c r="S145" s="59">
        <f ca="1">AVERAGE(OFFSET($R$3,0,0,'Données projet'!$E$9+1,1))-AVERAGE(OFFSET($H$3,0,0,'Données projet'!$E$9+1,1))</f>
        <v>252.49539407921907</v>
      </c>
      <c r="T145" s="59">
        <f t="shared" si="142"/>
        <v>263.36387286233929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27.849062226650805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27.849062226650805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19.8100000000004</v>
      </c>
      <c r="AJ145" s="13">
        <f>AI145*VLOOKUP('Données projet'!$B$10,Paramètres!$A$1:$I$89,3,0)*VLOOKUP('Données projet'!$B$10,Paramètres!$A$1:$I$89,5,0)</f>
        <v>17.924088000000364</v>
      </c>
      <c r="AK145" s="13">
        <f t="shared" si="143"/>
        <v>5.9032212091029486</v>
      </c>
      <c r="AL145" s="20">
        <f t="shared" si="112"/>
        <v>41.499230205854936</v>
      </c>
      <c r="AM145" s="59">
        <f t="shared" si="113"/>
        <v>334.83256353918824</v>
      </c>
      <c r="AN145" s="59">
        <f ca="1">AVERAGE(OFFSET($AM$3,0,0,'Données projet'!$E$10+1,1))-AVERAGE(OFFSET($H$3,0,0,'Données projet'!$E$10+1,1))</f>
        <v>370.05613271587413</v>
      </c>
      <c r="AO145" s="59">
        <f t="shared" si="144"/>
        <v>183.24480056442525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222.84363572543612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222.84363572543612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19.8100000000004</v>
      </c>
      <c r="BE145" s="13">
        <f>BD145*VLOOKUP('Données projet'!$B$11,Paramètres!$A$1:$I$89,3,0)*VLOOKUP('Données projet'!$B$11,Paramètres!$A$1:$I$89,5,0)</f>
        <v>20.08734000000041</v>
      </c>
      <c r="BF145" s="13">
        <f t="shared" si="145"/>
        <v>6.5285137703520215</v>
      </c>
      <c r="BG145" s="20">
        <f t="shared" si="115"/>
        <v>46.355945316697152</v>
      </c>
      <c r="BH145" s="59">
        <f t="shared" si="116"/>
        <v>339.68927865003047</v>
      </c>
      <c r="BI145" s="59">
        <f ca="1">AVERAGE(OFFSET($BH$3,0,0,'Données projet'!$E$11+1,1))-AVERAGE(OFFSET($H$3,0,0,'Données projet'!$E$11+1,1))</f>
        <v>428.72181435671394</v>
      </c>
      <c r="BJ145" s="59">
        <f t="shared" si="146"/>
        <v>211.84936043087572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249.73855727850599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249.73855727850599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367.99999999999972</v>
      </c>
      <c r="BZ145" s="13">
        <f>BY145*VLOOKUP('Données projet'!$B$12,Paramètres!$A$1:$I$89,3,0)*VLOOKUP('Données projet'!$B$12,Paramètres!$A$1:$I$89,5,0)</f>
        <v>292.78079999999977</v>
      </c>
      <c r="CA145" s="13">
        <f t="shared" si="147"/>
        <v>69.660903052386217</v>
      </c>
      <c r="CB145" s="20">
        <f t="shared" si="118"/>
        <v>631.25263281623893</v>
      </c>
      <c r="CC145" s="59">
        <f t="shared" si="119"/>
        <v>924.58596614957219</v>
      </c>
      <c r="CD145" s="59">
        <f ca="1">AVERAGE(OFFSET($CC$3,0,0,'Données projet'!$E$12+1,1))-AVERAGE(OFFSET($H$3,0,0,'Données projet'!$E$12+1,1))</f>
        <v>296.737543892524</v>
      </c>
      <c r="CE145" s="59">
        <f t="shared" si="148"/>
        <v>296.38358650317099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18.053357488726931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18.053357488726931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474.99999999999994</v>
      </c>
      <c r="CU145" s="17">
        <f>CT145*VLOOKUP('Données projet'!$B$13,Paramètres!$A$1:$I$89,3,0)*VLOOKUP('Données projet'!$B$13,Paramètres!$A$1:$I$89,5,0)</f>
        <v>407.55</v>
      </c>
      <c r="CV145" s="13">
        <f t="shared" si="149"/>
        <v>93.305642095357683</v>
      </c>
      <c r="CW145" s="20">
        <f t="shared" si="121"/>
        <v>872.32357664941446</v>
      </c>
      <c r="CX145" s="59">
        <f t="shared" si="122"/>
        <v>1165.6569099827477</v>
      </c>
      <c r="CY145" s="59">
        <f ca="1">AVERAGE(OFFSET($CX$3,0,0,'Données projet'!$E$13+1,1))-AVERAGE(OFFSET($H$3,0,0,'Données projet'!$E$13+1,1))</f>
        <v>391.93999504334352</v>
      </c>
      <c r="CZ145" s="59">
        <f t="shared" si="150"/>
        <v>215.4484906985528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79.054975376414518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79.054975376414518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367.99999999999972</v>
      </c>
      <c r="DP145" s="17">
        <f>DO145*VLOOKUP('Données projet'!$B$14,Paramètres!$A$1:$I$89,3,0)*VLOOKUP('Données projet'!$B$14,Paramètres!$A$1:$I$89,5,0)</f>
        <v>269.8175999999998</v>
      </c>
      <c r="DQ145" s="13">
        <f t="shared" si="151"/>
        <v>64.810557882019467</v>
      </c>
      <c r="DR145" s="20">
        <f t="shared" si="124"/>
        <v>582.81070831118348</v>
      </c>
      <c r="DS145" s="59">
        <f t="shared" si="125"/>
        <v>876.14404164451685</v>
      </c>
      <c r="DT145" s="59">
        <f ca="1">AVERAGE(OFFSET($DS$3,0,0,'Données projet'!$E$14+1,1))-AVERAGE(OFFSET($H$3,0,0,'Données projet'!$E$14+1,1))</f>
        <v>267.92147257573157</v>
      </c>
      <c r="DU145" s="59">
        <f t="shared" si="152"/>
        <v>269.06662611892438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13.498274319170239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13.498274319170239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0.8600000000003547</v>
      </c>
      <c r="EK145" s="17">
        <f>EJ145*VLOOKUP('Données projet'!$B$15,Paramètres!$A$1:$I$89,3,0)*VLOOKUP('Données projet'!$B$15,Paramètres!$A$1:$I$89,5,0)</f>
        <v>0.48074000000019829</v>
      </c>
      <c r="EL145" s="13">
        <f t="shared" si="153"/>
        <v>0.24126147010950588</v>
      </c>
      <c r="EM145" s="20">
        <f t="shared" si="127"/>
        <v>1.2574858937744013</v>
      </c>
      <c r="EN145" s="59">
        <f t="shared" si="128"/>
        <v>294.59081922710772</v>
      </c>
      <c r="EO145" s="59">
        <f ca="1">AVERAGE(OFFSET($EN$3,0,0,'Données projet'!$E$15+1,1))-AVERAGE(OFFSET($H$3,0,0,'Données projet'!$E$15+1,1))</f>
        <v>326.29985515186428</v>
      </c>
      <c r="EP145" s="59">
        <f t="shared" si="154"/>
        <v>437.68177084535927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66.377814743448155</v>
      </c>
      <c r="EW145" s="21">
        <f>EXP(-LN(2)/25)*EW144+(1-EXP(-LN(2)/25))/(LN(2)/25)*Calculateur!ER145*Calculateur!ET145*VLOOKUP('Données projet'!$B$15,Paramètres!$A$1:$I$89,3,0)*0.475*44/12</f>
        <v>2.266154381994832</v>
      </c>
      <c r="EX145" s="21">
        <f>EXP(-LN(2)/2)*EX144+(1-EXP(-LN(2)/2))/(LN(2)/2)*ER145*EU145*VLOOKUP('Données projet'!$B$15,Paramètres!$A$1:$I$89,3,0)*0.475*44/12</f>
        <v>1.0268460096979517E-17</v>
      </c>
      <c r="EY145" s="22">
        <f t="shared" si="129"/>
        <v>68.643969125442993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1.7053025658242404E-13</v>
      </c>
      <c r="FF145" s="17">
        <f>FE145*VLOOKUP('Données projet'!$B$16,Paramètres!$A$1:$I$89,3,0)*VLOOKUP('Données projet'!$B$16,Paramètres!$A$1:$I$89,5,0)</f>
        <v>9.7631982498569413E-14</v>
      </c>
      <c r="FG145" s="13">
        <f t="shared" si="155"/>
        <v>1.4708068762530911E-12</v>
      </c>
      <c r="FH145" s="20">
        <f t="shared" si="130"/>
        <v>2.7316976789924749E-12</v>
      </c>
      <c r="FI145" s="59">
        <f t="shared" si="131"/>
        <v>293.33333333333604</v>
      </c>
      <c r="FJ145" s="59">
        <f ca="1">AVERAGE(OFFSET($FI$3,0,0,'Données projet'!$E$16+1,1))-AVERAGE(OFFSET($H$3,0,0,'Données projet'!$E$16+1,1))</f>
        <v>211.14768428403215</v>
      </c>
      <c r="FK145" s="59">
        <f t="shared" si="156"/>
        <v>350.7800157534798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9.0376302133249435</v>
      </c>
      <c r="FR145" s="21">
        <f>EXP(-LN(2)/25)*FR144+(1-EXP(-LN(2)/25))/(LN(2)/25)*Calculateur!FM145*Calculateur!FO145*VLOOKUP('Données projet'!$B$16,Paramètres!$A$1:$I$89,3,0)*0.475*44/12</f>
        <v>0.96407168504579943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10.001701898370744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124.92479999999985</v>
      </c>
      <c r="D146" s="11">
        <f t="shared" si="140"/>
        <v>32.820925500842684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1217.686302111767</v>
      </c>
      <c r="H146" s="66">
        <f t="shared" si="110"/>
        <v>568.0738052473007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259.99999999999983</v>
      </c>
      <c r="O146" s="13">
        <f>N146*VLOOKUP('Données projet'!$B$9,Paramètres!$A$1:$I$89,3,0)*VLOOKUP('Données projet'!$B$9,Paramètres!$A$1:$I$89,5,0)</f>
        <v>227.13599999999985</v>
      </c>
      <c r="P146" s="13">
        <f t="shared" si="141"/>
        <v>55.662966886685133</v>
      </c>
      <c r="Q146" s="20">
        <f t="shared" si="108"/>
        <v>492.5415339943097</v>
      </c>
      <c r="R146" s="59">
        <f t="shared" si="109"/>
        <v>785.87486732764296</v>
      </c>
      <c r="S146" s="59">
        <f ca="1">AVERAGE(OFFSET($R$3,0,0,'Données projet'!$E$9+1,1))-AVERAGE(OFFSET($H$3,0,0,'Données projet'!$E$9+1,1))</f>
        <v>252.49539407921907</v>
      </c>
      <c r="T146" s="59">
        <f t="shared" si="142"/>
        <v>263.36387286233929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27.302959102636887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27.302959102636887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19.8100000000004</v>
      </c>
      <c r="AJ146" s="13">
        <f>AI146*VLOOKUP('Données projet'!$B$10,Paramètres!$A$1:$I$89,3,0)*VLOOKUP('Données projet'!$B$10,Paramètres!$A$1:$I$89,5,0)</f>
        <v>17.924088000000364</v>
      </c>
      <c r="AK146" s="13">
        <f t="shared" si="143"/>
        <v>5.9032212091029486</v>
      </c>
      <c r="AL146" s="20">
        <f t="shared" si="112"/>
        <v>41.499230205854936</v>
      </c>
      <c r="AM146" s="59">
        <f t="shared" si="113"/>
        <v>334.83256353918824</v>
      </c>
      <c r="AN146" s="59">
        <f ca="1">AVERAGE(OFFSET($AM$3,0,0,'Données projet'!$E$10+1,1))-AVERAGE(OFFSET($H$3,0,0,'Données projet'!$E$10+1,1))</f>
        <v>370.05613271587413</v>
      </c>
      <c r="AO146" s="59">
        <f t="shared" si="144"/>
        <v>183.24480056442525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218.47380795005699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218.47380795005699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19.8100000000004</v>
      </c>
      <c r="BE146" s="13">
        <f>BD146*VLOOKUP('Données projet'!$B$11,Paramètres!$A$1:$I$89,3,0)*VLOOKUP('Données projet'!$B$11,Paramètres!$A$1:$I$89,5,0)</f>
        <v>20.08734000000041</v>
      </c>
      <c r="BF146" s="13">
        <f t="shared" si="145"/>
        <v>6.5285137703520215</v>
      </c>
      <c r="BG146" s="20">
        <f t="shared" si="115"/>
        <v>46.355945316697152</v>
      </c>
      <c r="BH146" s="59">
        <f t="shared" si="116"/>
        <v>339.68927865003047</v>
      </c>
      <c r="BI146" s="59">
        <f ca="1">AVERAGE(OFFSET($BH$3,0,0,'Données projet'!$E$11+1,1))-AVERAGE(OFFSET($H$3,0,0,'Données projet'!$E$11+1,1))</f>
        <v>428.72181435671394</v>
      </c>
      <c r="BJ146" s="59">
        <f t="shared" si="146"/>
        <v>211.84936043087572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244.84133649575355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244.84133649575355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367.99999999999972</v>
      </c>
      <c r="BZ146" s="13">
        <f>BY146*VLOOKUP('Données projet'!$B$12,Paramètres!$A$1:$I$89,3,0)*VLOOKUP('Données projet'!$B$12,Paramètres!$A$1:$I$89,5,0)</f>
        <v>292.78079999999977</v>
      </c>
      <c r="CA146" s="13">
        <f t="shared" si="147"/>
        <v>69.660903052386217</v>
      </c>
      <c r="CB146" s="20">
        <f t="shared" si="118"/>
        <v>631.25263281623893</v>
      </c>
      <c r="CC146" s="59">
        <f t="shared" si="119"/>
        <v>924.58596614957219</v>
      </c>
      <c r="CD146" s="59">
        <f ca="1">AVERAGE(OFFSET($CC$3,0,0,'Données projet'!$E$12+1,1))-AVERAGE(OFFSET($H$3,0,0,'Données projet'!$E$12+1,1))</f>
        <v>296.737543892524</v>
      </c>
      <c r="CE146" s="59">
        <f t="shared" si="148"/>
        <v>296.38358650317099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17.699342159833773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17.699342159833773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474.99999999999994</v>
      </c>
      <c r="CU146" s="17">
        <f>CT146*VLOOKUP('Données projet'!$B$13,Paramètres!$A$1:$I$89,3,0)*VLOOKUP('Données projet'!$B$13,Paramètres!$A$1:$I$89,5,0)</f>
        <v>407.55</v>
      </c>
      <c r="CV146" s="13">
        <f t="shared" si="149"/>
        <v>93.305642095357683</v>
      </c>
      <c r="CW146" s="20">
        <f t="shared" si="121"/>
        <v>872.32357664941446</v>
      </c>
      <c r="CX146" s="59">
        <f t="shared" si="122"/>
        <v>1165.6569099827477</v>
      </c>
      <c r="CY146" s="59">
        <f ca="1">AVERAGE(OFFSET($CX$3,0,0,'Données projet'!$E$13+1,1))-AVERAGE(OFFSET($H$3,0,0,'Données projet'!$E$13+1,1))</f>
        <v>391.93999504334352</v>
      </c>
      <c r="CZ146" s="59">
        <f t="shared" si="150"/>
        <v>215.4484906985528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77.504755528056805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77.504755528056805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367.99999999999972</v>
      </c>
      <c r="DP146" s="17">
        <f>DO146*VLOOKUP('Données projet'!$B$14,Paramètres!$A$1:$I$89,3,0)*VLOOKUP('Données projet'!$B$14,Paramètres!$A$1:$I$89,5,0)</f>
        <v>269.8175999999998</v>
      </c>
      <c r="DQ146" s="13">
        <f t="shared" si="151"/>
        <v>64.810557882019467</v>
      </c>
      <c r="DR146" s="20">
        <f t="shared" si="124"/>
        <v>582.81070831118348</v>
      </c>
      <c r="DS146" s="59">
        <f t="shared" si="125"/>
        <v>876.14404164451685</v>
      </c>
      <c r="DT146" s="59">
        <f ca="1">AVERAGE(OFFSET($DS$3,0,0,'Données projet'!$E$14+1,1))-AVERAGE(OFFSET($H$3,0,0,'Données projet'!$E$14+1,1))</f>
        <v>267.92147257573157</v>
      </c>
      <c r="DU146" s="59">
        <f t="shared" si="152"/>
        <v>269.06662611892438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13.233581392905691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13.233581392905691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0.8600000000003547</v>
      </c>
      <c r="EK146" s="17">
        <f>EJ146*VLOOKUP('Données projet'!$B$15,Paramètres!$A$1:$I$89,3,0)*VLOOKUP('Données projet'!$B$15,Paramètres!$A$1:$I$89,5,0)</f>
        <v>0.48074000000019829</v>
      </c>
      <c r="EL146" s="13">
        <f t="shared" si="153"/>
        <v>0.24126147010950588</v>
      </c>
      <c r="EM146" s="20">
        <f t="shared" si="127"/>
        <v>1.2574858937744013</v>
      </c>
      <c r="EN146" s="59">
        <f t="shared" si="128"/>
        <v>294.59081922710772</v>
      </c>
      <c r="EO146" s="59">
        <f ca="1">AVERAGE(OFFSET($EN$3,0,0,'Données projet'!$E$15+1,1))-AVERAGE(OFFSET($H$3,0,0,'Données projet'!$E$15+1,1))</f>
        <v>326.29985515186428</v>
      </c>
      <c r="EP146" s="59">
        <f t="shared" si="154"/>
        <v>437.68177084535927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65.076186282798417</v>
      </c>
      <c r="EW146" s="21">
        <f>EXP(-LN(2)/25)*EW145+(1-EXP(-LN(2)/25))/(LN(2)/25)*Calculateur!ER146*Calculateur!ET146*VLOOKUP('Données projet'!$B$15,Paramètres!$A$1:$I$89,3,0)*0.475*44/12</f>
        <v>2.2041862712473037</v>
      </c>
      <c r="EX146" s="21">
        <f>EXP(-LN(2)/2)*EX145+(1-EXP(-LN(2)/2))/(LN(2)/2)*ER146*EU146*VLOOKUP('Données projet'!$B$15,Paramètres!$A$1:$I$89,3,0)*0.475*44/12</f>
        <v>7.2608977669176894E-18</v>
      </c>
      <c r="EY146" s="22">
        <f t="shared" si="129"/>
        <v>67.280372554045726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1.7053025658242404E-13</v>
      </c>
      <c r="FF146" s="17">
        <f>FE146*VLOOKUP('Données projet'!$B$16,Paramètres!$A$1:$I$89,3,0)*VLOOKUP('Données projet'!$B$16,Paramètres!$A$1:$I$89,5,0)</f>
        <v>9.7631982498569413E-14</v>
      </c>
      <c r="FG146" s="13">
        <f t="shared" si="155"/>
        <v>1.4708068762530911E-12</v>
      </c>
      <c r="FH146" s="20">
        <f t="shared" si="130"/>
        <v>2.7316976789924749E-12</v>
      </c>
      <c r="FI146" s="59">
        <f t="shared" si="131"/>
        <v>293.33333333333604</v>
      </c>
      <c r="FJ146" s="59">
        <f ca="1">AVERAGE(OFFSET($FI$3,0,0,'Données projet'!$E$16+1,1))-AVERAGE(OFFSET($H$3,0,0,'Données projet'!$E$16+1,1))</f>
        <v>211.14768428403215</v>
      </c>
      <c r="FK146" s="59">
        <f t="shared" si="156"/>
        <v>350.7800157534798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8.8604077972517654</v>
      </c>
      <c r="FR146" s="21">
        <f>EXP(-LN(2)/25)*FR145+(1-EXP(-LN(2)/25))/(LN(2)/25)*Calculateur!FM146*Calculateur!FO146*VLOOKUP('Données projet'!$B$16,Paramètres!$A$1:$I$89,3,0)*0.475*44/12</f>
        <v>0.93770909411989556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9.7981168913716612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125.79839999999984</v>
      </c>
      <c r="D147" s="11">
        <f t="shared" si="140"/>
        <v>33.023644363399924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1225.9947284192262</v>
      </c>
      <c r="H147" s="66">
        <f t="shared" si="110"/>
        <v>569.94839393292125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259.99999999999983</v>
      </c>
      <c r="O147" s="13">
        <f>N147*VLOOKUP('Données projet'!$B$9,Paramètres!$A$1:$I$89,3,0)*VLOOKUP('Données projet'!$B$9,Paramètres!$A$1:$I$89,5,0)</f>
        <v>227.13599999999985</v>
      </c>
      <c r="P147" s="13">
        <f t="shared" si="141"/>
        <v>55.662966886685133</v>
      </c>
      <c r="Q147" s="20">
        <f t="shared" si="108"/>
        <v>492.5415339943097</v>
      </c>
      <c r="R147" s="59">
        <f t="shared" si="109"/>
        <v>785.87486732764296</v>
      </c>
      <c r="S147" s="59">
        <f ca="1">AVERAGE(OFFSET($R$3,0,0,'Données projet'!$E$9+1,1))-AVERAGE(OFFSET($H$3,0,0,'Données projet'!$E$9+1,1))</f>
        <v>252.49539407921907</v>
      </c>
      <c r="T147" s="59">
        <f t="shared" si="142"/>
        <v>263.36387286233929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26.767564727794866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26.767564727794866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19.8100000000004</v>
      </c>
      <c r="AJ147" s="13">
        <f>AI147*VLOOKUP('Données projet'!$B$10,Paramètres!$A$1:$I$89,3,0)*VLOOKUP('Données projet'!$B$10,Paramètres!$A$1:$I$89,5,0)</f>
        <v>17.924088000000364</v>
      </c>
      <c r="AK147" s="13">
        <f t="shared" si="143"/>
        <v>5.9032212091029486</v>
      </c>
      <c r="AL147" s="20">
        <f t="shared" si="112"/>
        <v>41.499230205854936</v>
      </c>
      <c r="AM147" s="59">
        <f t="shared" si="113"/>
        <v>334.83256353918824</v>
      </c>
      <c r="AN147" s="59">
        <f ca="1">AVERAGE(OFFSET($AM$3,0,0,'Données projet'!$E$10+1,1))-AVERAGE(OFFSET($H$3,0,0,'Données projet'!$E$10+1,1))</f>
        <v>370.05613271587413</v>
      </c>
      <c r="AO147" s="59">
        <f t="shared" si="144"/>
        <v>183.24480056442525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214.18966983202131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214.18966983202131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19.8100000000004</v>
      </c>
      <c r="BE147" s="13">
        <f>BD147*VLOOKUP('Données projet'!$B$11,Paramètres!$A$1:$I$89,3,0)*VLOOKUP('Données projet'!$B$11,Paramètres!$A$1:$I$89,5,0)</f>
        <v>20.08734000000041</v>
      </c>
      <c r="BF147" s="13">
        <f t="shared" si="145"/>
        <v>6.5285137703520215</v>
      </c>
      <c r="BG147" s="20">
        <f t="shared" si="115"/>
        <v>46.355945316697152</v>
      </c>
      <c r="BH147" s="59">
        <f t="shared" si="116"/>
        <v>339.68927865003047</v>
      </c>
      <c r="BI147" s="59">
        <f ca="1">AVERAGE(OFFSET($BH$3,0,0,'Données projet'!$E$11+1,1))-AVERAGE(OFFSET($H$3,0,0,'Données projet'!$E$11+1,1))</f>
        <v>428.72181435671394</v>
      </c>
      <c r="BJ147" s="59">
        <f t="shared" si="146"/>
        <v>211.84936043087572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240.04014722554115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240.04014722554115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367.99999999999972</v>
      </c>
      <c r="BZ147" s="13">
        <f>BY147*VLOOKUP('Données projet'!$B$12,Paramètres!$A$1:$I$89,3,0)*VLOOKUP('Données projet'!$B$12,Paramètres!$A$1:$I$89,5,0)</f>
        <v>292.78079999999977</v>
      </c>
      <c r="CA147" s="13">
        <f t="shared" si="147"/>
        <v>69.660903052386217</v>
      </c>
      <c r="CB147" s="20">
        <f t="shared" si="118"/>
        <v>631.25263281623893</v>
      </c>
      <c r="CC147" s="59">
        <f t="shared" si="119"/>
        <v>924.58596614957219</v>
      </c>
      <c r="CD147" s="59">
        <f ca="1">AVERAGE(OFFSET($CC$3,0,0,'Données projet'!$E$12+1,1))-AVERAGE(OFFSET($H$3,0,0,'Données projet'!$E$12+1,1))</f>
        <v>296.737543892524</v>
      </c>
      <c r="CE147" s="59">
        <f t="shared" si="148"/>
        <v>296.38358650317099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17.352268855612181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17.352268855612181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474.99999999999994</v>
      </c>
      <c r="CU147" s="17">
        <f>CT147*VLOOKUP('Données projet'!$B$13,Paramètres!$A$1:$I$89,3,0)*VLOOKUP('Données projet'!$B$13,Paramètres!$A$1:$I$89,5,0)</f>
        <v>407.55</v>
      </c>
      <c r="CV147" s="13">
        <f t="shared" si="149"/>
        <v>93.305642095357683</v>
      </c>
      <c r="CW147" s="20">
        <f t="shared" si="121"/>
        <v>872.32357664941446</v>
      </c>
      <c r="CX147" s="59">
        <f t="shared" si="122"/>
        <v>1165.6569099827477</v>
      </c>
      <c r="CY147" s="59">
        <f ca="1">AVERAGE(OFFSET($CX$3,0,0,'Données projet'!$E$13+1,1))-AVERAGE(OFFSET($H$3,0,0,'Données projet'!$E$13+1,1))</f>
        <v>391.93999504334352</v>
      </c>
      <c r="CZ147" s="59">
        <f t="shared" si="150"/>
        <v>215.4484906985528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75.984934545384633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75.984934545384633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367.99999999999972</v>
      </c>
      <c r="DP147" s="17">
        <f>DO147*VLOOKUP('Données projet'!$B$14,Paramètres!$A$1:$I$89,3,0)*VLOOKUP('Données projet'!$B$14,Paramètres!$A$1:$I$89,5,0)</f>
        <v>269.8175999999998</v>
      </c>
      <c r="DQ147" s="13">
        <f t="shared" si="151"/>
        <v>64.810557882019467</v>
      </c>
      <c r="DR147" s="20">
        <f t="shared" si="124"/>
        <v>582.81070831118348</v>
      </c>
      <c r="DS147" s="59">
        <f t="shared" si="125"/>
        <v>876.14404164451685</v>
      </c>
      <c r="DT147" s="59">
        <f ca="1">AVERAGE(OFFSET($DS$3,0,0,'Données projet'!$E$14+1,1))-AVERAGE(OFFSET($H$3,0,0,'Données projet'!$E$14+1,1))</f>
        <v>267.92147257573157</v>
      </c>
      <c r="DU147" s="59">
        <f t="shared" si="152"/>
        <v>269.06662611892438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12.974078933478447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12.974078933478447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0.8600000000003547</v>
      </c>
      <c r="EK147" s="17">
        <f>EJ147*VLOOKUP('Données projet'!$B$15,Paramètres!$A$1:$I$89,3,0)*VLOOKUP('Données projet'!$B$15,Paramètres!$A$1:$I$89,5,0)</f>
        <v>0.48074000000019829</v>
      </c>
      <c r="EL147" s="13">
        <f t="shared" si="153"/>
        <v>0.24126147010950588</v>
      </c>
      <c r="EM147" s="20">
        <f t="shared" si="127"/>
        <v>1.2574858937744013</v>
      </c>
      <c r="EN147" s="59">
        <f t="shared" si="128"/>
        <v>294.59081922710772</v>
      </c>
      <c r="EO147" s="59">
        <f ca="1">AVERAGE(OFFSET($EN$3,0,0,'Données projet'!$E$15+1,1))-AVERAGE(OFFSET($H$3,0,0,'Données projet'!$E$15+1,1))</f>
        <v>326.29985515186428</v>
      </c>
      <c r="EP147" s="59">
        <f t="shared" si="154"/>
        <v>437.68177084535927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63.800081962347058</v>
      </c>
      <c r="EW147" s="21">
        <f>EXP(-LN(2)/25)*EW146+(1-EXP(-LN(2)/25))/(LN(2)/25)*Calculateur!ER147*Calculateur!ET147*VLOOKUP('Données projet'!$B$15,Paramètres!$A$1:$I$89,3,0)*0.475*44/12</f>
        <v>2.1439126817469281</v>
      </c>
      <c r="EX147" s="21">
        <f>EXP(-LN(2)/2)*EX146+(1-EXP(-LN(2)/2))/(LN(2)/2)*ER147*EU147*VLOOKUP('Données projet'!$B$15,Paramètres!$A$1:$I$89,3,0)*0.475*44/12</f>
        <v>5.1342300484897583E-18</v>
      </c>
      <c r="EY147" s="22">
        <f t="shared" si="129"/>
        <v>65.943994644093991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1.7053025658242404E-13</v>
      </c>
      <c r="FF147" s="17">
        <f>FE147*VLOOKUP('Données projet'!$B$16,Paramètres!$A$1:$I$89,3,0)*VLOOKUP('Données projet'!$B$16,Paramètres!$A$1:$I$89,5,0)</f>
        <v>9.7631982498569413E-14</v>
      </c>
      <c r="FG147" s="13">
        <f t="shared" si="155"/>
        <v>1.4708068762530911E-12</v>
      </c>
      <c r="FH147" s="20">
        <f t="shared" si="130"/>
        <v>2.7316976789924749E-12</v>
      </c>
      <c r="FI147" s="59">
        <f t="shared" si="131"/>
        <v>293.33333333333604</v>
      </c>
      <c r="FJ147" s="59">
        <f ca="1">AVERAGE(OFFSET($FI$3,0,0,'Données projet'!$E$16+1,1))-AVERAGE(OFFSET($H$3,0,0,'Données projet'!$E$16+1,1))</f>
        <v>211.14768428403215</v>
      </c>
      <c r="FK147" s="59">
        <f t="shared" si="156"/>
        <v>350.7800157534798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8.6866606046627837</v>
      </c>
      <c r="FR147" s="21">
        <f>EXP(-LN(2)/25)*FR146+(1-EXP(-LN(2)/25))/(LN(2)/25)*Calculateur!FM147*Calculateur!FO147*VLOOKUP('Données projet'!$B$16,Paramètres!$A$1:$I$89,3,0)*0.475*44/12</f>
        <v>0.91206738962920897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9.598727994291993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126.67199999999984</v>
      </c>
      <c r="D148" s="11">
        <f t="shared" si="140"/>
        <v>33.226199426361291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1234.3018903087527</v>
      </c>
      <c r="H148" s="66">
        <f t="shared" si="110"/>
        <v>571.82269733424562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259.99999999999983</v>
      </c>
      <c r="O148" s="13">
        <f>N148*VLOOKUP('Données projet'!$B$9,Paramètres!$A$1:$I$89,3,0)*VLOOKUP('Données projet'!$B$9,Paramètres!$A$1:$I$89,5,0)</f>
        <v>227.13599999999985</v>
      </c>
      <c r="P148" s="13">
        <f t="shared" si="141"/>
        <v>55.662966886685133</v>
      </c>
      <c r="Q148" s="20">
        <f t="shared" si="108"/>
        <v>492.5415339943097</v>
      </c>
      <c r="R148" s="59">
        <f t="shared" si="109"/>
        <v>785.87486732764296</v>
      </c>
      <c r="S148" s="59">
        <f ca="1">AVERAGE(OFFSET($R$3,0,0,'Données projet'!$E$9+1,1))-AVERAGE(OFFSET($H$3,0,0,'Données projet'!$E$9+1,1))</f>
        <v>252.49539407921907</v>
      </c>
      <c r="T148" s="59">
        <f t="shared" si="142"/>
        <v>263.36387286233929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26.242669110085174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26.242669110085174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19.8100000000004</v>
      </c>
      <c r="AJ148" s="13">
        <f>AI148*VLOOKUP('Données projet'!$B$10,Paramètres!$A$1:$I$89,3,0)*VLOOKUP('Données projet'!$B$10,Paramètres!$A$1:$I$89,5,0)</f>
        <v>17.924088000000364</v>
      </c>
      <c r="AK148" s="13">
        <f t="shared" si="143"/>
        <v>5.9032212091029486</v>
      </c>
      <c r="AL148" s="20">
        <f t="shared" si="112"/>
        <v>41.499230205854936</v>
      </c>
      <c r="AM148" s="59">
        <f t="shared" si="113"/>
        <v>334.83256353918824</v>
      </c>
      <c r="AN148" s="59">
        <f ca="1">AVERAGE(OFFSET($AM$3,0,0,'Données projet'!$E$10+1,1))-AVERAGE(OFFSET($H$3,0,0,'Données projet'!$E$10+1,1))</f>
        <v>370.05613271587413</v>
      </c>
      <c r="AO148" s="59">
        <f t="shared" si="144"/>
        <v>183.24480056442525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209.98954104941407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209.98954104941407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19.8100000000004</v>
      </c>
      <c r="BE148" s="13">
        <f>BD148*VLOOKUP('Données projet'!$B$11,Paramètres!$A$1:$I$89,3,0)*VLOOKUP('Données projet'!$B$11,Paramètres!$A$1:$I$89,5,0)</f>
        <v>20.08734000000041</v>
      </c>
      <c r="BF148" s="13">
        <f t="shared" si="145"/>
        <v>6.5285137703520215</v>
      </c>
      <c r="BG148" s="20">
        <f t="shared" si="115"/>
        <v>46.355945316697152</v>
      </c>
      <c r="BH148" s="59">
        <f t="shared" si="116"/>
        <v>339.68927865003047</v>
      </c>
      <c r="BI148" s="59">
        <f ca="1">AVERAGE(OFFSET($BH$3,0,0,'Données projet'!$E$11+1,1))-AVERAGE(OFFSET($H$3,0,0,'Données projet'!$E$11+1,1))</f>
        <v>428.72181435671394</v>
      </c>
      <c r="BJ148" s="59">
        <f t="shared" si="146"/>
        <v>211.84936043087572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235.33310634848129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235.33310634848129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367.99999999999972</v>
      </c>
      <c r="BZ148" s="13">
        <f>BY148*VLOOKUP('Données projet'!$B$12,Paramètres!$A$1:$I$89,3,0)*VLOOKUP('Données projet'!$B$12,Paramètres!$A$1:$I$89,5,0)</f>
        <v>292.78079999999977</v>
      </c>
      <c r="CA148" s="13">
        <f t="shared" si="147"/>
        <v>69.660903052386217</v>
      </c>
      <c r="CB148" s="20">
        <f t="shared" si="118"/>
        <v>631.25263281623893</v>
      </c>
      <c r="CC148" s="59">
        <f t="shared" si="119"/>
        <v>924.58596614957219</v>
      </c>
      <c r="CD148" s="59">
        <f ca="1">AVERAGE(OFFSET($CC$3,0,0,'Données projet'!$E$12+1,1))-AVERAGE(OFFSET($H$3,0,0,'Données projet'!$E$12+1,1))</f>
        <v>296.737543892524</v>
      </c>
      <c r="CE148" s="59">
        <f t="shared" si="148"/>
        <v>296.38358650317099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17.01200144719256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17.01200144719256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474.99999999999994</v>
      </c>
      <c r="CU148" s="17">
        <f>CT148*VLOOKUP('Données projet'!$B$13,Paramètres!$A$1:$I$89,3,0)*VLOOKUP('Données projet'!$B$13,Paramètres!$A$1:$I$89,5,0)</f>
        <v>407.55</v>
      </c>
      <c r="CV148" s="13">
        <f t="shared" si="149"/>
        <v>93.305642095357683</v>
      </c>
      <c r="CW148" s="20">
        <f t="shared" si="121"/>
        <v>872.32357664941446</v>
      </c>
      <c r="CX148" s="59">
        <f t="shared" si="122"/>
        <v>1165.6569099827477</v>
      </c>
      <c r="CY148" s="59">
        <f ca="1">AVERAGE(OFFSET($CX$3,0,0,'Données projet'!$E$13+1,1))-AVERAGE(OFFSET($H$3,0,0,'Données projet'!$E$13+1,1))</f>
        <v>391.93999504334352</v>
      </c>
      <c r="CZ148" s="59">
        <f t="shared" si="150"/>
        <v>215.4484906985528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74.494916325183397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74.494916325183397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367.99999999999972</v>
      </c>
      <c r="DP148" s="17">
        <f>DO148*VLOOKUP('Données projet'!$B$14,Paramètres!$A$1:$I$89,3,0)*VLOOKUP('Données projet'!$B$14,Paramètres!$A$1:$I$89,5,0)</f>
        <v>269.8175999999998</v>
      </c>
      <c r="DQ148" s="13">
        <f t="shared" si="151"/>
        <v>64.810557882019467</v>
      </c>
      <c r="DR148" s="20">
        <f t="shared" si="124"/>
        <v>582.81070831118348</v>
      </c>
      <c r="DS148" s="59">
        <f t="shared" si="125"/>
        <v>876.14404164451685</v>
      </c>
      <c r="DT148" s="59">
        <f ca="1">AVERAGE(OFFSET($DS$3,0,0,'Données projet'!$E$14+1,1))-AVERAGE(OFFSET($H$3,0,0,'Données projet'!$E$14+1,1))</f>
        <v>267.92147257573157</v>
      </c>
      <c r="DU148" s="59">
        <f t="shared" si="152"/>
        <v>269.06662611892438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12.7196651589997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12.7196651589997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0.8600000000003547</v>
      </c>
      <c r="EK148" s="17">
        <f>EJ148*VLOOKUP('Données projet'!$B$15,Paramètres!$A$1:$I$89,3,0)*VLOOKUP('Données projet'!$B$15,Paramètres!$A$1:$I$89,5,0)</f>
        <v>0.48074000000019829</v>
      </c>
      <c r="EL148" s="13">
        <f t="shared" si="153"/>
        <v>0.24126147010950588</v>
      </c>
      <c r="EM148" s="20">
        <f t="shared" si="127"/>
        <v>1.2574858937744013</v>
      </c>
      <c r="EN148" s="59">
        <f t="shared" si="128"/>
        <v>294.59081922710772</v>
      </c>
      <c r="EO148" s="59">
        <f ca="1">AVERAGE(OFFSET($EN$3,0,0,'Données projet'!$E$15+1,1))-AVERAGE(OFFSET($H$3,0,0,'Données projet'!$E$15+1,1))</f>
        <v>326.29985515186428</v>
      </c>
      <c r="EP148" s="59">
        <f t="shared" si="154"/>
        <v>437.68177084535927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62.549001269272971</v>
      </c>
      <c r="EW148" s="21">
        <f>EXP(-LN(2)/25)*EW147+(1-EXP(-LN(2)/25))/(LN(2)/25)*Calculateur!ER148*Calculateur!ET148*VLOOKUP('Données projet'!$B$15,Paramètres!$A$1:$I$89,3,0)*0.475*44/12</f>
        <v>2.0852872767210902</v>
      </c>
      <c r="EX148" s="21">
        <f>EXP(-LN(2)/2)*EX147+(1-EXP(-LN(2)/2))/(LN(2)/2)*ER148*EU148*VLOOKUP('Données projet'!$B$15,Paramètres!$A$1:$I$89,3,0)*0.475*44/12</f>
        <v>3.6304488834588447E-18</v>
      </c>
      <c r="EY148" s="22">
        <f t="shared" si="129"/>
        <v>64.634288545994067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1.7053025658242404E-13</v>
      </c>
      <c r="FF148" s="17">
        <f>FE148*VLOOKUP('Données projet'!$B$16,Paramètres!$A$1:$I$89,3,0)*VLOOKUP('Données projet'!$B$16,Paramètres!$A$1:$I$89,5,0)</f>
        <v>9.7631982498569413E-14</v>
      </c>
      <c r="FG148" s="13">
        <f t="shared" si="155"/>
        <v>1.4708068762530911E-12</v>
      </c>
      <c r="FH148" s="20">
        <f t="shared" si="130"/>
        <v>2.7316976789924749E-12</v>
      </c>
      <c r="FI148" s="59">
        <f t="shared" si="131"/>
        <v>293.33333333333604</v>
      </c>
      <c r="FJ148" s="59">
        <f ca="1">AVERAGE(OFFSET($FI$3,0,0,'Données projet'!$E$16+1,1))-AVERAGE(OFFSET($H$3,0,0,'Données projet'!$E$16+1,1))</f>
        <v>211.14768428403215</v>
      </c>
      <c r="FK148" s="59">
        <f t="shared" si="156"/>
        <v>350.7800157534798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8.5163204885451478</v>
      </c>
      <c r="FR148" s="21">
        <f>EXP(-LN(2)/25)*FR147+(1-EXP(-LN(2)/25))/(LN(2)/25)*Calculateur!FM148*Calculateur!FO148*VLOOKUP('Données projet'!$B$16,Paramètres!$A$1:$I$89,3,0)*0.475*44/12</f>
        <v>0.88712685889625875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9.4034473474414071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127.54559999999984</v>
      </c>
      <c r="D149" s="11">
        <f t="shared" si="140"/>
        <v>33.428591950384771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1242.607797511741</v>
      </c>
      <c r="H149" s="66">
        <f t="shared" si="110"/>
        <v>573.69671764691986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259.99999999999983</v>
      </c>
      <c r="O149" s="13">
        <f>N149*VLOOKUP('Données projet'!$B$9,Paramètres!$A$1:$I$89,3,0)*VLOOKUP('Données projet'!$B$9,Paramètres!$A$1:$I$89,5,0)</f>
        <v>227.13599999999985</v>
      </c>
      <c r="P149" s="13">
        <f t="shared" si="141"/>
        <v>55.662966886685133</v>
      </c>
      <c r="Q149" s="20">
        <f t="shared" si="108"/>
        <v>492.5415339943097</v>
      </c>
      <c r="R149" s="59">
        <f t="shared" si="109"/>
        <v>785.87486732764296</v>
      </c>
      <c r="S149" s="59">
        <f ca="1">AVERAGE(OFFSET($R$3,0,0,'Données projet'!$E$9+1,1))-AVERAGE(OFFSET($H$3,0,0,'Données projet'!$E$9+1,1))</f>
        <v>252.49539407921907</v>
      </c>
      <c r="T149" s="59">
        <f t="shared" si="142"/>
        <v>263.36387286233929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25.728066375284055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25.728066375284055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19.8100000000004</v>
      </c>
      <c r="AJ149" s="13">
        <f>AI149*VLOOKUP('Données projet'!$B$10,Paramètres!$A$1:$I$89,3,0)*VLOOKUP('Données projet'!$B$10,Paramètres!$A$1:$I$89,5,0)</f>
        <v>17.924088000000364</v>
      </c>
      <c r="AK149" s="13">
        <f t="shared" si="143"/>
        <v>5.9032212091029486</v>
      </c>
      <c r="AL149" s="20">
        <f t="shared" si="112"/>
        <v>41.499230205854936</v>
      </c>
      <c r="AM149" s="59">
        <f t="shared" si="113"/>
        <v>334.83256353918824</v>
      </c>
      <c r="AN149" s="59">
        <f ca="1">AVERAGE(OFFSET($AM$3,0,0,'Données projet'!$E$10+1,1))-AVERAGE(OFFSET($H$3,0,0,'Données projet'!$E$10+1,1))</f>
        <v>370.05613271587413</v>
      </c>
      <c r="AO149" s="59">
        <f t="shared" si="144"/>
        <v>183.24480056442525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205.87177423040816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205.87177423040816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19.8100000000004</v>
      </c>
      <c r="BE149" s="13">
        <f>BD149*VLOOKUP('Données projet'!$B$11,Paramètres!$A$1:$I$89,3,0)*VLOOKUP('Données projet'!$B$11,Paramètres!$A$1:$I$89,5,0)</f>
        <v>20.08734000000041</v>
      </c>
      <c r="BF149" s="13">
        <f t="shared" si="145"/>
        <v>6.5285137703520215</v>
      </c>
      <c r="BG149" s="20">
        <f t="shared" si="115"/>
        <v>46.355945316697152</v>
      </c>
      <c r="BH149" s="59">
        <f t="shared" si="116"/>
        <v>339.68927865003047</v>
      </c>
      <c r="BI149" s="59">
        <f ca="1">AVERAGE(OFFSET($BH$3,0,0,'Données projet'!$E$11+1,1))-AVERAGE(OFFSET($H$3,0,0,'Données projet'!$E$11+1,1))</f>
        <v>428.72181435671394</v>
      </c>
      <c r="BJ149" s="59">
        <f t="shared" si="146"/>
        <v>211.84936043087572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230.71836767200915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230.71836767200915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367.99999999999972</v>
      </c>
      <c r="BZ149" s="13">
        <f>BY149*VLOOKUP('Données projet'!$B$12,Paramètres!$A$1:$I$89,3,0)*VLOOKUP('Données projet'!$B$12,Paramètres!$A$1:$I$89,5,0)</f>
        <v>292.78079999999977</v>
      </c>
      <c r="CA149" s="13">
        <f t="shared" si="147"/>
        <v>69.660903052386217</v>
      </c>
      <c r="CB149" s="20">
        <f t="shared" si="118"/>
        <v>631.25263281623893</v>
      </c>
      <c r="CC149" s="59">
        <f t="shared" si="119"/>
        <v>924.58596614957219</v>
      </c>
      <c r="CD149" s="59">
        <f ca="1">AVERAGE(OFFSET($CC$3,0,0,'Données projet'!$E$12+1,1))-AVERAGE(OFFSET($H$3,0,0,'Données projet'!$E$12+1,1))</f>
        <v>296.737543892524</v>
      </c>
      <c r="CE149" s="59">
        <f t="shared" si="148"/>
        <v>296.38358650317099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16.678406475109423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16.678406475109423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474.99999999999994</v>
      </c>
      <c r="CU149" s="17">
        <f>CT149*VLOOKUP('Données projet'!$B$13,Paramètres!$A$1:$I$89,3,0)*VLOOKUP('Données projet'!$B$13,Paramètres!$A$1:$I$89,5,0)</f>
        <v>407.55</v>
      </c>
      <c r="CV149" s="13">
        <f t="shared" si="149"/>
        <v>93.305642095357683</v>
      </c>
      <c r="CW149" s="20">
        <f t="shared" si="121"/>
        <v>872.32357664941446</v>
      </c>
      <c r="CX149" s="59">
        <f t="shared" si="122"/>
        <v>1165.6569099827477</v>
      </c>
      <c r="CY149" s="59">
        <f ca="1">AVERAGE(OFFSET($CX$3,0,0,'Données projet'!$E$13+1,1))-AVERAGE(OFFSET($H$3,0,0,'Données projet'!$E$13+1,1))</f>
        <v>391.93999504334352</v>
      </c>
      <c r="CZ149" s="59">
        <f t="shared" si="150"/>
        <v>215.4484906985528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73.034116453458935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73.034116453458935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367.99999999999972</v>
      </c>
      <c r="DP149" s="17">
        <f>DO149*VLOOKUP('Données projet'!$B$14,Paramètres!$A$1:$I$89,3,0)*VLOOKUP('Données projet'!$B$14,Paramètres!$A$1:$I$89,5,0)</f>
        <v>269.8175999999998</v>
      </c>
      <c r="DQ149" s="13">
        <f t="shared" si="151"/>
        <v>64.810557882019467</v>
      </c>
      <c r="DR149" s="20">
        <f t="shared" si="124"/>
        <v>582.81070831118348</v>
      </c>
      <c r="DS149" s="59">
        <f t="shared" si="125"/>
        <v>876.14404164451685</v>
      </c>
      <c r="DT149" s="59">
        <f ca="1">AVERAGE(OFFSET($DS$3,0,0,'Données projet'!$E$14+1,1))-AVERAGE(OFFSET($H$3,0,0,'Données projet'!$E$14+1,1))</f>
        <v>267.92147257573157</v>
      </c>
      <c r="DU149" s="59">
        <f t="shared" si="152"/>
        <v>269.06662611892438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12.470240283461401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12.470240283461401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0.8600000000003547</v>
      </c>
      <c r="EK149" s="17">
        <f>EJ149*VLOOKUP('Données projet'!$B$15,Paramètres!$A$1:$I$89,3,0)*VLOOKUP('Données projet'!$B$15,Paramètres!$A$1:$I$89,5,0)</f>
        <v>0.48074000000019829</v>
      </c>
      <c r="EL149" s="13">
        <f t="shared" si="153"/>
        <v>0.24126147010950588</v>
      </c>
      <c r="EM149" s="20">
        <f t="shared" si="127"/>
        <v>1.2574858937744013</v>
      </c>
      <c r="EN149" s="59">
        <f t="shared" si="128"/>
        <v>294.59081922710772</v>
      </c>
      <c r="EO149" s="59">
        <f ca="1">AVERAGE(OFFSET($EN$3,0,0,'Données projet'!$E$15+1,1))-AVERAGE(OFFSET($H$3,0,0,'Données projet'!$E$15+1,1))</f>
        <v>326.29985515186428</v>
      </c>
      <c r="EP149" s="59">
        <f t="shared" si="154"/>
        <v>437.68177084535927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61.322453505506189</v>
      </c>
      <c r="EW149" s="21">
        <f>EXP(-LN(2)/25)*EW148+(1-EXP(-LN(2)/25))/(LN(2)/25)*Calculateur!ER149*Calculateur!ET149*VLOOKUP('Données projet'!$B$15,Paramètres!$A$1:$I$89,3,0)*0.475*44/12</f>
        <v>2.0282649864786602</v>
      </c>
      <c r="EX149" s="21">
        <f>EXP(-LN(2)/2)*EX148+(1-EXP(-LN(2)/2))/(LN(2)/2)*ER149*EU149*VLOOKUP('Données projet'!$B$15,Paramètres!$A$1:$I$89,3,0)*0.475*44/12</f>
        <v>2.5671150242448792E-18</v>
      </c>
      <c r="EY149" s="22">
        <f t="shared" si="129"/>
        <v>63.35071849198485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1.7053025658242404E-13</v>
      </c>
      <c r="FF149" s="17">
        <f>FE149*VLOOKUP('Données projet'!$B$16,Paramètres!$A$1:$I$89,3,0)*VLOOKUP('Données projet'!$B$16,Paramètres!$A$1:$I$89,5,0)</f>
        <v>9.7631982498569413E-14</v>
      </c>
      <c r="FG149" s="13">
        <f t="shared" si="155"/>
        <v>1.4708068762530911E-12</v>
      </c>
      <c r="FH149" s="20">
        <f t="shared" si="130"/>
        <v>2.7316976789924749E-12</v>
      </c>
      <c r="FI149" s="59">
        <f t="shared" si="131"/>
        <v>293.33333333333604</v>
      </c>
      <c r="FJ149" s="59">
        <f ca="1">AVERAGE(OFFSET($FI$3,0,0,'Données projet'!$E$16+1,1))-AVERAGE(OFFSET($H$3,0,0,'Données projet'!$E$16+1,1))</f>
        <v>211.14768428403215</v>
      </c>
      <c r="FK149" s="59">
        <f t="shared" si="156"/>
        <v>350.7800157534798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8.3493206382073666</v>
      </c>
      <c r="FR149" s="21">
        <f>EXP(-LN(2)/25)*FR148+(1-EXP(-LN(2)/25))/(LN(2)/25)*Calculateur!FM149*Calculateur!FO149*VLOOKUP('Données projet'!$B$16,Paramètres!$A$1:$I$89,3,0)*0.475*44/12</f>
        <v>0.86286832828776661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9.212188966495134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128.41919999999985</v>
      </c>
      <c r="D150" s="11">
        <f t="shared" si="140"/>
        <v>33.630823177860727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1250.9124596185727</v>
      </c>
      <c r="H150" s="66">
        <f t="shared" si="110"/>
        <v>575.57045703477377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259.99999999999983</v>
      </c>
      <c r="O150" s="13">
        <f>N150*VLOOKUP('Données projet'!$B$9,Paramètres!$A$1:$I$89,3,0)*VLOOKUP('Données projet'!$B$9,Paramètres!$A$1:$I$89,5,0)</f>
        <v>227.13599999999985</v>
      </c>
      <c r="P150" s="13">
        <f t="shared" si="141"/>
        <v>55.662966886685133</v>
      </c>
      <c r="Q150" s="20">
        <f t="shared" si="108"/>
        <v>492.5415339943097</v>
      </c>
      <c r="R150" s="59">
        <f t="shared" si="109"/>
        <v>785.87486732764296</v>
      </c>
      <c r="S150" s="59">
        <f ca="1">AVERAGE(OFFSET($R$3,0,0,'Données projet'!$E$9+1,1))-AVERAGE(OFFSET($H$3,0,0,'Données projet'!$E$9+1,1))</f>
        <v>252.49539407921907</v>
      </c>
      <c r="T150" s="59">
        <f t="shared" si="142"/>
        <v>263.36387286233929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25.223554686235712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25.223554686235712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19.8100000000004</v>
      </c>
      <c r="AJ150" s="13">
        <f>AI150*VLOOKUP('Données projet'!$B$10,Paramètres!$A$1:$I$89,3,0)*VLOOKUP('Données projet'!$B$10,Paramètres!$A$1:$I$89,5,0)</f>
        <v>17.924088000000364</v>
      </c>
      <c r="AK150" s="13">
        <f t="shared" si="143"/>
        <v>5.9032212091029486</v>
      </c>
      <c r="AL150" s="20">
        <f t="shared" si="112"/>
        <v>41.499230205854936</v>
      </c>
      <c r="AM150" s="59">
        <f t="shared" si="113"/>
        <v>334.83256353918824</v>
      </c>
      <c r="AN150" s="59">
        <f ca="1">AVERAGE(OFFSET($AM$3,0,0,'Données projet'!$E$10+1,1))-AVERAGE(OFFSET($H$3,0,0,'Données projet'!$E$10+1,1))</f>
        <v>370.05613271587413</v>
      </c>
      <c r="AO150" s="59">
        <f t="shared" si="144"/>
        <v>183.24480056442525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201.83475430713318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201.83475430713318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19.8100000000004</v>
      </c>
      <c r="BE150" s="13">
        <f>BD150*VLOOKUP('Données projet'!$B$11,Paramètres!$A$1:$I$89,3,0)*VLOOKUP('Données projet'!$B$11,Paramètres!$A$1:$I$89,5,0)</f>
        <v>20.08734000000041</v>
      </c>
      <c r="BF150" s="13">
        <f t="shared" si="145"/>
        <v>6.5285137703520215</v>
      </c>
      <c r="BG150" s="20">
        <f t="shared" si="115"/>
        <v>46.355945316697152</v>
      </c>
      <c r="BH150" s="59">
        <f t="shared" si="116"/>
        <v>339.68927865003047</v>
      </c>
      <c r="BI150" s="59">
        <f ca="1">AVERAGE(OFFSET($BH$3,0,0,'Données projet'!$E$11+1,1))-AVERAGE(OFFSET($H$3,0,0,'Données projet'!$E$11+1,1))</f>
        <v>428.72181435671394</v>
      </c>
      <c r="BJ150" s="59">
        <f t="shared" si="146"/>
        <v>211.84936043087572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226.19412120626995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226.19412120626995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367.99999999999972</v>
      </c>
      <c r="BZ150" s="13">
        <f>BY150*VLOOKUP('Données projet'!$B$12,Paramètres!$A$1:$I$89,3,0)*VLOOKUP('Données projet'!$B$12,Paramètres!$A$1:$I$89,5,0)</f>
        <v>292.78079999999977</v>
      </c>
      <c r="CA150" s="13">
        <f t="shared" si="147"/>
        <v>69.660903052386217</v>
      </c>
      <c r="CB150" s="20">
        <f t="shared" si="118"/>
        <v>631.25263281623893</v>
      </c>
      <c r="CC150" s="59">
        <f t="shared" si="119"/>
        <v>924.58596614957219</v>
      </c>
      <c r="CD150" s="59">
        <f ca="1">AVERAGE(OFFSET($CC$3,0,0,'Données projet'!$E$12+1,1))-AVERAGE(OFFSET($H$3,0,0,'Données projet'!$E$12+1,1))</f>
        <v>296.737543892524</v>
      </c>
      <c r="CE150" s="59">
        <f t="shared" si="148"/>
        <v>296.38358650317099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16.351353096955993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16.351353096955993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474.99999999999994</v>
      </c>
      <c r="CU150" s="17">
        <f>CT150*VLOOKUP('Données projet'!$B$13,Paramètres!$A$1:$I$89,3,0)*VLOOKUP('Données projet'!$B$13,Paramètres!$A$1:$I$89,5,0)</f>
        <v>407.55</v>
      </c>
      <c r="CV150" s="13">
        <f t="shared" si="149"/>
        <v>93.305642095357683</v>
      </c>
      <c r="CW150" s="20">
        <f t="shared" si="121"/>
        <v>872.32357664941446</v>
      </c>
      <c r="CX150" s="59">
        <f t="shared" si="122"/>
        <v>1165.6569099827477</v>
      </c>
      <c r="CY150" s="59">
        <f ca="1">AVERAGE(OFFSET($CX$3,0,0,'Données projet'!$E$13+1,1))-AVERAGE(OFFSET($H$3,0,0,'Données projet'!$E$13+1,1))</f>
        <v>391.93999504334352</v>
      </c>
      <c r="CZ150" s="59">
        <f t="shared" si="150"/>
        <v>215.4484906985528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71.601961976219044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71.601961976219044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367.99999999999972</v>
      </c>
      <c r="DP150" s="17">
        <f>DO150*VLOOKUP('Données projet'!$B$14,Paramètres!$A$1:$I$89,3,0)*VLOOKUP('Données projet'!$B$14,Paramètres!$A$1:$I$89,5,0)</f>
        <v>269.8175999999998</v>
      </c>
      <c r="DQ150" s="13">
        <f t="shared" si="151"/>
        <v>64.810557882019467</v>
      </c>
      <c r="DR150" s="20">
        <f t="shared" si="124"/>
        <v>582.81070831118348</v>
      </c>
      <c r="DS150" s="59">
        <f t="shared" si="125"/>
        <v>876.14404164451685</v>
      </c>
      <c r="DT150" s="59">
        <f ca="1">AVERAGE(OFFSET($DS$3,0,0,'Données projet'!$E$14+1,1))-AVERAGE(OFFSET($H$3,0,0,'Données projet'!$E$14+1,1))</f>
        <v>267.92147257573157</v>
      </c>
      <c r="DU150" s="59">
        <f t="shared" si="152"/>
        <v>269.06662611892438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12.225706477598257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12.225706477598257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0.8600000000003547</v>
      </c>
      <c r="EK150" s="17">
        <f>EJ150*VLOOKUP('Données projet'!$B$15,Paramètres!$A$1:$I$89,3,0)*VLOOKUP('Données projet'!$B$15,Paramètres!$A$1:$I$89,5,0)</f>
        <v>0.48074000000019829</v>
      </c>
      <c r="EL150" s="13">
        <f t="shared" si="153"/>
        <v>0.24126147010950588</v>
      </c>
      <c r="EM150" s="20">
        <f t="shared" si="127"/>
        <v>1.2574858937744013</v>
      </c>
      <c r="EN150" s="59">
        <f t="shared" si="128"/>
        <v>294.59081922710772</v>
      </c>
      <c r="EO150" s="59">
        <f ca="1">AVERAGE(OFFSET($EN$3,0,0,'Données projet'!$E$15+1,1))-AVERAGE(OFFSET($H$3,0,0,'Données projet'!$E$15+1,1))</f>
        <v>326.29985515186428</v>
      </c>
      <c r="EP150" s="59">
        <f t="shared" si="154"/>
        <v>437.68177084535927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60.119957595266612</v>
      </c>
      <c r="EW150" s="21">
        <f>EXP(-LN(2)/25)*EW149+(1-EXP(-LN(2)/25))/(LN(2)/25)*Calculateur!ER150*Calculateur!ET150*VLOOKUP('Données projet'!$B$15,Paramètres!$A$1:$I$89,3,0)*0.475*44/12</f>
        <v>1.9728019737615812</v>
      </c>
      <c r="EX150" s="21">
        <f>EXP(-LN(2)/2)*EX149+(1-EXP(-LN(2)/2))/(LN(2)/2)*ER150*EU150*VLOOKUP('Données projet'!$B$15,Paramètres!$A$1:$I$89,3,0)*0.475*44/12</f>
        <v>1.8152244417294224E-18</v>
      </c>
      <c r="EY150" s="22">
        <f t="shared" si="129"/>
        <v>62.092759569028196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1.7053025658242404E-13</v>
      </c>
      <c r="FF150" s="17">
        <f>FE150*VLOOKUP('Données projet'!$B$16,Paramètres!$A$1:$I$89,3,0)*VLOOKUP('Données projet'!$B$16,Paramètres!$A$1:$I$89,5,0)</f>
        <v>9.7631982498569413E-14</v>
      </c>
      <c r="FG150" s="13">
        <f t="shared" si="155"/>
        <v>1.4708068762530911E-12</v>
      </c>
      <c r="FH150" s="20">
        <f t="shared" si="130"/>
        <v>2.7316976789924749E-12</v>
      </c>
      <c r="FI150" s="59">
        <f t="shared" si="131"/>
        <v>293.33333333333604</v>
      </c>
      <c r="FJ150" s="59">
        <f ca="1">AVERAGE(OFFSET($FI$3,0,0,'Données projet'!$E$16+1,1))-AVERAGE(OFFSET($H$3,0,0,'Données projet'!$E$16+1,1))</f>
        <v>211.14768428403215</v>
      </c>
      <c r="FK150" s="59">
        <f t="shared" si="156"/>
        <v>350.7800157534798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8.1855955530748581</v>
      </c>
      <c r="FR150" s="21">
        <f>EXP(-LN(2)/25)*FR149+(1-EXP(-LN(2)/25))/(LN(2)/25)*Calculateur!FM150*Calculateur!FO150*VLOOKUP('Données projet'!$B$16,Paramètres!$A$1:$I$89,3,0)*0.475*44/12</f>
        <v>0.83927314847446433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9.0248687015493232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129.29279999999986</v>
      </c>
      <c r="D151" s="11">
        <f t="shared" si="140"/>
        <v>33.832894333299215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1259.2158860816069</v>
      </c>
      <c r="H151" s="66">
        <f t="shared" si="110"/>
        <v>577.44391763049589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259.99999999999983</v>
      </c>
      <c r="O151" s="13">
        <f>N151*VLOOKUP('Données projet'!$B$9,Paramètres!$A$1:$I$89,3,0)*VLOOKUP('Données projet'!$B$9,Paramètres!$A$1:$I$89,5,0)</f>
        <v>227.13599999999985</v>
      </c>
      <c r="P151" s="13">
        <f t="shared" si="141"/>
        <v>55.662966886685133</v>
      </c>
      <c r="Q151" s="20">
        <f t="shared" si="108"/>
        <v>492.5415339943097</v>
      </c>
      <c r="R151" s="59">
        <f t="shared" si="109"/>
        <v>785.87486732764296</v>
      </c>
      <c r="S151" s="59">
        <f ca="1">AVERAGE(OFFSET($R$3,0,0,'Données projet'!$E$9+1,1))-AVERAGE(OFFSET($H$3,0,0,'Données projet'!$E$9+1,1))</f>
        <v>252.49539407921907</v>
      </c>
      <c r="T151" s="59">
        <f t="shared" si="142"/>
        <v>263.36387286233929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24.728936163687859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24.728936163687859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19.8100000000004</v>
      </c>
      <c r="AJ151" s="13">
        <f>AI151*VLOOKUP('Données projet'!$B$10,Paramètres!$A$1:$I$89,3,0)*VLOOKUP('Données projet'!$B$10,Paramètres!$A$1:$I$89,5,0)</f>
        <v>17.924088000000364</v>
      </c>
      <c r="AK151" s="13">
        <f t="shared" si="143"/>
        <v>5.9032212091029486</v>
      </c>
      <c r="AL151" s="20">
        <f t="shared" si="112"/>
        <v>41.499230205854936</v>
      </c>
      <c r="AM151" s="59">
        <f t="shared" si="113"/>
        <v>334.83256353918824</v>
      </c>
      <c r="AN151" s="59">
        <f ca="1">AVERAGE(OFFSET($AM$3,0,0,'Données projet'!$E$10+1,1))-AVERAGE(OFFSET($H$3,0,0,'Données projet'!$E$10+1,1))</f>
        <v>370.05613271587413</v>
      </c>
      <c r="AO151" s="59">
        <f t="shared" si="144"/>
        <v>183.24480056442525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197.87689788221462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197.87689788221462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19.8100000000004</v>
      </c>
      <c r="BE151" s="13">
        <f>BD151*VLOOKUP('Données projet'!$B$11,Paramètres!$A$1:$I$89,3,0)*VLOOKUP('Données projet'!$B$11,Paramètres!$A$1:$I$89,5,0)</f>
        <v>20.08734000000041</v>
      </c>
      <c r="BF151" s="13">
        <f t="shared" si="145"/>
        <v>6.5285137703520215</v>
      </c>
      <c r="BG151" s="20">
        <f t="shared" si="115"/>
        <v>46.355945316697152</v>
      </c>
      <c r="BH151" s="59">
        <f t="shared" si="116"/>
        <v>339.68927865003047</v>
      </c>
      <c r="BI151" s="59">
        <f ca="1">AVERAGE(OFFSET($BH$3,0,0,'Données projet'!$E$11+1,1))-AVERAGE(OFFSET($H$3,0,0,'Données projet'!$E$11+1,1))</f>
        <v>428.72181435671394</v>
      </c>
      <c r="BJ151" s="59">
        <f t="shared" si="146"/>
        <v>211.84936043087572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221.75859245420605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221.75859245420605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367.99999999999972</v>
      </c>
      <c r="BZ151" s="13">
        <f>BY151*VLOOKUP('Données projet'!$B$12,Paramètres!$A$1:$I$89,3,0)*VLOOKUP('Données projet'!$B$12,Paramètres!$A$1:$I$89,5,0)</f>
        <v>292.78079999999977</v>
      </c>
      <c r="CA151" s="13">
        <f t="shared" si="147"/>
        <v>69.660903052386217</v>
      </c>
      <c r="CB151" s="20">
        <f t="shared" si="118"/>
        <v>631.25263281623893</v>
      </c>
      <c r="CC151" s="59">
        <f t="shared" si="119"/>
        <v>924.58596614957219</v>
      </c>
      <c r="CD151" s="59">
        <f ca="1">AVERAGE(OFFSET($CC$3,0,0,'Données projet'!$E$12+1,1))-AVERAGE(OFFSET($H$3,0,0,'Données projet'!$E$12+1,1))</f>
        <v>296.737543892524</v>
      </c>
      <c r="CE151" s="59">
        <f t="shared" si="148"/>
        <v>296.38358650317099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16.03071303606529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16.03071303606529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474.99999999999994</v>
      </c>
      <c r="CU151" s="17">
        <f>CT151*VLOOKUP('Données projet'!$B$13,Paramètres!$A$1:$I$89,3,0)*VLOOKUP('Données projet'!$B$13,Paramètres!$A$1:$I$89,5,0)</f>
        <v>407.55</v>
      </c>
      <c r="CV151" s="13">
        <f t="shared" si="149"/>
        <v>93.305642095357683</v>
      </c>
      <c r="CW151" s="20">
        <f t="shared" si="121"/>
        <v>872.32357664941446</v>
      </c>
      <c r="CX151" s="59">
        <f t="shared" si="122"/>
        <v>1165.6569099827477</v>
      </c>
      <c r="CY151" s="59">
        <f ca="1">AVERAGE(OFFSET($CX$3,0,0,'Données projet'!$E$13+1,1))-AVERAGE(OFFSET($H$3,0,0,'Données projet'!$E$13+1,1))</f>
        <v>391.93999504334352</v>
      </c>
      <c r="CZ151" s="59">
        <f t="shared" si="150"/>
        <v>215.4484906985528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70.197891174749856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70.197891174749856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367.99999999999972</v>
      </c>
      <c r="DP151" s="17">
        <f>DO151*VLOOKUP('Données projet'!$B$14,Paramètres!$A$1:$I$89,3,0)*VLOOKUP('Données projet'!$B$14,Paramètres!$A$1:$I$89,5,0)</f>
        <v>269.8175999999998</v>
      </c>
      <c r="DQ151" s="13">
        <f t="shared" si="151"/>
        <v>64.810557882019467</v>
      </c>
      <c r="DR151" s="20">
        <f t="shared" si="124"/>
        <v>582.81070831118348</v>
      </c>
      <c r="DS151" s="59">
        <f t="shared" si="125"/>
        <v>876.14404164451685</v>
      </c>
      <c r="DT151" s="59">
        <f ca="1">AVERAGE(OFFSET($DS$3,0,0,'Données projet'!$E$14+1,1))-AVERAGE(OFFSET($H$3,0,0,'Données projet'!$E$14+1,1))</f>
        <v>267.92147257573157</v>
      </c>
      <c r="DU151" s="59">
        <f t="shared" si="152"/>
        <v>269.06662611892438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11.985967830517193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11.985967830517193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0.8600000000003547</v>
      </c>
      <c r="EK151" s="17">
        <f>EJ151*VLOOKUP('Données projet'!$B$15,Paramètres!$A$1:$I$89,3,0)*VLOOKUP('Données projet'!$B$15,Paramètres!$A$1:$I$89,5,0)</f>
        <v>0.48074000000019829</v>
      </c>
      <c r="EL151" s="13">
        <f t="shared" si="153"/>
        <v>0.24126147010950588</v>
      </c>
      <c r="EM151" s="20">
        <f t="shared" si="127"/>
        <v>1.2574858937744013</v>
      </c>
      <c r="EN151" s="59">
        <f t="shared" si="128"/>
        <v>294.59081922710772</v>
      </c>
      <c r="EO151" s="59">
        <f ca="1">AVERAGE(OFFSET($EN$3,0,0,'Données projet'!$E$15+1,1))-AVERAGE(OFFSET($H$3,0,0,'Données projet'!$E$15+1,1))</f>
        <v>326.29985515186428</v>
      </c>
      <c r="EP151" s="59">
        <f t="shared" si="154"/>
        <v>437.68177084535927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58.941041896376753</v>
      </c>
      <c r="EW151" s="21">
        <f>EXP(-LN(2)/25)*EW150+(1-EXP(-LN(2)/25))/(LN(2)/25)*Calculateur!ER151*Calculateur!ET151*VLOOKUP('Données projet'!$B$15,Paramètres!$A$1:$I$89,3,0)*0.475*44/12</f>
        <v>1.9188556000439239</v>
      </c>
      <c r="EX151" s="21">
        <f>EXP(-LN(2)/2)*EX150+(1-EXP(-LN(2)/2))/(LN(2)/2)*ER151*EU151*VLOOKUP('Données projet'!$B$15,Paramètres!$A$1:$I$89,3,0)*0.475*44/12</f>
        <v>1.2835575121224396E-18</v>
      </c>
      <c r="EY151" s="22">
        <f t="shared" si="129"/>
        <v>60.859897496420679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1.7053025658242404E-13</v>
      </c>
      <c r="FF151" s="17">
        <f>FE151*VLOOKUP('Données projet'!$B$16,Paramètres!$A$1:$I$89,3,0)*VLOOKUP('Données projet'!$B$16,Paramètres!$A$1:$I$89,5,0)</f>
        <v>9.7631982498569413E-14</v>
      </c>
      <c r="FG151" s="13">
        <f t="shared" si="155"/>
        <v>1.4708068762530911E-12</v>
      </c>
      <c r="FH151" s="20">
        <f t="shared" si="130"/>
        <v>2.7316976789924749E-12</v>
      </c>
      <c r="FI151" s="59">
        <f t="shared" si="131"/>
        <v>293.33333333333604</v>
      </c>
      <c r="FJ151" s="59">
        <f ca="1">AVERAGE(OFFSET($FI$3,0,0,'Données projet'!$E$16+1,1))-AVERAGE(OFFSET($H$3,0,0,'Données projet'!$E$16+1,1))</f>
        <v>211.14768428403215</v>
      </c>
      <c r="FK151" s="59">
        <f t="shared" si="156"/>
        <v>350.7800157534798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8.0250810169993567</v>
      </c>
      <c r="FR151" s="21">
        <f>EXP(-LN(2)/25)*FR150+(1-EXP(-LN(2)/25))/(LN(2)/25)*Calculateur!FM151*Calculateur!FO151*VLOOKUP('Données projet'!$B$16,Paramètres!$A$1:$I$89,3,0)*0.475*44/12</f>
        <v>0.81632318009397342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8.8414041970933308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130.16639999999987</v>
      </c>
      <c r="D152" s="11">
        <f t="shared" si="140"/>
        <v>34.034806623706274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1267.5180862180825</v>
      </c>
      <c r="H152" s="66">
        <f t="shared" si="110"/>
        <v>579.31710153628819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259.99999999999983</v>
      </c>
      <c r="O152" s="13">
        <f>N152*VLOOKUP('Données projet'!$B$9,Paramètres!$A$1:$I$89,3,0)*VLOOKUP('Données projet'!$B$9,Paramètres!$A$1:$I$89,5,0)</f>
        <v>227.13599999999985</v>
      </c>
      <c r="P152" s="13">
        <f t="shared" si="141"/>
        <v>55.662966886685133</v>
      </c>
      <c r="Q152" s="20">
        <f t="shared" si="108"/>
        <v>492.5415339943097</v>
      </c>
      <c r="R152" s="59">
        <f t="shared" si="109"/>
        <v>785.87486732764296</v>
      </c>
      <c r="S152" s="59">
        <f ca="1">AVERAGE(OFFSET($R$3,0,0,'Données projet'!$E$9+1,1))-AVERAGE(OFFSET($H$3,0,0,'Données projet'!$E$9+1,1))</f>
        <v>252.49539407921907</v>
      </c>
      <c r="T152" s="59">
        <f t="shared" si="142"/>
        <v>263.36387286233929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24.24401680867966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24.24401680867966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19.8100000000004</v>
      </c>
      <c r="AJ152" s="13">
        <f>AI152*VLOOKUP('Données projet'!$B$10,Paramètres!$A$1:$I$89,3,0)*VLOOKUP('Données projet'!$B$10,Paramètres!$A$1:$I$89,5,0)</f>
        <v>17.924088000000364</v>
      </c>
      <c r="AK152" s="13">
        <f t="shared" si="143"/>
        <v>5.9032212091029486</v>
      </c>
      <c r="AL152" s="20">
        <f t="shared" si="112"/>
        <v>41.499230205854936</v>
      </c>
      <c r="AM152" s="59">
        <f t="shared" si="113"/>
        <v>334.83256353918824</v>
      </c>
      <c r="AN152" s="59">
        <f ca="1">AVERAGE(OFFSET($AM$3,0,0,'Données projet'!$E$10+1,1))-AVERAGE(OFFSET($H$3,0,0,'Données projet'!$E$10+1,1))</f>
        <v>370.05613271587413</v>
      </c>
      <c r="AO152" s="59">
        <f t="shared" si="144"/>
        <v>183.24480056442525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193.99665260773466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193.99665260773466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19.8100000000004</v>
      </c>
      <c r="BE152" s="13">
        <f>BD152*VLOOKUP('Données projet'!$B$11,Paramètres!$A$1:$I$89,3,0)*VLOOKUP('Données projet'!$B$11,Paramètres!$A$1:$I$89,5,0)</f>
        <v>20.08734000000041</v>
      </c>
      <c r="BF152" s="13">
        <f t="shared" si="145"/>
        <v>6.5285137703520215</v>
      </c>
      <c r="BG152" s="20">
        <f t="shared" si="115"/>
        <v>46.355945316697152</v>
      </c>
      <c r="BH152" s="59">
        <f t="shared" si="116"/>
        <v>339.68927865003047</v>
      </c>
      <c r="BI152" s="59">
        <f ca="1">AVERAGE(OFFSET($BH$3,0,0,'Données projet'!$E$11+1,1))-AVERAGE(OFFSET($H$3,0,0,'Données projet'!$E$11+1,1))</f>
        <v>428.72181435671394</v>
      </c>
      <c r="BJ152" s="59">
        <f t="shared" si="146"/>
        <v>211.84936043087572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217.41004171556472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217.41004171556472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367.99999999999972</v>
      </c>
      <c r="BZ152" s="13">
        <f>BY152*VLOOKUP('Données projet'!$B$12,Paramètres!$A$1:$I$89,3,0)*VLOOKUP('Données projet'!$B$12,Paramètres!$A$1:$I$89,5,0)</f>
        <v>292.78079999999977</v>
      </c>
      <c r="CA152" s="13">
        <f t="shared" si="147"/>
        <v>69.660903052386217</v>
      </c>
      <c r="CB152" s="20">
        <f t="shared" si="118"/>
        <v>631.25263281623893</v>
      </c>
      <c r="CC152" s="59">
        <f t="shared" si="119"/>
        <v>924.58596614957219</v>
      </c>
      <c r="CD152" s="59">
        <f ca="1">AVERAGE(OFFSET($CC$3,0,0,'Données projet'!$E$12+1,1))-AVERAGE(OFFSET($H$3,0,0,'Données projet'!$E$12+1,1))</f>
        <v>296.737543892524</v>
      </c>
      <c r="CE152" s="59">
        <f t="shared" si="148"/>
        <v>296.38358650317099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15.716360531197527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15.716360531197527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474.99999999999994</v>
      </c>
      <c r="CU152" s="17">
        <f>CT152*VLOOKUP('Données projet'!$B$13,Paramètres!$A$1:$I$89,3,0)*VLOOKUP('Données projet'!$B$13,Paramètres!$A$1:$I$89,5,0)</f>
        <v>407.55</v>
      </c>
      <c r="CV152" s="13">
        <f t="shared" si="149"/>
        <v>93.305642095357683</v>
      </c>
      <c r="CW152" s="20">
        <f t="shared" si="121"/>
        <v>872.32357664941446</v>
      </c>
      <c r="CX152" s="59">
        <f t="shared" si="122"/>
        <v>1165.6569099827477</v>
      </c>
      <c r="CY152" s="59">
        <f ca="1">AVERAGE(OFFSET($CX$3,0,0,'Données projet'!$E$13+1,1))-AVERAGE(OFFSET($H$3,0,0,'Données projet'!$E$13+1,1))</f>
        <v>391.93999504334352</v>
      </c>
      <c r="CZ152" s="59">
        <f t="shared" si="150"/>
        <v>215.4484906985528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68.821353345298846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68.821353345298846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367.99999999999972</v>
      </c>
      <c r="DP152" s="17">
        <f>DO152*VLOOKUP('Données projet'!$B$14,Paramètres!$A$1:$I$89,3,0)*VLOOKUP('Données projet'!$B$14,Paramètres!$A$1:$I$89,5,0)</f>
        <v>269.8175999999998</v>
      </c>
      <c r="DQ152" s="13">
        <f t="shared" si="151"/>
        <v>64.810557882019467</v>
      </c>
      <c r="DR152" s="20">
        <f t="shared" si="124"/>
        <v>582.81070831118348</v>
      </c>
      <c r="DS152" s="59">
        <f t="shared" si="125"/>
        <v>876.14404164451685</v>
      </c>
      <c r="DT152" s="59">
        <f ca="1">AVERAGE(OFFSET($DS$3,0,0,'Données projet'!$E$14+1,1))-AVERAGE(OFFSET($H$3,0,0,'Données projet'!$E$14+1,1))</f>
        <v>267.92147257573157</v>
      </c>
      <c r="DU152" s="59">
        <f t="shared" si="152"/>
        <v>269.06662611892438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11.750930312079253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11.750930312079253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0.8600000000003547</v>
      </c>
      <c r="EK152" s="17">
        <f>EJ152*VLOOKUP('Données projet'!$B$15,Paramètres!$A$1:$I$89,3,0)*VLOOKUP('Données projet'!$B$15,Paramètres!$A$1:$I$89,5,0)</f>
        <v>0.48074000000019829</v>
      </c>
      <c r="EL152" s="13">
        <f t="shared" si="153"/>
        <v>0.24126147010950588</v>
      </c>
      <c r="EM152" s="20">
        <f t="shared" si="127"/>
        <v>1.2574858937744013</v>
      </c>
      <c r="EN152" s="59">
        <f t="shared" si="128"/>
        <v>294.59081922710772</v>
      </c>
      <c r="EO152" s="59">
        <f ca="1">AVERAGE(OFFSET($EN$3,0,0,'Données projet'!$E$15+1,1))-AVERAGE(OFFSET($H$3,0,0,'Données projet'!$E$15+1,1))</f>
        <v>326.29985515186428</v>
      </c>
      <c r="EP152" s="59">
        <f t="shared" si="154"/>
        <v>437.68177084535927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57.785244015274543</v>
      </c>
      <c r="EW152" s="21">
        <f>EXP(-LN(2)/25)*EW151+(1-EXP(-LN(2)/25))/(LN(2)/25)*Calculateur!ER152*Calculateur!ET152*VLOOKUP('Données projet'!$B$15,Paramètres!$A$1:$I$89,3,0)*0.475*44/12</f>
        <v>1.8663843927524923</v>
      </c>
      <c r="EX152" s="21">
        <f>EXP(-LN(2)/2)*EX151+(1-EXP(-LN(2)/2))/(LN(2)/2)*ER152*EU152*VLOOKUP('Données projet'!$B$15,Paramètres!$A$1:$I$89,3,0)*0.475*44/12</f>
        <v>9.0761222086471118E-19</v>
      </c>
      <c r="EY152" s="22">
        <f t="shared" si="129"/>
        <v>59.651628408027037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1.7053025658242404E-13</v>
      </c>
      <c r="FF152" s="17">
        <f>FE152*VLOOKUP('Données projet'!$B$16,Paramètres!$A$1:$I$89,3,0)*VLOOKUP('Données projet'!$B$16,Paramètres!$A$1:$I$89,5,0)</f>
        <v>9.7631982498569413E-14</v>
      </c>
      <c r="FG152" s="13">
        <f t="shared" si="155"/>
        <v>1.4708068762530911E-12</v>
      </c>
      <c r="FH152" s="20">
        <f t="shared" si="130"/>
        <v>2.7316976789924749E-12</v>
      </c>
      <c r="FI152" s="59">
        <f t="shared" si="131"/>
        <v>293.33333333333604</v>
      </c>
      <c r="FJ152" s="59">
        <f ca="1">AVERAGE(OFFSET($FI$3,0,0,'Données projet'!$E$16+1,1))-AVERAGE(OFFSET($H$3,0,0,'Données projet'!$E$16+1,1))</f>
        <v>211.14768428403215</v>
      </c>
      <c r="FK152" s="59">
        <f t="shared" si="156"/>
        <v>350.7800157534798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7.8677140730720971</v>
      </c>
      <c r="FR152" s="21">
        <f>EXP(-LN(2)/25)*FR151+(1-EXP(-LN(2)/25))/(LN(2)/25)*Calculateur!FM152*Calculateur!FO152*VLOOKUP('Données projet'!$B$16,Paramètres!$A$1:$I$89,3,0)*0.475*44/12</f>
        <v>0.79400077980573336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8.6617148528778305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131.03999999999988</v>
      </c>
      <c r="D153" s="11">
        <f t="shared" si="140"/>
        <v>34.236561238949889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1275.8190692129458</v>
      </c>
      <c r="H153" s="66">
        <f t="shared" si="110"/>
        <v>581.19001082450416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259.99999999999983</v>
      </c>
      <c r="O153" s="13">
        <f>N153*VLOOKUP('Données projet'!$B$9,Paramètres!$A$1:$I$89,3,0)*VLOOKUP('Données projet'!$B$9,Paramètres!$A$1:$I$89,5,0)</f>
        <v>227.13599999999985</v>
      </c>
      <c r="P153" s="13">
        <f t="shared" si="141"/>
        <v>55.662966886685133</v>
      </c>
      <c r="Q153" s="20">
        <f t="shared" si="108"/>
        <v>492.5415339943097</v>
      </c>
      <c r="R153" s="59">
        <f t="shared" si="109"/>
        <v>785.87486732764296</v>
      </c>
      <c r="S153" s="59">
        <f ca="1">AVERAGE(OFFSET($R$3,0,0,'Données projet'!$E$9+1,1))-AVERAGE(OFFSET($H$3,0,0,'Données projet'!$E$9+1,1))</f>
        <v>252.49539407921907</v>
      </c>
      <c r="T153" s="59">
        <f t="shared" si="142"/>
        <v>263.36387286233929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23.768606426451573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23.768606426451573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19.8100000000004</v>
      </c>
      <c r="AJ153" s="13">
        <f>AI153*VLOOKUP('Données projet'!$B$10,Paramètres!$A$1:$I$89,3,0)*VLOOKUP('Données projet'!$B$10,Paramètres!$A$1:$I$89,5,0)</f>
        <v>17.924088000000364</v>
      </c>
      <c r="AK153" s="13">
        <f t="shared" si="143"/>
        <v>5.9032212091029486</v>
      </c>
      <c r="AL153" s="20">
        <f t="shared" si="112"/>
        <v>41.499230205854936</v>
      </c>
      <c r="AM153" s="59">
        <f t="shared" si="113"/>
        <v>334.83256353918824</v>
      </c>
      <c r="AN153" s="59">
        <f ca="1">AVERAGE(OFFSET($AM$3,0,0,'Données projet'!$E$10+1,1))-AVERAGE(OFFSET($H$3,0,0,'Données projet'!$E$10+1,1))</f>
        <v>370.05613271587413</v>
      </c>
      <c r="AO153" s="59">
        <f t="shared" si="144"/>
        <v>183.24480056442525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190.19249657637133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190.19249657637133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19.8100000000004</v>
      </c>
      <c r="BE153" s="13">
        <f>BD153*VLOOKUP('Données projet'!$B$11,Paramètres!$A$1:$I$89,3,0)*VLOOKUP('Données projet'!$B$11,Paramètres!$A$1:$I$89,5,0)</f>
        <v>20.08734000000041</v>
      </c>
      <c r="BF153" s="13">
        <f t="shared" si="145"/>
        <v>6.5285137703520215</v>
      </c>
      <c r="BG153" s="20">
        <f t="shared" si="115"/>
        <v>46.355945316697152</v>
      </c>
      <c r="BH153" s="59">
        <f t="shared" si="116"/>
        <v>339.68927865003047</v>
      </c>
      <c r="BI153" s="59">
        <f ca="1">AVERAGE(OFFSET($BH$3,0,0,'Données projet'!$E$11+1,1))-AVERAGE(OFFSET($H$3,0,0,'Données projet'!$E$11+1,1))</f>
        <v>428.72181435671394</v>
      </c>
      <c r="BJ153" s="59">
        <f t="shared" si="146"/>
        <v>211.84936043087572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213.14676340455409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213.14676340455409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367.99999999999972</v>
      </c>
      <c r="BZ153" s="13">
        <f>BY153*VLOOKUP('Données projet'!$B$12,Paramètres!$A$1:$I$89,3,0)*VLOOKUP('Données projet'!$B$12,Paramètres!$A$1:$I$89,5,0)</f>
        <v>292.78079999999977</v>
      </c>
      <c r="CA153" s="13">
        <f t="shared" si="147"/>
        <v>69.660903052386217</v>
      </c>
      <c r="CB153" s="20">
        <f t="shared" si="118"/>
        <v>631.25263281623893</v>
      </c>
      <c r="CC153" s="59">
        <f t="shared" si="119"/>
        <v>924.58596614957219</v>
      </c>
      <c r="CD153" s="59">
        <f ca="1">AVERAGE(OFFSET($CC$3,0,0,'Données projet'!$E$12+1,1))-AVERAGE(OFFSET($H$3,0,0,'Données projet'!$E$12+1,1))</f>
        <v>296.737543892524</v>
      </c>
      <c r="CE153" s="59">
        <f t="shared" si="148"/>
        <v>296.38358650317099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15.408172287214125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15.408172287214125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474.99999999999994</v>
      </c>
      <c r="CU153" s="17">
        <f>CT153*VLOOKUP('Données projet'!$B$13,Paramètres!$A$1:$I$89,3,0)*VLOOKUP('Données projet'!$B$13,Paramètres!$A$1:$I$89,5,0)</f>
        <v>407.55</v>
      </c>
      <c r="CV153" s="13">
        <f t="shared" si="149"/>
        <v>93.305642095357683</v>
      </c>
      <c r="CW153" s="20">
        <f t="shared" si="121"/>
        <v>872.32357664941446</v>
      </c>
      <c r="CX153" s="59">
        <f t="shared" si="122"/>
        <v>1165.6569099827477</v>
      </c>
      <c r="CY153" s="59">
        <f ca="1">AVERAGE(OFFSET($CX$3,0,0,'Données projet'!$E$13+1,1))-AVERAGE(OFFSET($H$3,0,0,'Données projet'!$E$13+1,1))</f>
        <v>391.93999504334352</v>
      </c>
      <c r="CZ153" s="59">
        <f t="shared" si="150"/>
        <v>215.4484906985528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67.4718085830782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67.4718085830782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367.99999999999972</v>
      </c>
      <c r="DP153" s="17">
        <f>DO153*VLOOKUP('Données projet'!$B$14,Paramètres!$A$1:$I$89,3,0)*VLOOKUP('Données projet'!$B$14,Paramètres!$A$1:$I$89,5,0)</f>
        <v>269.8175999999998</v>
      </c>
      <c r="DQ153" s="13">
        <f t="shared" si="151"/>
        <v>64.810557882019467</v>
      </c>
      <c r="DR153" s="20">
        <f t="shared" si="124"/>
        <v>582.81070831118348</v>
      </c>
      <c r="DS153" s="59">
        <f t="shared" si="125"/>
        <v>876.14404164451685</v>
      </c>
      <c r="DT153" s="59">
        <f ca="1">AVERAGE(OFFSET($DS$3,0,0,'Données projet'!$E$14+1,1))-AVERAGE(OFFSET($H$3,0,0,'Données projet'!$E$14+1,1))</f>
        <v>267.92147257573157</v>
      </c>
      <c r="DU153" s="59">
        <f t="shared" si="152"/>
        <v>269.06662611892438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11.520501736019151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11.520501736019151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0.8600000000003547</v>
      </c>
      <c r="EK153" s="17">
        <f>EJ153*VLOOKUP('Données projet'!$B$15,Paramètres!$A$1:$I$89,3,0)*VLOOKUP('Données projet'!$B$15,Paramètres!$A$1:$I$89,5,0)</f>
        <v>0.48074000000019829</v>
      </c>
      <c r="EL153" s="13">
        <f t="shared" si="153"/>
        <v>0.24126147010950588</v>
      </c>
      <c r="EM153" s="20">
        <f t="shared" si="127"/>
        <v>1.2574858937744013</v>
      </c>
      <c r="EN153" s="59">
        <f t="shared" si="128"/>
        <v>294.59081922710772</v>
      </c>
      <c r="EO153" s="59">
        <f ca="1">AVERAGE(OFFSET($EN$3,0,0,'Données projet'!$E$15+1,1))-AVERAGE(OFFSET($H$3,0,0,'Données projet'!$E$15+1,1))</f>
        <v>326.29985515186428</v>
      </c>
      <c r="EP153" s="59">
        <f t="shared" si="154"/>
        <v>437.68177084535927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56.652110625653656</v>
      </c>
      <c r="EW153" s="21">
        <f>EXP(-LN(2)/25)*EW152+(1-EXP(-LN(2)/25))/(LN(2)/25)*Calculateur!ER153*Calculateur!ET153*VLOOKUP('Données projet'!$B$15,Paramètres!$A$1:$I$89,3,0)*0.475*44/12</f>
        <v>1.8153480133837858</v>
      </c>
      <c r="EX153" s="21">
        <f>EXP(-LN(2)/2)*EX152+(1-EXP(-LN(2)/2))/(LN(2)/2)*ER153*EU153*VLOOKUP('Données projet'!$B$15,Paramètres!$A$1:$I$89,3,0)*0.475*44/12</f>
        <v>6.4177875606121979E-19</v>
      </c>
      <c r="EY153" s="22">
        <f t="shared" si="129"/>
        <v>58.467458639037439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1.7053025658242404E-13</v>
      </c>
      <c r="FF153" s="17">
        <f>FE153*VLOOKUP('Données projet'!$B$16,Paramètres!$A$1:$I$89,3,0)*VLOOKUP('Données projet'!$B$16,Paramètres!$A$1:$I$89,5,0)</f>
        <v>9.7631982498569413E-14</v>
      </c>
      <c r="FG153" s="13">
        <f t="shared" si="155"/>
        <v>1.4708068762530911E-12</v>
      </c>
      <c r="FH153" s="20">
        <f t="shared" si="130"/>
        <v>2.7316976789924749E-12</v>
      </c>
      <c r="FI153" s="59">
        <f t="shared" si="131"/>
        <v>293.33333333333604</v>
      </c>
      <c r="FJ153" s="59">
        <f ca="1">AVERAGE(OFFSET($FI$3,0,0,'Données projet'!$E$16+1,1))-AVERAGE(OFFSET($H$3,0,0,'Données projet'!$E$16+1,1))</f>
        <v>211.14768428403215</v>
      </c>
      <c r="FK153" s="59">
        <f t="shared" si="156"/>
        <v>350.7800157534798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7.7134329989308927</v>
      </c>
      <c r="FR153" s="21">
        <f>EXP(-LN(2)/25)*FR152+(1-EXP(-LN(2)/25))/(LN(2)/25)*Calculateur!FM153*Calculateur!FO153*VLOOKUP('Données projet'!$B$16,Paramètres!$A$1:$I$89,3,0)*0.475*44/12</f>
        <v>0.77228878672725931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8.4857217856581517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131.91359999999989</v>
      </c>
      <c r="D154" s="11">
        <f t="shared" si="140"/>
        <v>34.438159352115974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1284.1188441215961</v>
      </c>
      <c r="H154" s="66">
        <f t="shared" si="110"/>
        <v>583.06264753826849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259.99999999999983</v>
      </c>
      <c r="O154" s="13">
        <f>N154*VLOOKUP('Données projet'!$B$9,Paramètres!$A$1:$I$89,3,0)*VLOOKUP('Données projet'!$B$9,Paramètres!$A$1:$I$89,5,0)</f>
        <v>227.13599999999985</v>
      </c>
      <c r="P154" s="13">
        <f t="shared" si="141"/>
        <v>55.662966886685133</v>
      </c>
      <c r="Q154" s="20">
        <f t="shared" ref="Q154:Q203" si="162">(O154+P154)*0.475*44/12</f>
        <v>492.5415339943097</v>
      </c>
      <c r="R154" s="59">
        <f t="shared" si="109"/>
        <v>785.87486732764296</v>
      </c>
      <c r="S154" s="59">
        <f ca="1">AVERAGE(OFFSET($R$3,0,0,'Données projet'!$E$9+1,1))-AVERAGE(OFFSET($H$3,0,0,'Données projet'!$E$9+1,1))</f>
        <v>252.49539407921907</v>
      </c>
      <c r="T154" s="59">
        <f t="shared" si="142"/>
        <v>263.36387286233929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23.302518551847278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23.302518551847278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19.8100000000004</v>
      </c>
      <c r="AJ154" s="13">
        <f>AI154*VLOOKUP('Données projet'!$B$10,Paramètres!$A$1:$I$89,3,0)*VLOOKUP('Données projet'!$B$10,Paramètres!$A$1:$I$89,5,0)</f>
        <v>17.924088000000364</v>
      </c>
      <c r="AK154" s="13">
        <f t="shared" ref="AK154:AK203" si="164">EXP(-1.0587+0.8836*LN(AJ154)+0.284)</f>
        <v>5.9032212091029486</v>
      </c>
      <c r="AL154" s="20">
        <f t="shared" ref="AL154:AL203" si="165">(AJ154+AK154)*0.475*44/12</f>
        <v>41.499230205854936</v>
      </c>
      <c r="AM154" s="59">
        <f t="shared" si="113"/>
        <v>334.83256353918824</v>
      </c>
      <c r="AN154" s="59">
        <f ca="1">AVERAGE(OFFSET($AM$3,0,0,'Données projet'!$E$10+1,1))-AVERAGE(OFFSET($H$3,0,0,'Données projet'!$E$10+1,1))</f>
        <v>370.05613271587413</v>
      </c>
      <c r="AO154" s="59">
        <f t="shared" si="144"/>
        <v>183.24480056442525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186.46293772447694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186.46293772447694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19.8100000000004</v>
      </c>
      <c r="BE154" s="13">
        <f>BD154*VLOOKUP('Données projet'!$B$11,Paramètres!$A$1:$I$89,3,0)*VLOOKUP('Données projet'!$B$11,Paramètres!$A$1:$I$89,5,0)</f>
        <v>20.08734000000041</v>
      </c>
      <c r="BF154" s="13">
        <f t="shared" ref="BF154:BF203" si="167">EXP(-1.0587+0.8836*LN(BE154)+0.284)</f>
        <v>6.5285137703520215</v>
      </c>
      <c r="BG154" s="20">
        <f t="shared" ref="BG154:BG203" si="168">(BE154+BF154)*0.475*44/12</f>
        <v>46.355945316697152</v>
      </c>
      <c r="BH154" s="59">
        <f t="shared" si="116"/>
        <v>339.68927865003047</v>
      </c>
      <c r="BI154" s="59">
        <f ca="1">AVERAGE(OFFSET($BH$3,0,0,'Données projet'!$E$11+1,1))-AVERAGE(OFFSET($H$3,0,0,'Données projet'!$E$11+1,1))</f>
        <v>428.72181435671394</v>
      </c>
      <c r="BJ154" s="59">
        <f t="shared" si="146"/>
        <v>211.84936043087572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208.96708538087938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208.96708538087938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367.99999999999972</v>
      </c>
      <c r="BZ154" s="13">
        <f>BY154*VLOOKUP('Données projet'!$B$12,Paramètres!$A$1:$I$89,3,0)*VLOOKUP('Données projet'!$B$12,Paramètres!$A$1:$I$89,5,0)</f>
        <v>292.78079999999977</v>
      </c>
      <c r="CA154" s="13">
        <f t="shared" ref="CA154:CA203" si="170">EXP(-1.0587+0.8836*LN(BZ154)+0.284)</f>
        <v>69.660903052386217</v>
      </c>
      <c r="CB154" s="20">
        <f t="shared" ref="CB154:CB203" si="171">(BZ154+CA154)*0.475*44/12</f>
        <v>631.25263281623893</v>
      </c>
      <c r="CC154" s="59">
        <f t="shared" si="119"/>
        <v>924.58596614957219</v>
      </c>
      <c r="CD154" s="59">
        <f ca="1">AVERAGE(OFFSET($CC$3,0,0,'Données projet'!$E$12+1,1))-AVERAGE(OFFSET($H$3,0,0,'Données projet'!$E$12+1,1))</f>
        <v>296.737543892524</v>
      </c>
      <c r="CE154" s="59">
        <f t="shared" si="148"/>
        <v>296.38358650317099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15.10602742671897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15.10602742671897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474.99999999999994</v>
      </c>
      <c r="CU154" s="17">
        <f>CT154*VLOOKUP('Données projet'!$B$13,Paramètres!$A$1:$I$89,3,0)*VLOOKUP('Données projet'!$B$13,Paramètres!$A$1:$I$89,5,0)</f>
        <v>407.55</v>
      </c>
      <c r="CV154" s="13">
        <f t="shared" ref="CV154:CV203" si="173">EXP(-1.0587+0.8836*LN(CU154)+0.284)</f>
        <v>93.305642095357683</v>
      </c>
      <c r="CW154" s="20">
        <f t="shared" ref="CW154:CW203" si="174">(CU154+CV154)*0.475*44/12</f>
        <v>872.32357664941446</v>
      </c>
      <c r="CX154" s="59">
        <f t="shared" si="122"/>
        <v>1165.6569099827477</v>
      </c>
      <c r="CY154" s="59">
        <f ca="1">AVERAGE(OFFSET($CX$3,0,0,'Données projet'!$E$13+1,1))-AVERAGE(OFFSET($H$3,0,0,'Données projet'!$E$13+1,1))</f>
        <v>391.93999504334352</v>
      </c>
      <c r="CZ154" s="59">
        <f t="shared" si="150"/>
        <v>215.4484906985528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66.148727570503681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66.148727570503681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367.99999999999972</v>
      </c>
      <c r="DP154" s="17">
        <f>DO154*VLOOKUP('Données projet'!$B$14,Paramètres!$A$1:$I$89,3,0)*VLOOKUP('Données projet'!$B$14,Paramètres!$A$1:$I$89,5,0)</f>
        <v>269.8175999999998</v>
      </c>
      <c r="DQ154" s="13">
        <f t="shared" ref="DQ154:DQ203" si="176">EXP(-1.0587+0.8836*LN(DP154)+0.284)</f>
        <v>64.810557882019467</v>
      </c>
      <c r="DR154" s="20">
        <f t="shared" ref="DR154:DR203" si="177">(DP154+DQ154)*0.475*44/12</f>
        <v>582.81070831118348</v>
      </c>
      <c r="DS154" s="59">
        <f t="shared" si="125"/>
        <v>876.14404164451685</v>
      </c>
      <c r="DT154" s="59">
        <f ca="1">AVERAGE(OFFSET($DS$3,0,0,'Données projet'!$E$14+1,1))-AVERAGE(OFFSET($H$3,0,0,'Données projet'!$E$14+1,1))</f>
        <v>267.92147257573157</v>
      </c>
      <c r="DU154" s="59">
        <f t="shared" si="152"/>
        <v>269.06662611892438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11.294591723788034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11.294591723788034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0.8600000000003547</v>
      </c>
      <c r="EK154" s="17">
        <f>EJ154*VLOOKUP('Données projet'!$B$15,Paramètres!$A$1:$I$89,3,0)*VLOOKUP('Données projet'!$B$15,Paramètres!$A$1:$I$89,5,0)</f>
        <v>0.48074000000019829</v>
      </c>
      <c r="EL154" s="13">
        <f t="shared" ref="EL154:EL203" si="179">EXP(-1.0587+0.8836*LN(EK154)+0.284)</f>
        <v>0.24126147010950588</v>
      </c>
      <c r="EM154" s="20">
        <f t="shared" ref="EM154:EM203" si="180">(EK154+EL154)*0.475*44/12</f>
        <v>1.2574858937744013</v>
      </c>
      <c r="EN154" s="59">
        <f t="shared" si="128"/>
        <v>294.59081922710772</v>
      </c>
      <c r="EO154" s="59">
        <f ca="1">AVERAGE(OFFSET($EN$3,0,0,'Données projet'!$E$15+1,1))-AVERAGE(OFFSET($H$3,0,0,'Données projet'!$E$15+1,1))</f>
        <v>326.29985515186428</v>
      </c>
      <c r="EP154" s="59">
        <f t="shared" si="154"/>
        <v>437.68177084535927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55.541197290660108</v>
      </c>
      <c r="EW154" s="21">
        <f>EXP(-LN(2)/25)*EW153+(1-EXP(-LN(2)/25))/(LN(2)/25)*Calculateur!ER154*Calculateur!ET154*VLOOKUP('Données projet'!$B$15,Paramètres!$A$1:$I$89,3,0)*0.475*44/12</f>
        <v>1.7657072264928033</v>
      </c>
      <c r="EX154" s="21">
        <f>EXP(-LN(2)/2)*EX153+(1-EXP(-LN(2)/2))/(LN(2)/2)*ER154*EU154*VLOOKUP('Données projet'!$B$15,Paramètres!$A$1:$I$89,3,0)*0.475*44/12</f>
        <v>4.5380611043235559E-19</v>
      </c>
      <c r="EY154" s="22">
        <f t="shared" ref="EY154:EY203" si="181">SUM(EV154:EX154)</f>
        <v>57.306904517152908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1.7053025658242404E-13</v>
      </c>
      <c r="FF154" s="17">
        <f>FE154*VLOOKUP('Données projet'!$B$16,Paramètres!$A$1:$I$89,3,0)*VLOOKUP('Données projet'!$B$16,Paramètres!$A$1:$I$89,5,0)</f>
        <v>9.7631982498569413E-14</v>
      </c>
      <c r="FG154" s="13">
        <f t="shared" ref="FG154:FG203" si="182">EXP(-1.0587+0.8836*LN(FF154)+0.284)</f>
        <v>1.4708068762530911E-12</v>
      </c>
      <c r="FH154" s="20">
        <f t="shared" ref="FH154:FH203" si="183">(FF154+FG154)*0.475*44/12</f>
        <v>2.7316976789924749E-12</v>
      </c>
      <c r="FI154" s="59">
        <f t="shared" si="131"/>
        <v>293.33333333333604</v>
      </c>
      <c r="FJ154" s="59">
        <f ca="1">AVERAGE(OFFSET($FI$3,0,0,'Données projet'!$E$16+1,1))-AVERAGE(OFFSET($H$3,0,0,'Données projet'!$E$16+1,1))</f>
        <v>211.14768428403215</v>
      </c>
      <c r="FK154" s="59">
        <f t="shared" si="156"/>
        <v>350.7800157534798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7.562177282551434</v>
      </c>
      <c r="FR154" s="21">
        <f>EXP(-LN(2)/25)*FR153+(1-EXP(-LN(2)/25))/(LN(2)/25)*Calculateur!FM154*Calculateur!FO154*VLOOKUP('Données projet'!$B$16,Paramètres!$A$1:$I$89,3,0)*0.475*44/12</f>
        <v>0.75117050924130024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8.3133477917927348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132.7871999999999</v>
      </c>
      <c r="D155" s="11">
        <f t="shared" si="140"/>
        <v>34.63960211985458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1292.4174198725609</v>
      </c>
      <c r="H155" s="66">
        <f t="shared" si="110"/>
        <v>584.93501369207979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259.99999999999983</v>
      </c>
      <c r="O155" s="13">
        <f>N155*VLOOKUP('Données projet'!$B$9,Paramètres!$A$1:$I$89,3,0)*VLOOKUP('Données projet'!$B$9,Paramètres!$A$1:$I$89,5,0)</f>
        <v>227.13599999999985</v>
      </c>
      <c r="P155" s="13">
        <f t="shared" si="141"/>
        <v>55.662966886685133</v>
      </c>
      <c r="Q155" s="20">
        <f t="shared" si="162"/>
        <v>492.5415339943097</v>
      </c>
      <c r="R155" s="59">
        <f t="shared" si="109"/>
        <v>785.87486732764296</v>
      </c>
      <c r="S155" s="59">
        <f ca="1">AVERAGE(OFFSET($R$3,0,0,'Données projet'!$E$9+1,1))-AVERAGE(OFFSET($H$3,0,0,'Données projet'!$E$9+1,1))</f>
        <v>252.49539407921907</v>
      </c>
      <c r="T155" s="59">
        <f t="shared" si="142"/>
        <v>263.36387286233929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22.84557037617844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22.84557037617844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19.8100000000004</v>
      </c>
      <c r="AJ155" s="13">
        <f>AI155*VLOOKUP('Données projet'!$B$10,Paramètres!$A$1:$I$89,3,0)*VLOOKUP('Données projet'!$B$10,Paramètres!$A$1:$I$89,5,0)</f>
        <v>17.924088000000364</v>
      </c>
      <c r="AK155" s="13">
        <f t="shared" si="164"/>
        <v>5.9032212091029486</v>
      </c>
      <c r="AL155" s="20">
        <f t="shared" si="165"/>
        <v>41.499230205854936</v>
      </c>
      <c r="AM155" s="59">
        <f t="shared" si="113"/>
        <v>334.83256353918824</v>
      </c>
      <c r="AN155" s="59">
        <f ca="1">AVERAGE(OFFSET($AM$3,0,0,'Données projet'!$E$10+1,1))-AVERAGE(OFFSET($H$3,0,0,'Données projet'!$E$10+1,1))</f>
        <v>370.05613271587413</v>
      </c>
      <c r="AO155" s="59">
        <f t="shared" si="144"/>
        <v>183.24480056442525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182.80651324686195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182.80651324686195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19.8100000000004</v>
      </c>
      <c r="BE155" s="13">
        <f>BD155*VLOOKUP('Données projet'!$B$11,Paramètres!$A$1:$I$89,3,0)*VLOOKUP('Données projet'!$B$11,Paramètres!$A$1:$I$89,5,0)</f>
        <v>20.08734000000041</v>
      </c>
      <c r="BF155" s="13">
        <f t="shared" si="167"/>
        <v>6.5285137703520215</v>
      </c>
      <c r="BG155" s="20">
        <f t="shared" si="168"/>
        <v>46.355945316697152</v>
      </c>
      <c r="BH155" s="59">
        <f t="shared" si="116"/>
        <v>339.68927865003047</v>
      </c>
      <c r="BI155" s="59">
        <f ca="1">AVERAGE(OFFSET($BH$3,0,0,'Données projet'!$E$11+1,1))-AVERAGE(OFFSET($H$3,0,0,'Données projet'!$E$11+1,1))</f>
        <v>428.72181435671394</v>
      </c>
      <c r="BJ155" s="59">
        <f t="shared" si="146"/>
        <v>211.84936043087572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204.86936829389705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204.86936829389705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367.99999999999972</v>
      </c>
      <c r="BZ155" s="13">
        <f>BY155*VLOOKUP('Données projet'!$B$12,Paramètres!$A$1:$I$89,3,0)*VLOOKUP('Données projet'!$B$12,Paramètres!$A$1:$I$89,5,0)</f>
        <v>292.78079999999977</v>
      </c>
      <c r="CA155" s="13">
        <f t="shared" si="170"/>
        <v>69.660903052386217</v>
      </c>
      <c r="CB155" s="20">
        <f t="shared" si="171"/>
        <v>631.25263281623893</v>
      </c>
      <c r="CC155" s="59">
        <f t="shared" si="119"/>
        <v>924.58596614957219</v>
      </c>
      <c r="CD155" s="59">
        <f ca="1">AVERAGE(OFFSET($CC$3,0,0,'Données projet'!$E$12+1,1))-AVERAGE(OFFSET($H$3,0,0,'Données projet'!$E$12+1,1))</f>
        <v>296.737543892524</v>
      </c>
      <c r="CE155" s="59">
        <f t="shared" si="148"/>
        <v>296.38358650317099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14.809807442647958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14.809807442647958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474.99999999999994</v>
      </c>
      <c r="CU155" s="17">
        <f>CT155*VLOOKUP('Données projet'!$B$13,Paramètres!$A$1:$I$89,3,0)*VLOOKUP('Données projet'!$B$13,Paramètres!$A$1:$I$89,5,0)</f>
        <v>407.55</v>
      </c>
      <c r="CV155" s="13">
        <f t="shared" si="173"/>
        <v>93.305642095357683</v>
      </c>
      <c r="CW155" s="20">
        <f t="shared" si="174"/>
        <v>872.32357664941446</v>
      </c>
      <c r="CX155" s="59">
        <f t="shared" si="122"/>
        <v>1165.6569099827477</v>
      </c>
      <c r="CY155" s="59">
        <f ca="1">AVERAGE(OFFSET($CX$3,0,0,'Données projet'!$E$13+1,1))-AVERAGE(OFFSET($H$3,0,0,'Données projet'!$E$13+1,1))</f>
        <v>391.93999504334352</v>
      </c>
      <c r="CZ155" s="59">
        <f t="shared" si="150"/>
        <v>215.4484906985528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64.851591369586018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64.851591369586018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367.99999999999972</v>
      </c>
      <c r="DP155" s="17">
        <f>DO155*VLOOKUP('Données projet'!$B$14,Paramètres!$A$1:$I$89,3,0)*VLOOKUP('Données projet'!$B$14,Paramètres!$A$1:$I$89,5,0)</f>
        <v>269.8175999999998</v>
      </c>
      <c r="DQ155" s="13">
        <f t="shared" si="176"/>
        <v>64.810557882019467</v>
      </c>
      <c r="DR155" s="20">
        <f t="shared" si="177"/>
        <v>582.81070831118348</v>
      </c>
      <c r="DS155" s="59">
        <f t="shared" si="125"/>
        <v>876.14404164451685</v>
      </c>
      <c r="DT155" s="59">
        <f ca="1">AVERAGE(OFFSET($DS$3,0,0,'Données projet'!$E$14+1,1))-AVERAGE(OFFSET($H$3,0,0,'Données projet'!$E$14+1,1))</f>
        <v>267.92147257573157</v>
      </c>
      <c r="DU155" s="59">
        <f t="shared" si="152"/>
        <v>269.06662611892438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11.073111669105268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11.073111669105268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0.8600000000003547</v>
      </c>
      <c r="EK155" s="17">
        <f>EJ155*VLOOKUP('Données projet'!$B$15,Paramètres!$A$1:$I$89,3,0)*VLOOKUP('Données projet'!$B$15,Paramètres!$A$1:$I$89,5,0)</f>
        <v>0.48074000000019829</v>
      </c>
      <c r="EL155" s="13">
        <f t="shared" si="179"/>
        <v>0.24126147010950588</v>
      </c>
      <c r="EM155" s="20">
        <f t="shared" si="180"/>
        <v>1.2574858937744013</v>
      </c>
      <c r="EN155" s="59">
        <f t="shared" si="128"/>
        <v>294.59081922710772</v>
      </c>
      <c r="EO155" s="59">
        <f ca="1">AVERAGE(OFFSET($EN$3,0,0,'Données projet'!$E$15+1,1))-AVERAGE(OFFSET($H$3,0,0,'Données projet'!$E$15+1,1))</f>
        <v>326.29985515186428</v>
      </c>
      <c r="EP155" s="59">
        <f t="shared" si="154"/>
        <v>437.68177084535927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54.452068288575553</v>
      </c>
      <c r="EW155" s="21">
        <f>EXP(-LN(2)/25)*EW154+(1-EXP(-LN(2)/25))/(LN(2)/25)*Calculateur!ER155*Calculateur!ET155*VLOOKUP('Données projet'!$B$15,Paramètres!$A$1:$I$89,3,0)*0.475*44/12</f>
        <v>1.71742386952985</v>
      </c>
      <c r="EX155" s="21">
        <f>EXP(-LN(2)/2)*EX154+(1-EXP(-LN(2)/2))/(LN(2)/2)*ER155*EU155*VLOOKUP('Données projet'!$B$15,Paramètres!$A$1:$I$89,3,0)*0.475*44/12</f>
        <v>3.208893780306099E-19</v>
      </c>
      <c r="EY155" s="22">
        <f t="shared" si="181"/>
        <v>56.169492158105406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1.7053025658242404E-13</v>
      </c>
      <c r="FF155" s="17">
        <f>FE155*VLOOKUP('Données projet'!$B$16,Paramètres!$A$1:$I$89,3,0)*VLOOKUP('Données projet'!$B$16,Paramètres!$A$1:$I$89,5,0)</f>
        <v>9.7631982498569413E-14</v>
      </c>
      <c r="FG155" s="13">
        <f t="shared" si="182"/>
        <v>1.4708068762530911E-12</v>
      </c>
      <c r="FH155" s="20">
        <f t="shared" si="183"/>
        <v>2.7316976789924749E-12</v>
      </c>
      <c r="FI155" s="59">
        <f t="shared" si="131"/>
        <v>293.33333333333604</v>
      </c>
      <c r="FJ155" s="59">
        <f ca="1">AVERAGE(OFFSET($FI$3,0,0,'Données projet'!$E$16+1,1))-AVERAGE(OFFSET($H$3,0,0,'Données projet'!$E$16+1,1))</f>
        <v>211.14768428403215</v>
      </c>
      <c r="FK155" s="59">
        <f t="shared" si="156"/>
        <v>350.7800157534798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7.4138875985132993</v>
      </c>
      <c r="FR155" s="21">
        <f>EXP(-LN(2)/25)*FR154+(1-EXP(-LN(2)/25))/(LN(2)/25)*Calculateur!FM155*Calculateur!FO155*VLOOKUP('Données projet'!$B$16,Paramètres!$A$1:$I$89,3,0)*0.475*44/12</f>
        <v>0.73062971216375661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8.1445173106770561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133.66079999999991</v>
      </c>
      <c r="D156" s="11">
        <f t="shared" si="140"/>
        <v>34.840890682716719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1300.7148052700934</v>
      </c>
      <c r="H156" s="66">
        <f t="shared" si="110"/>
        <v>586.80711127239806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259.99999999999983</v>
      </c>
      <c r="O156" s="13">
        <f>N156*VLOOKUP('Données projet'!$B$9,Paramètres!$A$1:$I$89,3,0)*VLOOKUP('Données projet'!$B$9,Paramètres!$A$1:$I$89,5,0)</f>
        <v>227.13599999999985</v>
      </c>
      <c r="P156" s="13">
        <f t="shared" si="141"/>
        <v>55.662966886685133</v>
      </c>
      <c r="Q156" s="20">
        <f t="shared" si="162"/>
        <v>492.5415339943097</v>
      </c>
      <c r="R156" s="59">
        <f t="shared" si="109"/>
        <v>785.87486732764296</v>
      </c>
      <c r="S156" s="59">
        <f ca="1">AVERAGE(OFFSET($R$3,0,0,'Données projet'!$E$9+1,1))-AVERAGE(OFFSET($H$3,0,0,'Données projet'!$E$9+1,1))</f>
        <v>252.49539407921907</v>
      </c>
      <c r="T156" s="59">
        <f t="shared" si="142"/>
        <v>263.36387286233929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22.397582675523601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22.397582675523601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19.8100000000004</v>
      </c>
      <c r="AJ156" s="13">
        <f>AI156*VLOOKUP('Données projet'!$B$10,Paramètres!$A$1:$I$89,3,0)*VLOOKUP('Données projet'!$B$10,Paramètres!$A$1:$I$89,5,0)</f>
        <v>17.924088000000364</v>
      </c>
      <c r="AK156" s="13">
        <f t="shared" si="164"/>
        <v>5.9032212091029486</v>
      </c>
      <c r="AL156" s="20">
        <f t="shared" si="165"/>
        <v>41.499230205854936</v>
      </c>
      <c r="AM156" s="59">
        <f t="shared" si="113"/>
        <v>334.83256353918824</v>
      </c>
      <c r="AN156" s="59">
        <f ca="1">AVERAGE(OFFSET($AM$3,0,0,'Données projet'!$E$10+1,1))-AVERAGE(OFFSET($H$3,0,0,'Données projet'!$E$10+1,1))</f>
        <v>370.05613271587413</v>
      </c>
      <c r="AO156" s="59">
        <f t="shared" si="144"/>
        <v>183.24480056442525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179.22178902305427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179.22178902305427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19.8100000000004</v>
      </c>
      <c r="BE156" s="13">
        <f>BD156*VLOOKUP('Données projet'!$B$11,Paramètres!$A$1:$I$89,3,0)*VLOOKUP('Données projet'!$B$11,Paramètres!$A$1:$I$89,5,0)</f>
        <v>20.08734000000041</v>
      </c>
      <c r="BF156" s="13">
        <f t="shared" si="167"/>
        <v>6.5285137703520215</v>
      </c>
      <c r="BG156" s="20">
        <f t="shared" si="168"/>
        <v>46.355945316697152</v>
      </c>
      <c r="BH156" s="59">
        <f t="shared" si="116"/>
        <v>339.68927865003047</v>
      </c>
      <c r="BI156" s="59">
        <f ca="1">AVERAGE(OFFSET($BH$3,0,0,'Données projet'!$E$11+1,1))-AVERAGE(OFFSET($H$3,0,0,'Données projet'!$E$11+1,1))</f>
        <v>428.72181435671394</v>
      </c>
      <c r="BJ156" s="59">
        <f t="shared" si="146"/>
        <v>211.84936043087572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200.85200493962981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200.85200493962981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367.99999999999972</v>
      </c>
      <c r="BZ156" s="13">
        <f>BY156*VLOOKUP('Données projet'!$B$12,Paramètres!$A$1:$I$89,3,0)*VLOOKUP('Données projet'!$B$12,Paramètres!$A$1:$I$89,5,0)</f>
        <v>292.78079999999977</v>
      </c>
      <c r="CA156" s="13">
        <f t="shared" si="170"/>
        <v>69.660903052386217</v>
      </c>
      <c r="CB156" s="20">
        <f t="shared" si="171"/>
        <v>631.25263281623893</v>
      </c>
      <c r="CC156" s="59">
        <f t="shared" si="119"/>
        <v>924.58596614957219</v>
      </c>
      <c r="CD156" s="59">
        <f ca="1">AVERAGE(OFFSET($CC$3,0,0,'Données projet'!$E$12+1,1))-AVERAGE(OFFSET($H$3,0,0,'Données projet'!$E$12+1,1))</f>
        <v>296.737543892524</v>
      </c>
      <c r="CE156" s="59">
        <f t="shared" si="148"/>
        <v>296.38358650317099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14.519396151788229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14.519396151788229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474.99999999999994</v>
      </c>
      <c r="CU156" s="17">
        <f>CT156*VLOOKUP('Données projet'!$B$13,Paramètres!$A$1:$I$89,3,0)*VLOOKUP('Données projet'!$B$13,Paramètres!$A$1:$I$89,5,0)</f>
        <v>407.55</v>
      </c>
      <c r="CV156" s="13">
        <f t="shared" si="173"/>
        <v>93.305642095357683</v>
      </c>
      <c r="CW156" s="20">
        <f t="shared" si="174"/>
        <v>872.32357664941446</v>
      </c>
      <c r="CX156" s="59">
        <f t="shared" si="122"/>
        <v>1165.6569099827477</v>
      </c>
      <c r="CY156" s="59">
        <f ca="1">AVERAGE(OFFSET($CX$3,0,0,'Données projet'!$E$13+1,1))-AVERAGE(OFFSET($H$3,0,0,'Données projet'!$E$13+1,1))</f>
        <v>391.93999504334352</v>
      </c>
      <c r="CZ156" s="59">
        <f t="shared" si="150"/>
        <v>215.4484906985528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63.579891218393385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63.579891218393385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367.99999999999972</v>
      </c>
      <c r="DP156" s="17">
        <f>DO156*VLOOKUP('Données projet'!$B$14,Paramètres!$A$1:$I$89,3,0)*VLOOKUP('Données projet'!$B$14,Paramètres!$A$1:$I$89,5,0)</f>
        <v>269.8175999999998</v>
      </c>
      <c r="DQ156" s="13">
        <f t="shared" si="176"/>
        <v>64.810557882019467</v>
      </c>
      <c r="DR156" s="20">
        <f t="shared" si="177"/>
        <v>582.81070831118348</v>
      </c>
      <c r="DS156" s="59">
        <f t="shared" si="125"/>
        <v>876.14404164451685</v>
      </c>
      <c r="DT156" s="59">
        <f ca="1">AVERAGE(OFFSET($DS$3,0,0,'Données projet'!$E$14+1,1))-AVERAGE(OFFSET($H$3,0,0,'Données projet'!$E$14+1,1))</f>
        <v>267.92147257573157</v>
      </c>
      <c r="DU156" s="59">
        <f t="shared" si="152"/>
        <v>269.06662611892438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10.855974703205337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10.855974703205337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0.8600000000003547</v>
      </c>
      <c r="EK156" s="17">
        <f>EJ156*VLOOKUP('Données projet'!$B$15,Paramètres!$A$1:$I$89,3,0)*VLOOKUP('Données projet'!$B$15,Paramètres!$A$1:$I$89,5,0)</f>
        <v>0.48074000000019829</v>
      </c>
      <c r="EL156" s="13">
        <f t="shared" si="179"/>
        <v>0.24126147010950588</v>
      </c>
      <c r="EM156" s="20">
        <f t="shared" si="180"/>
        <v>1.2574858937744013</v>
      </c>
      <c r="EN156" s="59">
        <f t="shared" si="128"/>
        <v>294.59081922710772</v>
      </c>
      <c r="EO156" s="59">
        <f ca="1">AVERAGE(OFFSET($EN$3,0,0,'Données projet'!$E$15+1,1))-AVERAGE(OFFSET($H$3,0,0,'Données projet'!$E$15+1,1))</f>
        <v>326.29985515186428</v>
      </c>
      <c r="EP156" s="59">
        <f t="shared" si="154"/>
        <v>437.68177084535927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53.384296441918785</v>
      </c>
      <c r="EW156" s="21">
        <f>EXP(-LN(2)/25)*EW155+(1-EXP(-LN(2)/25))/(LN(2)/25)*Calculateur!ER156*Calculateur!ET156*VLOOKUP('Données projet'!$B$15,Paramètres!$A$1:$I$89,3,0)*0.475*44/12</f>
        <v>1.6704608235021603</v>
      </c>
      <c r="EX156" s="21">
        <f>EXP(-LN(2)/2)*EX155+(1-EXP(-LN(2)/2))/(LN(2)/2)*ER156*EU156*VLOOKUP('Données projet'!$B$15,Paramètres!$A$1:$I$89,3,0)*0.475*44/12</f>
        <v>2.269030552161778E-19</v>
      </c>
      <c r="EY156" s="22">
        <f t="shared" si="181"/>
        <v>55.054757265420946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1.7053025658242404E-13</v>
      </c>
      <c r="FF156" s="17">
        <f>FE156*VLOOKUP('Données projet'!$B$16,Paramètres!$A$1:$I$89,3,0)*VLOOKUP('Données projet'!$B$16,Paramètres!$A$1:$I$89,5,0)</f>
        <v>9.7631982498569413E-14</v>
      </c>
      <c r="FG156" s="13">
        <f t="shared" si="182"/>
        <v>1.4708068762530911E-12</v>
      </c>
      <c r="FH156" s="20">
        <f t="shared" si="183"/>
        <v>2.7316976789924749E-12</v>
      </c>
      <c r="FI156" s="59">
        <f t="shared" si="131"/>
        <v>293.33333333333604</v>
      </c>
      <c r="FJ156" s="59">
        <f ca="1">AVERAGE(OFFSET($FI$3,0,0,'Données projet'!$E$16+1,1))-AVERAGE(OFFSET($H$3,0,0,'Données projet'!$E$16+1,1))</f>
        <v>211.14768428403215</v>
      </c>
      <c r="FK156" s="59">
        <f t="shared" si="156"/>
        <v>350.7800157534798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7.2685057847313761</v>
      </c>
      <c r="FR156" s="21">
        <f>EXP(-LN(2)/25)*FR155+(1-EXP(-LN(2)/25))/(LN(2)/25)*Calculateur!FM156*Calculateur!FO156*VLOOKUP('Données projet'!$B$16,Paramètres!$A$1:$I$89,3,0)*0.475*44/12</f>
        <v>0.71065060426249205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7.9791563889938679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134.53439999999992</v>
      </c>
      <c r="D157" s="11">
        <f t="shared" si="140"/>
        <v>35.042026165482199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1309.0110089967043</v>
      </c>
      <c r="H157" s="66">
        <f t="shared" si="110"/>
        <v>588.67894223821463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259.99999999999983</v>
      </c>
      <c r="O157" s="13">
        <f>N157*VLOOKUP('Données projet'!$B$9,Paramètres!$A$1:$I$89,3,0)*VLOOKUP('Données projet'!$B$9,Paramètres!$A$1:$I$89,5,0)</f>
        <v>227.13599999999985</v>
      </c>
      <c r="P157" s="13">
        <f t="shared" si="141"/>
        <v>55.662966886685133</v>
      </c>
      <c r="Q157" s="20">
        <f t="shared" si="162"/>
        <v>492.5415339943097</v>
      </c>
      <c r="R157" s="59">
        <f t="shared" si="109"/>
        <v>785.87486732764296</v>
      </c>
      <c r="S157" s="59">
        <f ca="1">AVERAGE(OFFSET($R$3,0,0,'Données projet'!$E$9+1,1))-AVERAGE(OFFSET($H$3,0,0,'Données projet'!$E$9+1,1))</f>
        <v>252.49539407921907</v>
      </c>
      <c r="T157" s="59">
        <f t="shared" si="142"/>
        <v>263.36387286233929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21.958379740433088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21.958379740433088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19.8100000000004</v>
      </c>
      <c r="AJ157" s="13">
        <f>AI157*VLOOKUP('Données projet'!$B$10,Paramètres!$A$1:$I$89,3,0)*VLOOKUP('Données projet'!$B$10,Paramètres!$A$1:$I$89,5,0)</f>
        <v>17.924088000000364</v>
      </c>
      <c r="AK157" s="13">
        <f t="shared" si="164"/>
        <v>5.9032212091029486</v>
      </c>
      <c r="AL157" s="20">
        <f t="shared" si="165"/>
        <v>41.499230205854936</v>
      </c>
      <c r="AM157" s="59">
        <f t="shared" si="113"/>
        <v>334.83256353918824</v>
      </c>
      <c r="AN157" s="59">
        <f ca="1">AVERAGE(OFFSET($AM$3,0,0,'Données projet'!$E$10+1,1))-AVERAGE(OFFSET($H$3,0,0,'Données projet'!$E$10+1,1))</f>
        <v>370.05613271587413</v>
      </c>
      <c r="AO157" s="59">
        <f t="shared" si="144"/>
        <v>183.24480056442525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175.70735905480956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175.70735905480956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19.8100000000004</v>
      </c>
      <c r="BE157" s="13">
        <f>BD157*VLOOKUP('Données projet'!$B$11,Paramètres!$A$1:$I$89,3,0)*VLOOKUP('Données projet'!$B$11,Paramètres!$A$1:$I$89,5,0)</f>
        <v>20.08734000000041</v>
      </c>
      <c r="BF157" s="13">
        <f t="shared" si="167"/>
        <v>6.5285137703520215</v>
      </c>
      <c r="BG157" s="20">
        <f t="shared" si="168"/>
        <v>46.355945316697152</v>
      </c>
      <c r="BH157" s="59">
        <f t="shared" si="116"/>
        <v>339.68927865003047</v>
      </c>
      <c r="BI157" s="59">
        <f ca="1">AVERAGE(OFFSET($BH$3,0,0,'Données projet'!$E$11+1,1))-AVERAGE(OFFSET($H$3,0,0,'Données projet'!$E$11+1,1))</f>
        <v>428.72181435671394</v>
      </c>
      <c r="BJ157" s="59">
        <f t="shared" si="146"/>
        <v>211.84936043087572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196.91341963039005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196.91341963039005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367.99999999999972</v>
      </c>
      <c r="BZ157" s="13">
        <f>BY157*VLOOKUP('Données projet'!$B$12,Paramètres!$A$1:$I$89,3,0)*VLOOKUP('Données projet'!$B$12,Paramètres!$A$1:$I$89,5,0)</f>
        <v>292.78079999999977</v>
      </c>
      <c r="CA157" s="13">
        <f t="shared" si="170"/>
        <v>69.660903052386217</v>
      </c>
      <c r="CB157" s="20">
        <f t="shared" si="171"/>
        <v>631.25263281623893</v>
      </c>
      <c r="CC157" s="59">
        <f t="shared" si="119"/>
        <v>924.58596614957219</v>
      </c>
      <c r="CD157" s="59">
        <f ca="1">AVERAGE(OFFSET($CC$3,0,0,'Données projet'!$E$12+1,1))-AVERAGE(OFFSET($H$3,0,0,'Données projet'!$E$12+1,1))</f>
        <v>296.737543892524</v>
      </c>
      <c r="CE157" s="59">
        <f t="shared" si="148"/>
        <v>296.38358650317099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14.234679649208861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14.234679649208861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474.99999999999994</v>
      </c>
      <c r="CU157" s="17">
        <f>CT157*VLOOKUP('Données projet'!$B$13,Paramètres!$A$1:$I$89,3,0)*VLOOKUP('Données projet'!$B$13,Paramètres!$A$1:$I$89,5,0)</f>
        <v>407.55</v>
      </c>
      <c r="CV157" s="13">
        <f t="shared" si="173"/>
        <v>93.305642095357683</v>
      </c>
      <c r="CW157" s="20">
        <f t="shared" si="174"/>
        <v>872.32357664941446</v>
      </c>
      <c r="CX157" s="59">
        <f t="shared" si="122"/>
        <v>1165.6569099827477</v>
      </c>
      <c r="CY157" s="59">
        <f ca="1">AVERAGE(OFFSET($CX$3,0,0,'Données projet'!$E$13+1,1))-AVERAGE(OFFSET($H$3,0,0,'Données projet'!$E$13+1,1))</f>
        <v>391.93999504334352</v>
      </c>
      <c r="CZ157" s="59">
        <f t="shared" si="150"/>
        <v>215.4484906985528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62.333128331505137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62.333128331505137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367.99999999999972</v>
      </c>
      <c r="DP157" s="17">
        <f>DO157*VLOOKUP('Données projet'!$B$14,Paramètres!$A$1:$I$89,3,0)*VLOOKUP('Données projet'!$B$14,Paramètres!$A$1:$I$89,5,0)</f>
        <v>269.8175999999998</v>
      </c>
      <c r="DQ157" s="13">
        <f t="shared" si="176"/>
        <v>64.810557882019467</v>
      </c>
      <c r="DR157" s="20">
        <f t="shared" si="177"/>
        <v>582.81070831118348</v>
      </c>
      <c r="DS157" s="59">
        <f t="shared" si="125"/>
        <v>876.14404164451685</v>
      </c>
      <c r="DT157" s="59">
        <f ca="1">AVERAGE(OFFSET($DS$3,0,0,'Données projet'!$E$14+1,1))-AVERAGE(OFFSET($H$3,0,0,'Données projet'!$E$14+1,1))</f>
        <v>267.92147257573157</v>
      </c>
      <c r="DU157" s="59">
        <f t="shared" si="152"/>
        <v>269.06662611892438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10.643095660766232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10.643095660766232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0.8600000000003547</v>
      </c>
      <c r="EK157" s="17">
        <f>EJ157*VLOOKUP('Données projet'!$B$15,Paramètres!$A$1:$I$89,3,0)*VLOOKUP('Données projet'!$B$15,Paramètres!$A$1:$I$89,5,0)</f>
        <v>0.48074000000019829</v>
      </c>
      <c r="EL157" s="13">
        <f t="shared" si="179"/>
        <v>0.24126147010950588</v>
      </c>
      <c r="EM157" s="20">
        <f t="shared" si="180"/>
        <v>1.2574858937744013</v>
      </c>
      <c r="EN157" s="59">
        <f t="shared" si="128"/>
        <v>294.59081922710772</v>
      </c>
      <c r="EO157" s="59">
        <f ca="1">AVERAGE(OFFSET($EN$3,0,0,'Données projet'!$E$15+1,1))-AVERAGE(OFFSET($H$3,0,0,'Données projet'!$E$15+1,1))</f>
        <v>326.29985515186428</v>
      </c>
      <c r="EP157" s="59">
        <f t="shared" si="154"/>
        <v>437.68177084535927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52.337462949898438</v>
      </c>
      <c r="EW157" s="21">
        <f>EXP(-LN(2)/25)*EW156+(1-EXP(-LN(2)/25))/(LN(2)/25)*Calculateur!ER157*Calculateur!ET157*VLOOKUP('Données projet'!$B$15,Paramètres!$A$1:$I$89,3,0)*0.475*44/12</f>
        <v>1.6247819844377769</v>
      </c>
      <c r="EX157" s="21">
        <f>EXP(-LN(2)/2)*EX156+(1-EXP(-LN(2)/2))/(LN(2)/2)*ER157*EU157*VLOOKUP('Données projet'!$B$15,Paramètres!$A$1:$I$89,3,0)*0.475*44/12</f>
        <v>1.6044468901530495E-19</v>
      </c>
      <c r="EY157" s="22">
        <f t="shared" si="181"/>
        <v>53.962244934336212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1.7053025658242404E-13</v>
      </c>
      <c r="FF157" s="17">
        <f>FE157*VLOOKUP('Données projet'!$B$16,Paramètres!$A$1:$I$89,3,0)*VLOOKUP('Données projet'!$B$16,Paramètres!$A$1:$I$89,5,0)</f>
        <v>9.7631982498569413E-14</v>
      </c>
      <c r="FG157" s="13">
        <f t="shared" si="182"/>
        <v>1.4708068762530911E-12</v>
      </c>
      <c r="FH157" s="20">
        <f t="shared" si="183"/>
        <v>2.7316976789924749E-12</v>
      </c>
      <c r="FI157" s="59">
        <f t="shared" si="131"/>
        <v>293.33333333333604</v>
      </c>
      <c r="FJ157" s="59">
        <f ca="1">AVERAGE(OFFSET($FI$3,0,0,'Données projet'!$E$16+1,1))-AVERAGE(OFFSET($H$3,0,0,'Données projet'!$E$16+1,1))</f>
        <v>211.14768428403215</v>
      </c>
      <c r="FK157" s="59">
        <f t="shared" si="156"/>
        <v>350.7800157534798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7.1259748196435657</v>
      </c>
      <c r="FR157" s="21">
        <f>EXP(-LN(2)/25)*FR156+(1-EXP(-LN(2)/25))/(LN(2)/25)*Calculateur!FM157*Calculateur!FO157*VLOOKUP('Données projet'!$B$16,Paramètres!$A$1:$I$89,3,0)*0.475*44/12</f>
        <v>0.69121782611744309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7.8171926457610086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135.40799999999993</v>
      </c>
      <c r="D158" s="11">
        <f t="shared" si="140"/>
        <v>35.243009677478732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1317.306039615625</v>
      </c>
      <c r="H158" s="66">
        <f t="shared" si="110"/>
        <v>590.55050852160866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259.99999999999983</v>
      </c>
      <c r="O158" s="13">
        <f>N158*VLOOKUP('Données projet'!$B$9,Paramètres!$A$1:$I$89,3,0)*VLOOKUP('Données projet'!$B$9,Paramètres!$A$1:$I$89,5,0)</f>
        <v>227.13599999999985</v>
      </c>
      <c r="P158" s="13">
        <f t="shared" si="141"/>
        <v>55.662966886685133</v>
      </c>
      <c r="Q158" s="20">
        <f t="shared" si="162"/>
        <v>492.5415339943097</v>
      </c>
      <c r="R158" s="59">
        <f t="shared" si="109"/>
        <v>785.87486732764296</v>
      </c>
      <c r="S158" s="59">
        <f ca="1">AVERAGE(OFFSET($R$3,0,0,'Données projet'!$E$9+1,1))-AVERAGE(OFFSET($H$3,0,0,'Données projet'!$E$9+1,1))</f>
        <v>252.49539407921907</v>
      </c>
      <c r="T158" s="59">
        <f t="shared" si="142"/>
        <v>263.36387286233929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21.527789307012359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21.527789307012359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19.8100000000004</v>
      </c>
      <c r="AJ158" s="13">
        <f>AI158*VLOOKUP('Données projet'!$B$10,Paramètres!$A$1:$I$89,3,0)*VLOOKUP('Données projet'!$B$10,Paramètres!$A$1:$I$89,5,0)</f>
        <v>17.924088000000364</v>
      </c>
      <c r="AK158" s="13">
        <f t="shared" si="164"/>
        <v>5.9032212091029486</v>
      </c>
      <c r="AL158" s="20">
        <f t="shared" si="165"/>
        <v>41.499230205854936</v>
      </c>
      <c r="AM158" s="59">
        <f t="shared" si="113"/>
        <v>334.83256353918824</v>
      </c>
      <c r="AN158" s="59">
        <f ca="1">AVERAGE(OFFSET($AM$3,0,0,'Données projet'!$E$10+1,1))-AVERAGE(OFFSET($H$3,0,0,'Données projet'!$E$10+1,1))</f>
        <v>370.05613271587413</v>
      </c>
      <c r="AO158" s="59">
        <f t="shared" si="144"/>
        <v>183.24480056442525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172.2618449146515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172.2618449146515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19.8100000000004</v>
      </c>
      <c r="BE158" s="13">
        <f>BD158*VLOOKUP('Données projet'!$B$11,Paramètres!$A$1:$I$89,3,0)*VLOOKUP('Données projet'!$B$11,Paramètres!$A$1:$I$89,5,0)</f>
        <v>20.08734000000041</v>
      </c>
      <c r="BF158" s="13">
        <f t="shared" si="167"/>
        <v>6.5285137703520215</v>
      </c>
      <c r="BG158" s="20">
        <f t="shared" si="168"/>
        <v>46.355945316697152</v>
      </c>
      <c r="BH158" s="59">
        <f t="shared" si="116"/>
        <v>339.68927865003047</v>
      </c>
      <c r="BI158" s="59">
        <f ca="1">AVERAGE(OFFSET($BH$3,0,0,'Données projet'!$E$11+1,1))-AVERAGE(OFFSET($H$3,0,0,'Données projet'!$E$11+1,1))</f>
        <v>428.72181435671394</v>
      </c>
      <c r="BJ158" s="59">
        <f t="shared" si="146"/>
        <v>211.84936043087572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193.05206757676467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193.05206757676467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367.99999999999972</v>
      </c>
      <c r="BZ158" s="13">
        <f>BY158*VLOOKUP('Données projet'!$B$12,Paramètres!$A$1:$I$89,3,0)*VLOOKUP('Données projet'!$B$12,Paramètres!$A$1:$I$89,5,0)</f>
        <v>292.78079999999977</v>
      </c>
      <c r="CA158" s="13">
        <f t="shared" si="170"/>
        <v>69.660903052386217</v>
      </c>
      <c r="CB158" s="20">
        <f t="shared" si="171"/>
        <v>631.25263281623893</v>
      </c>
      <c r="CC158" s="59">
        <f t="shared" si="119"/>
        <v>924.58596614957219</v>
      </c>
      <c r="CD158" s="59">
        <f ca="1">AVERAGE(OFFSET($CC$3,0,0,'Données projet'!$E$12+1,1))-AVERAGE(OFFSET($H$3,0,0,'Données projet'!$E$12+1,1))</f>
        <v>296.737543892524</v>
      </c>
      <c r="CE158" s="59">
        <f t="shared" si="148"/>
        <v>296.38358650317099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13.955546263585155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13.955546263585155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474.99999999999994</v>
      </c>
      <c r="CU158" s="17">
        <f>CT158*VLOOKUP('Données projet'!$B$13,Paramètres!$A$1:$I$89,3,0)*VLOOKUP('Données projet'!$B$13,Paramètres!$A$1:$I$89,5,0)</f>
        <v>407.55</v>
      </c>
      <c r="CV158" s="13">
        <f t="shared" si="173"/>
        <v>93.305642095357683</v>
      </c>
      <c r="CW158" s="20">
        <f t="shared" si="174"/>
        <v>872.32357664941446</v>
      </c>
      <c r="CX158" s="59">
        <f t="shared" si="122"/>
        <v>1165.6569099827477</v>
      </c>
      <c r="CY158" s="59">
        <f ca="1">AVERAGE(OFFSET($CX$3,0,0,'Données projet'!$E$13+1,1))-AVERAGE(OFFSET($H$3,0,0,'Données projet'!$E$13+1,1))</f>
        <v>391.93999504334352</v>
      </c>
      <c r="CZ158" s="59">
        <f t="shared" si="150"/>
        <v>215.4484906985528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61.110813704378494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61.110813704378494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367.99999999999972</v>
      </c>
      <c r="DP158" s="17">
        <f>DO158*VLOOKUP('Données projet'!$B$14,Paramètres!$A$1:$I$89,3,0)*VLOOKUP('Données projet'!$B$14,Paramètres!$A$1:$I$89,5,0)</f>
        <v>269.8175999999998</v>
      </c>
      <c r="DQ158" s="13">
        <f t="shared" si="176"/>
        <v>64.810557882019467</v>
      </c>
      <c r="DR158" s="20">
        <f t="shared" si="177"/>
        <v>582.81070831118348</v>
      </c>
      <c r="DS158" s="59">
        <f t="shared" si="125"/>
        <v>876.14404164451685</v>
      </c>
      <c r="DT158" s="59">
        <f ca="1">AVERAGE(OFFSET($DS$3,0,0,'Données projet'!$E$14+1,1))-AVERAGE(OFFSET($H$3,0,0,'Données projet'!$E$14+1,1))</f>
        <v>267.92147257573157</v>
      </c>
      <c r="DU158" s="59">
        <f t="shared" si="152"/>
        <v>269.06662611892438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10.434391046505961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10.434391046505961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0.8600000000003547</v>
      </c>
      <c r="EK158" s="17">
        <f>EJ158*VLOOKUP('Données projet'!$B$15,Paramètres!$A$1:$I$89,3,0)*VLOOKUP('Données projet'!$B$15,Paramètres!$A$1:$I$89,5,0)</f>
        <v>0.48074000000019829</v>
      </c>
      <c r="EL158" s="13">
        <f t="shared" si="179"/>
        <v>0.24126147010950588</v>
      </c>
      <c r="EM158" s="20">
        <f t="shared" si="180"/>
        <v>1.2574858937744013</v>
      </c>
      <c r="EN158" s="59">
        <f t="shared" si="128"/>
        <v>294.59081922710772</v>
      </c>
      <c r="EO158" s="59">
        <f ca="1">AVERAGE(OFFSET($EN$3,0,0,'Données projet'!$E$15+1,1))-AVERAGE(OFFSET($H$3,0,0,'Données projet'!$E$15+1,1))</f>
        <v>326.29985515186428</v>
      </c>
      <c r="EP158" s="59">
        <f t="shared" si="154"/>
        <v>437.68177084535927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51.311157224151223</v>
      </c>
      <c r="EW158" s="21">
        <f>EXP(-LN(2)/25)*EW157+(1-EXP(-LN(2)/25))/(LN(2)/25)*Calculateur!ER158*Calculateur!ET158*VLOOKUP('Données projet'!$B$15,Paramètres!$A$1:$I$89,3,0)*0.475*44/12</f>
        <v>1.5803522356297548</v>
      </c>
      <c r="EX158" s="21">
        <f>EXP(-LN(2)/2)*EX157+(1-EXP(-LN(2)/2))/(LN(2)/2)*ER158*EU158*VLOOKUP('Données projet'!$B$15,Paramètres!$A$1:$I$89,3,0)*0.475*44/12</f>
        <v>1.134515276080889E-19</v>
      </c>
      <c r="EY158" s="22">
        <f t="shared" si="181"/>
        <v>52.891509459780977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1.7053025658242404E-13</v>
      </c>
      <c r="FF158" s="17">
        <f>FE158*VLOOKUP('Données projet'!$B$16,Paramètres!$A$1:$I$89,3,0)*VLOOKUP('Données projet'!$B$16,Paramètres!$A$1:$I$89,5,0)</f>
        <v>9.7631982498569413E-14</v>
      </c>
      <c r="FG158" s="13">
        <f t="shared" si="182"/>
        <v>1.4708068762530911E-12</v>
      </c>
      <c r="FH158" s="20">
        <f t="shared" si="183"/>
        <v>2.7316976789924749E-12</v>
      </c>
      <c r="FI158" s="59">
        <f t="shared" si="131"/>
        <v>293.33333333333604</v>
      </c>
      <c r="FJ158" s="59">
        <f ca="1">AVERAGE(OFFSET($FI$3,0,0,'Données projet'!$E$16+1,1))-AVERAGE(OFFSET($H$3,0,0,'Données projet'!$E$16+1,1))</f>
        <v>211.14768428403215</v>
      </c>
      <c r="FK158" s="59">
        <f t="shared" si="156"/>
        <v>350.7800157534798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6.9862387998458226</v>
      </c>
      <c r="FR158" s="21">
        <f>EXP(-LN(2)/25)*FR157+(1-EXP(-LN(2)/25))/(LN(2)/25)*Calculateur!FM158*Calculateur!FO158*VLOOKUP('Données projet'!$B$16,Paramètres!$A$1:$I$89,3,0)*0.475*44/12</f>
        <v>0.67231643831269594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7.6585552381585185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136.28159999999994</v>
      </c>
      <c r="D159" s="11">
        <f t="shared" si="140"/>
        <v>35.443842312892279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1325.5999055732034</v>
      </c>
      <c r="H159" s="66">
        <f t="shared" si="110"/>
        <v>592.42181202828726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259.99999999999983</v>
      </c>
      <c r="O159" s="13">
        <f>N159*VLOOKUP('Données projet'!$B$9,Paramètres!$A$1:$I$89,3,0)*VLOOKUP('Données projet'!$B$9,Paramètres!$A$1:$I$89,5,0)</f>
        <v>227.13599999999985</v>
      </c>
      <c r="P159" s="13">
        <f t="shared" si="141"/>
        <v>55.662966886685133</v>
      </c>
      <c r="Q159" s="20">
        <f t="shared" si="162"/>
        <v>492.5415339943097</v>
      </c>
      <c r="R159" s="59">
        <f t="shared" si="109"/>
        <v>785.87486732764296</v>
      </c>
      <c r="S159" s="59">
        <f ca="1">AVERAGE(OFFSET($R$3,0,0,'Données projet'!$E$9+1,1))-AVERAGE(OFFSET($H$3,0,0,'Données projet'!$E$9+1,1))</f>
        <v>252.49539407921907</v>
      </c>
      <c r="T159" s="59">
        <f t="shared" si="142"/>
        <v>263.36387286233929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21.105642489356779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21.105642489356779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19.8100000000004</v>
      </c>
      <c r="AJ159" s="13">
        <f>AI159*VLOOKUP('Données projet'!$B$10,Paramètres!$A$1:$I$89,3,0)*VLOOKUP('Données projet'!$B$10,Paramètres!$A$1:$I$89,5,0)</f>
        <v>17.924088000000364</v>
      </c>
      <c r="AK159" s="13">
        <f t="shared" si="164"/>
        <v>5.9032212091029486</v>
      </c>
      <c r="AL159" s="20">
        <f t="shared" si="165"/>
        <v>41.499230205854936</v>
      </c>
      <c r="AM159" s="59">
        <f t="shared" si="113"/>
        <v>334.83256353918824</v>
      </c>
      <c r="AN159" s="59">
        <f ca="1">AVERAGE(OFFSET($AM$3,0,0,'Données projet'!$E$10+1,1))-AVERAGE(OFFSET($H$3,0,0,'Données projet'!$E$10+1,1))</f>
        <v>370.05613271587413</v>
      </c>
      <c r="AO159" s="59">
        <f t="shared" si="144"/>
        <v>183.24480056442525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168.88389520522585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168.88389520522585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19.8100000000004</v>
      </c>
      <c r="BE159" s="13">
        <f>BD159*VLOOKUP('Données projet'!$B$11,Paramètres!$A$1:$I$89,3,0)*VLOOKUP('Données projet'!$B$11,Paramètres!$A$1:$I$89,5,0)</f>
        <v>20.08734000000041</v>
      </c>
      <c r="BF159" s="13">
        <f t="shared" si="167"/>
        <v>6.5285137703520215</v>
      </c>
      <c r="BG159" s="20">
        <f t="shared" si="168"/>
        <v>46.355945316697152</v>
      </c>
      <c r="BH159" s="59">
        <f t="shared" si="116"/>
        <v>339.68927865003047</v>
      </c>
      <c r="BI159" s="59">
        <f ca="1">AVERAGE(OFFSET($BH$3,0,0,'Données projet'!$E$11+1,1))-AVERAGE(OFFSET($H$3,0,0,'Données projet'!$E$11+1,1))</f>
        <v>428.72181435671394</v>
      </c>
      <c r="BJ159" s="59">
        <f t="shared" si="146"/>
        <v>211.84936043087572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189.26643428171869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189.26643428171869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367.99999999999972</v>
      </c>
      <c r="BZ159" s="13">
        <f>BY159*VLOOKUP('Données projet'!$B$12,Paramètres!$A$1:$I$89,3,0)*VLOOKUP('Données projet'!$B$12,Paramètres!$A$1:$I$89,5,0)</f>
        <v>292.78079999999977</v>
      </c>
      <c r="CA159" s="13">
        <f t="shared" si="170"/>
        <v>69.660903052386217</v>
      </c>
      <c r="CB159" s="20">
        <f t="shared" si="171"/>
        <v>631.25263281623893</v>
      </c>
      <c r="CC159" s="59">
        <f t="shared" si="119"/>
        <v>924.58596614957219</v>
      </c>
      <c r="CD159" s="59">
        <f ca="1">AVERAGE(OFFSET($CC$3,0,0,'Données projet'!$E$12+1,1))-AVERAGE(OFFSET($H$3,0,0,'Données projet'!$E$12+1,1))</f>
        <v>296.737543892524</v>
      </c>
      <c r="CE159" s="59">
        <f t="shared" si="148"/>
        <v>296.38358650317099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13.681886513398977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13.681886513398977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474.99999999999994</v>
      </c>
      <c r="CU159" s="17">
        <f>CT159*VLOOKUP('Données projet'!$B$13,Paramètres!$A$1:$I$89,3,0)*VLOOKUP('Données projet'!$B$13,Paramètres!$A$1:$I$89,5,0)</f>
        <v>407.55</v>
      </c>
      <c r="CV159" s="13">
        <f t="shared" si="173"/>
        <v>93.305642095357683</v>
      </c>
      <c r="CW159" s="20">
        <f t="shared" si="174"/>
        <v>872.32357664941446</v>
      </c>
      <c r="CX159" s="59">
        <f t="shared" si="122"/>
        <v>1165.6569099827477</v>
      </c>
      <c r="CY159" s="59">
        <f ca="1">AVERAGE(OFFSET($CX$3,0,0,'Données projet'!$E$13+1,1))-AVERAGE(OFFSET($H$3,0,0,'Données projet'!$E$13+1,1))</f>
        <v>391.93999504334352</v>
      </c>
      <c r="CZ159" s="59">
        <f t="shared" si="150"/>
        <v>215.4484906985528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59.912467921551496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59.912467921551496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367.99999999999972</v>
      </c>
      <c r="DP159" s="17">
        <f>DO159*VLOOKUP('Données projet'!$B$14,Paramètres!$A$1:$I$89,3,0)*VLOOKUP('Données projet'!$B$14,Paramètres!$A$1:$I$89,5,0)</f>
        <v>269.8175999999998</v>
      </c>
      <c r="DQ159" s="13">
        <f t="shared" si="176"/>
        <v>64.810557882019467</v>
      </c>
      <c r="DR159" s="20">
        <f t="shared" si="177"/>
        <v>582.81070831118348</v>
      </c>
      <c r="DS159" s="59">
        <f t="shared" si="125"/>
        <v>876.14404164451685</v>
      </c>
      <c r="DT159" s="59">
        <f ca="1">AVERAGE(OFFSET($DS$3,0,0,'Données projet'!$E$14+1,1))-AVERAGE(OFFSET($H$3,0,0,'Données projet'!$E$14+1,1))</f>
        <v>267.92147257573157</v>
      </c>
      <c r="DU159" s="59">
        <f t="shared" si="152"/>
        <v>269.06662611892438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10.229779002434091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10.229779002434091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0.8600000000003547</v>
      </c>
      <c r="EK159" s="17">
        <f>EJ159*VLOOKUP('Données projet'!$B$15,Paramètres!$A$1:$I$89,3,0)*VLOOKUP('Données projet'!$B$15,Paramètres!$A$1:$I$89,5,0)</f>
        <v>0.48074000000019829</v>
      </c>
      <c r="EL159" s="13">
        <f t="shared" si="179"/>
        <v>0.24126147010950588</v>
      </c>
      <c r="EM159" s="20">
        <f t="shared" si="180"/>
        <v>1.2574858937744013</v>
      </c>
      <c r="EN159" s="59">
        <f t="shared" si="128"/>
        <v>294.59081922710772</v>
      </c>
      <c r="EO159" s="59">
        <f ca="1">AVERAGE(OFFSET($EN$3,0,0,'Données projet'!$E$15+1,1))-AVERAGE(OFFSET($H$3,0,0,'Données projet'!$E$15+1,1))</f>
        <v>326.29985515186428</v>
      </c>
      <c r="EP159" s="59">
        <f t="shared" si="154"/>
        <v>437.68177084535927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50.304976727701231</v>
      </c>
      <c r="EW159" s="21">
        <f>EXP(-LN(2)/25)*EW158+(1-EXP(-LN(2)/25))/(LN(2)/25)*Calculateur!ER159*Calculateur!ET159*VLOOKUP('Données projet'!$B$15,Paramètres!$A$1:$I$89,3,0)*0.475*44/12</f>
        <v>1.5371374206393471</v>
      </c>
      <c r="EX159" s="21">
        <f>EXP(-LN(2)/2)*EX158+(1-EXP(-LN(2)/2))/(LN(2)/2)*ER159*EU159*VLOOKUP('Données projet'!$B$15,Paramètres!$A$1:$I$89,3,0)*0.475*44/12</f>
        <v>8.0222344507652474E-20</v>
      </c>
      <c r="EY159" s="22">
        <f t="shared" si="181"/>
        <v>51.842114148340578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1.7053025658242404E-13</v>
      </c>
      <c r="FF159" s="17">
        <f>FE159*VLOOKUP('Données projet'!$B$16,Paramètres!$A$1:$I$89,3,0)*VLOOKUP('Données projet'!$B$16,Paramètres!$A$1:$I$89,5,0)</f>
        <v>9.7631982498569413E-14</v>
      </c>
      <c r="FG159" s="13">
        <f t="shared" si="182"/>
        <v>1.4708068762530911E-12</v>
      </c>
      <c r="FH159" s="20">
        <f t="shared" si="183"/>
        <v>2.7316976789924749E-12</v>
      </c>
      <c r="FI159" s="59">
        <f t="shared" si="131"/>
        <v>293.33333333333604</v>
      </c>
      <c r="FJ159" s="59">
        <f ca="1">AVERAGE(OFFSET($FI$3,0,0,'Données projet'!$E$16+1,1))-AVERAGE(OFFSET($H$3,0,0,'Données projet'!$E$16+1,1))</f>
        <v>211.14768428403215</v>
      </c>
      <c r="FK159" s="59">
        <f t="shared" si="156"/>
        <v>350.7800157534798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6.849242918165757</v>
      </c>
      <c r="FR159" s="21">
        <f>EXP(-LN(2)/25)*FR158+(1-EXP(-LN(2)/25))/(LN(2)/25)*Calculateur!FM159*Calculateur!FO159*VLOOKUP('Données projet'!$B$16,Paramètres!$A$1:$I$89,3,0)*0.475*44/12</f>
        <v>0.65393190995145034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7.5031748281172073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137.15519999999995</v>
      </c>
      <c r="D160" s="11">
        <f t="shared" si="140"/>
        <v>35.644525151069693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1333.8926152012393</v>
      </c>
      <c r="H160" s="66">
        <f t="shared" si="110"/>
        <v>594.29285463811289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259.99999999999983</v>
      </c>
      <c r="O160" s="13">
        <f>N160*VLOOKUP('Données projet'!$B$9,Paramètres!$A$1:$I$89,3,0)*VLOOKUP('Données projet'!$B$9,Paramètres!$A$1:$I$89,5,0)</f>
        <v>227.13599999999985</v>
      </c>
      <c r="P160" s="13">
        <f t="shared" si="141"/>
        <v>55.662966886685133</v>
      </c>
      <c r="Q160" s="20">
        <f t="shared" si="162"/>
        <v>492.5415339943097</v>
      </c>
      <c r="R160" s="59">
        <f t="shared" si="109"/>
        <v>785.87486732764296</v>
      </c>
      <c r="S160" s="59">
        <f ca="1">AVERAGE(OFFSET($R$3,0,0,'Données projet'!$E$9+1,1))-AVERAGE(OFFSET($H$3,0,0,'Données projet'!$E$9+1,1))</f>
        <v>252.49539407921907</v>
      </c>
      <c r="T160" s="59">
        <f t="shared" si="142"/>
        <v>263.36387286233929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20.691773713311292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20.691773713311292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19.8100000000004</v>
      </c>
      <c r="AJ160" s="13">
        <f>AI160*VLOOKUP('Données projet'!$B$10,Paramètres!$A$1:$I$89,3,0)*VLOOKUP('Données projet'!$B$10,Paramètres!$A$1:$I$89,5,0)</f>
        <v>17.924088000000364</v>
      </c>
      <c r="AK160" s="13">
        <f t="shared" si="164"/>
        <v>5.9032212091029486</v>
      </c>
      <c r="AL160" s="20">
        <f t="shared" si="165"/>
        <v>41.499230205854936</v>
      </c>
      <c r="AM160" s="59">
        <f t="shared" si="113"/>
        <v>334.83256353918824</v>
      </c>
      <c r="AN160" s="59">
        <f ca="1">AVERAGE(OFFSET($AM$3,0,0,'Données projet'!$E$10+1,1))-AVERAGE(OFFSET($H$3,0,0,'Données projet'!$E$10+1,1))</f>
        <v>370.05613271587413</v>
      </c>
      <c r="AO160" s="59">
        <f t="shared" si="144"/>
        <v>183.24480056442525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165.57218502925616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165.57218502925616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19.8100000000004</v>
      </c>
      <c r="BE160" s="13">
        <f>BD160*VLOOKUP('Données projet'!$B$11,Paramètres!$A$1:$I$89,3,0)*VLOOKUP('Données projet'!$B$11,Paramètres!$A$1:$I$89,5,0)</f>
        <v>20.08734000000041</v>
      </c>
      <c r="BF160" s="13">
        <f t="shared" si="167"/>
        <v>6.5285137703520215</v>
      </c>
      <c r="BG160" s="20">
        <f t="shared" si="168"/>
        <v>46.355945316697152</v>
      </c>
      <c r="BH160" s="59">
        <f t="shared" si="116"/>
        <v>339.68927865003047</v>
      </c>
      <c r="BI160" s="59">
        <f ca="1">AVERAGE(OFFSET($BH$3,0,0,'Données projet'!$E$11+1,1))-AVERAGE(OFFSET($H$3,0,0,'Données projet'!$E$11+1,1))</f>
        <v>428.72181435671394</v>
      </c>
      <c r="BJ160" s="59">
        <f t="shared" si="146"/>
        <v>211.84936043087572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185.55503494658024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185.55503494658024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367.99999999999972</v>
      </c>
      <c r="BZ160" s="13">
        <f>BY160*VLOOKUP('Données projet'!$B$12,Paramètres!$A$1:$I$89,3,0)*VLOOKUP('Données projet'!$B$12,Paramètres!$A$1:$I$89,5,0)</f>
        <v>292.78079999999977</v>
      </c>
      <c r="CA160" s="13">
        <f t="shared" si="170"/>
        <v>69.660903052386217</v>
      </c>
      <c r="CB160" s="20">
        <f t="shared" si="171"/>
        <v>631.25263281623893</v>
      </c>
      <c r="CC160" s="59">
        <f t="shared" si="119"/>
        <v>924.58596614957219</v>
      </c>
      <c r="CD160" s="59">
        <f ca="1">AVERAGE(OFFSET($CC$3,0,0,'Données projet'!$E$12+1,1))-AVERAGE(OFFSET($H$3,0,0,'Données projet'!$E$12+1,1))</f>
        <v>296.737543892524</v>
      </c>
      <c r="CE160" s="59">
        <f t="shared" si="148"/>
        <v>296.38358650317099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13.413593063997984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13.413593063997984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474.99999999999994</v>
      </c>
      <c r="CU160" s="17">
        <f>CT160*VLOOKUP('Données projet'!$B$13,Paramètres!$A$1:$I$89,3,0)*VLOOKUP('Données projet'!$B$13,Paramètres!$A$1:$I$89,5,0)</f>
        <v>407.55</v>
      </c>
      <c r="CV160" s="13">
        <f t="shared" si="173"/>
        <v>93.305642095357683</v>
      </c>
      <c r="CW160" s="20">
        <f t="shared" si="174"/>
        <v>872.32357664941446</v>
      </c>
      <c r="CX160" s="59">
        <f t="shared" si="122"/>
        <v>1165.6569099827477</v>
      </c>
      <c r="CY160" s="59">
        <f ca="1">AVERAGE(OFFSET($CX$3,0,0,'Données projet'!$E$13+1,1))-AVERAGE(OFFSET($H$3,0,0,'Données projet'!$E$13+1,1))</f>
        <v>391.93999504334352</v>
      </c>
      <c r="CZ160" s="59">
        <f t="shared" si="150"/>
        <v>215.4484906985528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58.737620968606983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58.737620968606983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367.99999999999972</v>
      </c>
      <c r="DP160" s="17">
        <f>DO160*VLOOKUP('Données projet'!$B$14,Paramètres!$A$1:$I$89,3,0)*VLOOKUP('Données projet'!$B$14,Paramètres!$A$1:$I$89,5,0)</f>
        <v>269.8175999999998</v>
      </c>
      <c r="DQ160" s="13">
        <f t="shared" si="176"/>
        <v>64.810557882019467</v>
      </c>
      <c r="DR160" s="20">
        <f t="shared" si="177"/>
        <v>582.81070831118348</v>
      </c>
      <c r="DS160" s="59">
        <f t="shared" si="125"/>
        <v>876.14404164451685</v>
      </c>
      <c r="DT160" s="59">
        <f ca="1">AVERAGE(OFFSET($DS$3,0,0,'Données projet'!$E$14+1,1))-AVERAGE(OFFSET($H$3,0,0,'Données projet'!$E$14+1,1))</f>
        <v>267.92147257573157</v>
      </c>
      <c r="DU160" s="59">
        <f t="shared" si="152"/>
        <v>269.06662611892438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10.029179275745445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10.029179275745445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0.8600000000003547</v>
      </c>
      <c r="EK160" s="17">
        <f>EJ160*VLOOKUP('Données projet'!$B$15,Paramètres!$A$1:$I$89,3,0)*VLOOKUP('Données projet'!$B$15,Paramètres!$A$1:$I$89,5,0)</f>
        <v>0.48074000000019829</v>
      </c>
      <c r="EL160" s="13">
        <f t="shared" si="179"/>
        <v>0.24126147010950588</v>
      </c>
      <c r="EM160" s="20">
        <f t="shared" si="180"/>
        <v>1.2574858937744013</v>
      </c>
      <c r="EN160" s="59">
        <f t="shared" si="128"/>
        <v>294.59081922710772</v>
      </c>
      <c r="EO160" s="59">
        <f ca="1">AVERAGE(OFFSET($EN$3,0,0,'Données projet'!$E$15+1,1))-AVERAGE(OFFSET($H$3,0,0,'Données projet'!$E$15+1,1))</f>
        <v>326.29985515186428</v>
      </c>
      <c r="EP160" s="59">
        <f t="shared" si="154"/>
        <v>437.68177084535927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49.318526817077121</v>
      </c>
      <c r="EW160" s="21">
        <f>EXP(-LN(2)/25)*EW159+(1-EXP(-LN(2)/25))/(LN(2)/25)*Calculateur!ER160*Calculateur!ET160*VLOOKUP('Données projet'!$B$15,Paramètres!$A$1:$I$89,3,0)*0.475*44/12</f>
        <v>1.4951043170374203</v>
      </c>
      <c r="EX160" s="21">
        <f>EXP(-LN(2)/2)*EX159+(1-EXP(-LN(2)/2))/(LN(2)/2)*ER160*EU160*VLOOKUP('Données projet'!$B$15,Paramètres!$A$1:$I$89,3,0)*0.475*44/12</f>
        <v>5.6725763804044449E-20</v>
      </c>
      <c r="EY160" s="22">
        <f t="shared" si="181"/>
        <v>50.813631134114544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1.7053025658242404E-13</v>
      </c>
      <c r="FF160" s="17">
        <f>FE160*VLOOKUP('Données projet'!$B$16,Paramètres!$A$1:$I$89,3,0)*VLOOKUP('Données projet'!$B$16,Paramètres!$A$1:$I$89,5,0)</f>
        <v>9.7631982498569413E-14</v>
      </c>
      <c r="FG160" s="13">
        <f t="shared" si="182"/>
        <v>1.4708068762530911E-12</v>
      </c>
      <c r="FH160" s="20">
        <f t="shared" si="183"/>
        <v>2.7316976789924749E-12</v>
      </c>
      <c r="FI160" s="59">
        <f t="shared" si="131"/>
        <v>293.33333333333604</v>
      </c>
      <c r="FJ160" s="59">
        <f ca="1">AVERAGE(OFFSET($FI$3,0,0,'Données projet'!$E$16+1,1))-AVERAGE(OFFSET($H$3,0,0,'Données projet'!$E$16+1,1))</f>
        <v>211.14768428403215</v>
      </c>
      <c r="FK160" s="59">
        <f t="shared" si="156"/>
        <v>350.7800157534798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6.7149334421661999</v>
      </c>
      <c r="FR160" s="21">
        <f>EXP(-LN(2)/25)*FR159+(1-EXP(-LN(2)/25))/(LN(2)/25)*Calculateur!FM160*Calculateur!FO160*VLOOKUP('Données projet'!$B$16,Paramètres!$A$1:$I$89,3,0)*0.475*44/12</f>
        <v>0.63605010748504331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7.350983549651243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138.02879999999996</v>
      </c>
      <c r="D161" s="11">
        <f t="shared" si="140"/>
        <v>35.845059256813073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1342.1841767192584</v>
      </c>
      <c r="H161" s="66">
        <f t="shared" si="110"/>
        <v>596.16363820561605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259.99999999999983</v>
      </c>
      <c r="O161" s="13">
        <f>N161*VLOOKUP('Données projet'!$B$9,Paramètres!$A$1:$I$89,3,0)*VLOOKUP('Données projet'!$B$9,Paramètres!$A$1:$I$89,5,0)</f>
        <v>227.13599999999985</v>
      </c>
      <c r="P161" s="13">
        <f t="shared" si="141"/>
        <v>55.662966886685133</v>
      </c>
      <c r="Q161" s="20">
        <f t="shared" si="162"/>
        <v>492.5415339943097</v>
      </c>
      <c r="R161" s="59">
        <f t="shared" si="109"/>
        <v>785.87486732764296</v>
      </c>
      <c r="S161" s="59">
        <f ca="1">AVERAGE(OFFSET($R$3,0,0,'Données projet'!$E$9+1,1))-AVERAGE(OFFSET($H$3,0,0,'Données projet'!$E$9+1,1))</f>
        <v>252.49539407921907</v>
      </c>
      <c r="T161" s="59">
        <f t="shared" si="142"/>
        <v>263.36387286233929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20.286020651529029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20.286020651529029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19.8100000000004</v>
      </c>
      <c r="AJ161" s="13">
        <f>AI161*VLOOKUP('Données projet'!$B$10,Paramètres!$A$1:$I$89,3,0)*VLOOKUP('Données projet'!$B$10,Paramètres!$A$1:$I$89,5,0)</f>
        <v>17.924088000000364</v>
      </c>
      <c r="AK161" s="13">
        <f t="shared" si="164"/>
        <v>5.9032212091029486</v>
      </c>
      <c r="AL161" s="20">
        <f t="shared" si="165"/>
        <v>41.499230205854936</v>
      </c>
      <c r="AM161" s="59">
        <f t="shared" si="113"/>
        <v>334.83256353918824</v>
      </c>
      <c r="AN161" s="59">
        <f ca="1">AVERAGE(OFFSET($AM$3,0,0,'Données projet'!$E$10+1,1))-AVERAGE(OFFSET($H$3,0,0,'Données projet'!$E$10+1,1))</f>
        <v>370.05613271587413</v>
      </c>
      <c r="AO161" s="59">
        <f t="shared" si="144"/>
        <v>183.24480056442525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162.32541546989347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162.32541546989347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19.8100000000004</v>
      </c>
      <c r="BE161" s="13">
        <f>BD161*VLOOKUP('Données projet'!$B$11,Paramètres!$A$1:$I$89,3,0)*VLOOKUP('Données projet'!$B$11,Paramètres!$A$1:$I$89,5,0)</f>
        <v>20.08734000000041</v>
      </c>
      <c r="BF161" s="13">
        <f t="shared" si="167"/>
        <v>6.5285137703520215</v>
      </c>
      <c r="BG161" s="20">
        <f t="shared" si="168"/>
        <v>46.355945316697152</v>
      </c>
      <c r="BH161" s="59">
        <f t="shared" si="116"/>
        <v>339.68927865003047</v>
      </c>
      <c r="BI161" s="59">
        <f ca="1">AVERAGE(OFFSET($BH$3,0,0,'Données projet'!$E$11+1,1))-AVERAGE(OFFSET($H$3,0,0,'Données projet'!$E$11+1,1))</f>
        <v>428.72181435671394</v>
      </c>
      <c r="BJ161" s="59">
        <f t="shared" si="146"/>
        <v>211.84936043087572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181.91641388867379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181.91641388867379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367.99999999999972</v>
      </c>
      <c r="BZ161" s="13">
        <f>BY161*VLOOKUP('Données projet'!$B$12,Paramètres!$A$1:$I$89,3,0)*VLOOKUP('Données projet'!$B$12,Paramètres!$A$1:$I$89,5,0)</f>
        <v>292.78079999999977</v>
      </c>
      <c r="CA161" s="13">
        <f t="shared" si="170"/>
        <v>69.660903052386217</v>
      </c>
      <c r="CB161" s="20">
        <f t="shared" si="171"/>
        <v>631.25263281623893</v>
      </c>
      <c r="CC161" s="59">
        <f t="shared" si="119"/>
        <v>924.58596614957219</v>
      </c>
      <c r="CD161" s="59">
        <f ca="1">AVERAGE(OFFSET($CC$3,0,0,'Données projet'!$E$12+1,1))-AVERAGE(OFFSET($H$3,0,0,'Données projet'!$E$12+1,1))</f>
        <v>296.737543892524</v>
      </c>
      <c r="CE161" s="59">
        <f t="shared" si="148"/>
        <v>296.38358650317099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13.150560685496899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13.150560685496899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474.99999999999994</v>
      </c>
      <c r="CU161" s="17">
        <f>CT161*VLOOKUP('Données projet'!$B$13,Paramètres!$A$1:$I$89,3,0)*VLOOKUP('Données projet'!$B$13,Paramètres!$A$1:$I$89,5,0)</f>
        <v>407.55</v>
      </c>
      <c r="CV161" s="13">
        <f t="shared" si="173"/>
        <v>93.305642095357683</v>
      </c>
      <c r="CW161" s="20">
        <f t="shared" si="174"/>
        <v>872.32357664941446</v>
      </c>
      <c r="CX161" s="59">
        <f t="shared" si="122"/>
        <v>1165.6569099827477</v>
      </c>
      <c r="CY161" s="59">
        <f ca="1">AVERAGE(OFFSET($CX$3,0,0,'Données projet'!$E$13+1,1))-AVERAGE(OFFSET($H$3,0,0,'Données projet'!$E$13+1,1))</f>
        <v>391.93999504334352</v>
      </c>
      <c r="CZ161" s="59">
        <f t="shared" si="150"/>
        <v>215.4484906985528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57.585812047823829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57.585812047823829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367.99999999999972</v>
      </c>
      <c r="DP161" s="17">
        <f>DO161*VLOOKUP('Données projet'!$B$14,Paramètres!$A$1:$I$89,3,0)*VLOOKUP('Données projet'!$B$14,Paramètres!$A$1:$I$89,5,0)</f>
        <v>269.8175999999998</v>
      </c>
      <c r="DQ161" s="13">
        <f t="shared" si="176"/>
        <v>64.810557882019467</v>
      </c>
      <c r="DR161" s="20">
        <f t="shared" si="177"/>
        <v>582.81070831118348</v>
      </c>
      <c r="DS161" s="59">
        <f t="shared" si="125"/>
        <v>876.14404164451685</v>
      </c>
      <c r="DT161" s="59">
        <f ca="1">AVERAGE(OFFSET($DS$3,0,0,'Données projet'!$E$14+1,1))-AVERAGE(OFFSET($H$3,0,0,'Données projet'!$E$14+1,1))</f>
        <v>267.92147257573157</v>
      </c>
      <c r="DU161" s="59">
        <f t="shared" si="152"/>
        <v>269.06662611892438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9.8325131873434124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9.8325131873434124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0.8600000000003547</v>
      </c>
      <c r="EK161" s="17">
        <f>EJ161*VLOOKUP('Données projet'!$B$15,Paramètres!$A$1:$I$89,3,0)*VLOOKUP('Données projet'!$B$15,Paramètres!$A$1:$I$89,5,0)</f>
        <v>0.48074000000019829</v>
      </c>
      <c r="EL161" s="13">
        <f t="shared" si="179"/>
        <v>0.24126147010950588</v>
      </c>
      <c r="EM161" s="20">
        <f t="shared" si="180"/>
        <v>1.2574858937744013</v>
      </c>
      <c r="EN161" s="59">
        <f t="shared" si="128"/>
        <v>294.59081922710772</v>
      </c>
      <c r="EO161" s="59">
        <f ca="1">AVERAGE(OFFSET($EN$3,0,0,'Données projet'!$E$15+1,1))-AVERAGE(OFFSET($H$3,0,0,'Données projet'!$E$15+1,1))</f>
        <v>326.29985515186428</v>
      </c>
      <c r="EP161" s="59">
        <f t="shared" si="154"/>
        <v>437.68177084535927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48.351420587525311</v>
      </c>
      <c r="EW161" s="21">
        <f>EXP(-LN(2)/25)*EW160+(1-EXP(-LN(2)/25))/(LN(2)/25)*Calculateur!ER161*Calculateur!ET161*VLOOKUP('Données projet'!$B$15,Paramètres!$A$1:$I$89,3,0)*0.475*44/12</f>
        <v>1.4542206108639131</v>
      </c>
      <c r="EX161" s="21">
        <f>EXP(-LN(2)/2)*EX160+(1-EXP(-LN(2)/2))/(LN(2)/2)*ER161*EU161*VLOOKUP('Données projet'!$B$15,Paramètres!$A$1:$I$89,3,0)*0.475*44/12</f>
        <v>4.0111172253826237E-20</v>
      </c>
      <c r="EY161" s="22">
        <f t="shared" si="181"/>
        <v>49.805641198389225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1.7053025658242404E-13</v>
      </c>
      <c r="FF161" s="17">
        <f>FE161*VLOOKUP('Données projet'!$B$16,Paramètres!$A$1:$I$89,3,0)*VLOOKUP('Données projet'!$B$16,Paramètres!$A$1:$I$89,5,0)</f>
        <v>9.7631982498569413E-14</v>
      </c>
      <c r="FG161" s="13">
        <f t="shared" si="182"/>
        <v>1.4708068762530911E-12</v>
      </c>
      <c r="FH161" s="20">
        <f t="shared" si="183"/>
        <v>2.7316976789924749E-12</v>
      </c>
      <c r="FI161" s="59">
        <f t="shared" si="131"/>
        <v>293.33333333333604</v>
      </c>
      <c r="FJ161" s="59">
        <f ca="1">AVERAGE(OFFSET($FI$3,0,0,'Données projet'!$E$16+1,1))-AVERAGE(OFFSET($H$3,0,0,'Données projet'!$E$16+1,1))</f>
        <v>211.14768428403215</v>
      </c>
      <c r="FK161" s="59">
        <f t="shared" si="156"/>
        <v>350.7800157534798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6.5832576930703031</v>
      </c>
      <c r="FR161" s="21">
        <f>EXP(-LN(2)/25)*FR160+(1-EXP(-LN(2)/25))/(LN(2)/25)*Calculateur!FM161*Calculateur!FO161*VLOOKUP('Données projet'!$B$16,Paramètres!$A$1:$I$89,3,0)*0.475*44/12</f>
        <v>0.61865728384744334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7.2019149769177462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138.90239999999997</v>
      </c>
      <c r="D162" s="11">
        <f t="shared" si="140"/>
        <v>36.045445680666425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1350.4745982367231</v>
      </c>
      <c r="H162" s="66">
        <f t="shared" si="110"/>
        <v>598.03416456049399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259.99999999999983</v>
      </c>
      <c r="O162" s="13">
        <f>N162*VLOOKUP('Données projet'!$B$9,Paramètres!$A$1:$I$89,3,0)*VLOOKUP('Données projet'!$B$9,Paramètres!$A$1:$I$89,5,0)</f>
        <v>227.13599999999985</v>
      </c>
      <c r="P162" s="13">
        <f t="shared" si="141"/>
        <v>55.662966886685133</v>
      </c>
      <c r="Q162" s="20">
        <f t="shared" si="162"/>
        <v>492.5415339943097</v>
      </c>
      <c r="R162" s="59">
        <f t="shared" si="109"/>
        <v>785.87486732764296</v>
      </c>
      <c r="S162" s="59">
        <f ca="1">AVERAGE(OFFSET($R$3,0,0,'Données projet'!$E$9+1,1))-AVERAGE(OFFSET($H$3,0,0,'Données projet'!$E$9+1,1))</f>
        <v>252.49539407921907</v>
      </c>
      <c r="T162" s="59">
        <f t="shared" si="142"/>
        <v>263.36387286233929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19.888224159803386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19.888224159803386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19.8100000000004</v>
      </c>
      <c r="AJ162" s="13">
        <f>AI162*VLOOKUP('Données projet'!$B$10,Paramètres!$A$1:$I$89,3,0)*VLOOKUP('Données projet'!$B$10,Paramètres!$A$1:$I$89,5,0)</f>
        <v>17.924088000000364</v>
      </c>
      <c r="AK162" s="13">
        <f t="shared" si="164"/>
        <v>5.9032212091029486</v>
      </c>
      <c r="AL162" s="20">
        <f t="shared" si="165"/>
        <v>41.499230205854936</v>
      </c>
      <c r="AM162" s="59">
        <f t="shared" si="113"/>
        <v>334.83256353918824</v>
      </c>
      <c r="AN162" s="59">
        <f ca="1">AVERAGE(OFFSET($AM$3,0,0,'Données projet'!$E$10+1,1))-AVERAGE(OFFSET($H$3,0,0,'Données projet'!$E$10+1,1))</f>
        <v>370.05613271587413</v>
      </c>
      <c r="AO162" s="59">
        <f t="shared" si="144"/>
        <v>183.24480056442525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159.14231308125599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159.14231308125599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19.8100000000004</v>
      </c>
      <c r="BE162" s="13">
        <f>BD162*VLOOKUP('Données projet'!$B$11,Paramètres!$A$1:$I$89,3,0)*VLOOKUP('Données projet'!$B$11,Paramètres!$A$1:$I$89,5,0)</f>
        <v>20.08734000000041</v>
      </c>
      <c r="BF162" s="13">
        <f t="shared" si="167"/>
        <v>6.5285137703520215</v>
      </c>
      <c r="BG162" s="20">
        <f t="shared" si="168"/>
        <v>46.355945316697152</v>
      </c>
      <c r="BH162" s="59">
        <f t="shared" si="116"/>
        <v>339.68927865003047</v>
      </c>
      <c r="BI162" s="59">
        <f ca="1">AVERAGE(OFFSET($BH$3,0,0,'Données projet'!$E$11+1,1))-AVERAGE(OFFSET($H$3,0,0,'Données projet'!$E$11+1,1))</f>
        <v>428.72181435671394</v>
      </c>
      <c r="BJ162" s="59">
        <f t="shared" si="146"/>
        <v>211.84936043087572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178.34914397037318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178.34914397037318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367.99999999999972</v>
      </c>
      <c r="BZ162" s="13">
        <f>BY162*VLOOKUP('Données projet'!$B$12,Paramètres!$A$1:$I$89,3,0)*VLOOKUP('Données projet'!$B$12,Paramètres!$A$1:$I$89,5,0)</f>
        <v>292.78079999999977</v>
      </c>
      <c r="CA162" s="13">
        <f t="shared" si="170"/>
        <v>69.660903052386217</v>
      </c>
      <c r="CB162" s="20">
        <f t="shared" si="171"/>
        <v>631.25263281623893</v>
      </c>
      <c r="CC162" s="59">
        <f t="shared" si="119"/>
        <v>924.58596614957219</v>
      </c>
      <c r="CD162" s="59">
        <f ca="1">AVERAGE(OFFSET($CC$3,0,0,'Données projet'!$E$12+1,1))-AVERAGE(OFFSET($H$3,0,0,'Données projet'!$E$12+1,1))</f>
        <v>296.737543892524</v>
      </c>
      <c r="CE162" s="59">
        <f t="shared" si="148"/>
        <v>296.38358650317099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12.89268621150431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12.89268621150431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474.99999999999994</v>
      </c>
      <c r="CU162" s="17">
        <f>CT162*VLOOKUP('Données projet'!$B$13,Paramètres!$A$1:$I$89,3,0)*VLOOKUP('Données projet'!$B$13,Paramètres!$A$1:$I$89,5,0)</f>
        <v>407.55</v>
      </c>
      <c r="CV162" s="13">
        <f t="shared" si="173"/>
        <v>93.305642095357683</v>
      </c>
      <c r="CW162" s="20">
        <f t="shared" si="174"/>
        <v>872.32357664941446</v>
      </c>
      <c r="CX162" s="59">
        <f t="shared" si="122"/>
        <v>1165.6569099827477</v>
      </c>
      <c r="CY162" s="59">
        <f ca="1">AVERAGE(OFFSET($CX$3,0,0,'Données projet'!$E$13+1,1))-AVERAGE(OFFSET($H$3,0,0,'Données projet'!$E$13+1,1))</f>
        <v>391.93999504334352</v>
      </c>
      <c r="CZ162" s="59">
        <f t="shared" si="150"/>
        <v>215.4484906985528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56.45658939744316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56.45658939744316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367.99999999999972</v>
      </c>
      <c r="DP162" s="17">
        <f>DO162*VLOOKUP('Données projet'!$B$14,Paramètres!$A$1:$I$89,3,0)*VLOOKUP('Données projet'!$B$14,Paramètres!$A$1:$I$89,5,0)</f>
        <v>269.8175999999998</v>
      </c>
      <c r="DQ162" s="13">
        <f t="shared" si="176"/>
        <v>64.810557882019467</v>
      </c>
      <c r="DR162" s="20">
        <f t="shared" si="177"/>
        <v>582.81070831118348</v>
      </c>
      <c r="DS162" s="59">
        <f t="shared" si="125"/>
        <v>876.14404164451685</v>
      </c>
      <c r="DT162" s="59">
        <f ca="1">AVERAGE(OFFSET($DS$3,0,0,'Données projet'!$E$14+1,1))-AVERAGE(OFFSET($H$3,0,0,'Données projet'!$E$14+1,1))</f>
        <v>267.92147257573157</v>
      </c>
      <c r="DU162" s="59">
        <f t="shared" si="152"/>
        <v>269.06662611892438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9.6397036009804733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9.6397036009804733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0.8600000000003547</v>
      </c>
      <c r="EK162" s="17">
        <f>EJ162*VLOOKUP('Données projet'!$B$15,Paramètres!$A$1:$I$89,3,0)*VLOOKUP('Données projet'!$B$15,Paramètres!$A$1:$I$89,5,0)</f>
        <v>0.48074000000019829</v>
      </c>
      <c r="EL162" s="13">
        <f t="shared" si="179"/>
        <v>0.24126147010950588</v>
      </c>
      <c r="EM162" s="20">
        <f t="shared" si="180"/>
        <v>1.2574858937744013</v>
      </c>
      <c r="EN162" s="59">
        <f t="shared" si="128"/>
        <v>294.59081922710772</v>
      </c>
      <c r="EO162" s="59">
        <f ca="1">AVERAGE(OFFSET($EN$3,0,0,'Données projet'!$E$15+1,1))-AVERAGE(OFFSET($H$3,0,0,'Données projet'!$E$15+1,1))</f>
        <v>326.29985515186428</v>
      </c>
      <c r="EP162" s="59">
        <f t="shared" si="154"/>
        <v>437.68177084535927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47.403278721258459</v>
      </c>
      <c r="EW162" s="21">
        <f>EXP(-LN(2)/25)*EW161+(1-EXP(-LN(2)/25))/(LN(2)/25)*Calculateur!ER162*Calculateur!ET162*VLOOKUP('Données projet'!$B$15,Paramètres!$A$1:$I$89,3,0)*0.475*44/12</f>
        <v>1.4144548717857011</v>
      </c>
      <c r="EX162" s="21">
        <f>EXP(-LN(2)/2)*EX161+(1-EXP(-LN(2)/2))/(LN(2)/2)*ER162*EU162*VLOOKUP('Données projet'!$B$15,Paramètres!$A$1:$I$89,3,0)*0.475*44/12</f>
        <v>2.8362881902022224E-20</v>
      </c>
      <c r="EY162" s="22">
        <f t="shared" si="181"/>
        <v>48.81773359304416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1.7053025658242404E-13</v>
      </c>
      <c r="FF162" s="17">
        <f>FE162*VLOOKUP('Données projet'!$B$16,Paramètres!$A$1:$I$89,3,0)*VLOOKUP('Données projet'!$B$16,Paramètres!$A$1:$I$89,5,0)</f>
        <v>9.7631982498569413E-14</v>
      </c>
      <c r="FG162" s="13">
        <f t="shared" si="182"/>
        <v>1.4708068762530911E-12</v>
      </c>
      <c r="FH162" s="20">
        <f t="shared" si="183"/>
        <v>2.7316976789924749E-12</v>
      </c>
      <c r="FI162" s="59">
        <f t="shared" si="131"/>
        <v>293.33333333333604</v>
      </c>
      <c r="FJ162" s="59">
        <f ca="1">AVERAGE(OFFSET($FI$3,0,0,'Données projet'!$E$16+1,1))-AVERAGE(OFFSET($H$3,0,0,'Données projet'!$E$16+1,1))</f>
        <v>211.14768428403215</v>
      </c>
      <c r="FK162" s="59">
        <f t="shared" si="156"/>
        <v>350.7800157534798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6.4541640250999004</v>
      </c>
      <c r="FR162" s="21">
        <f>EXP(-LN(2)/25)*FR161+(1-EXP(-LN(2)/25))/(LN(2)/25)*Calculateur!FM162*Calculateur!FO162*VLOOKUP('Données projet'!$B$16,Paramètres!$A$1:$I$89,3,0)*0.475*44/12</f>
        <v>0.60174006788686241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7.0559040929867631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139.77599999999998</v>
      </c>
      <c r="D163" s="11">
        <f t="shared" si="140"/>
        <v>36.245685459195286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1358.7638877551917</v>
      </c>
      <c r="H163" s="66">
        <f t="shared" si="110"/>
        <v>599.90443550809846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259.99999999999983</v>
      </c>
      <c r="O163" s="13">
        <f>N163*VLOOKUP('Données projet'!$B$9,Paramètres!$A$1:$I$89,3,0)*VLOOKUP('Données projet'!$B$9,Paramètres!$A$1:$I$89,5,0)</f>
        <v>227.13599999999985</v>
      </c>
      <c r="P163" s="13">
        <f t="shared" si="141"/>
        <v>55.662966886685133</v>
      </c>
      <c r="Q163" s="20">
        <f t="shared" si="162"/>
        <v>492.5415339943097</v>
      </c>
      <c r="R163" s="59">
        <f t="shared" si="109"/>
        <v>785.87486732764296</v>
      </c>
      <c r="S163" s="59">
        <f ca="1">AVERAGE(OFFSET($R$3,0,0,'Données projet'!$E$9+1,1))-AVERAGE(OFFSET($H$3,0,0,'Données projet'!$E$9+1,1))</f>
        <v>252.49539407921907</v>
      </c>
      <c r="T163" s="59">
        <f t="shared" si="142"/>
        <v>263.36387286233929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19.498228214648581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19.498228214648581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19.8100000000004</v>
      </c>
      <c r="AJ163" s="13">
        <f>AI163*VLOOKUP('Données projet'!$B$10,Paramètres!$A$1:$I$89,3,0)*VLOOKUP('Données projet'!$B$10,Paramètres!$A$1:$I$89,5,0)</f>
        <v>17.924088000000364</v>
      </c>
      <c r="AK163" s="13">
        <f t="shared" si="164"/>
        <v>5.9032212091029486</v>
      </c>
      <c r="AL163" s="20">
        <f t="shared" si="165"/>
        <v>41.499230205854936</v>
      </c>
      <c r="AM163" s="59">
        <f t="shared" si="113"/>
        <v>334.83256353918824</v>
      </c>
      <c r="AN163" s="59">
        <f ca="1">AVERAGE(OFFSET($AM$3,0,0,'Données projet'!$E$10+1,1))-AVERAGE(OFFSET($H$3,0,0,'Données projet'!$E$10+1,1))</f>
        <v>370.05613271587413</v>
      </c>
      <c r="AO163" s="59">
        <f t="shared" si="144"/>
        <v>183.24480056442525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156.02162938895896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156.02162938895896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19.8100000000004</v>
      </c>
      <c r="BE163" s="13">
        <f>BD163*VLOOKUP('Données projet'!$B$11,Paramètres!$A$1:$I$89,3,0)*VLOOKUP('Données projet'!$B$11,Paramètres!$A$1:$I$89,5,0)</f>
        <v>20.08734000000041</v>
      </c>
      <c r="BF163" s="13">
        <f t="shared" si="167"/>
        <v>6.5285137703520215</v>
      </c>
      <c r="BG163" s="20">
        <f t="shared" si="168"/>
        <v>46.355945316697152</v>
      </c>
      <c r="BH163" s="59">
        <f t="shared" si="116"/>
        <v>339.68927865003047</v>
      </c>
      <c r="BI163" s="59">
        <f ca="1">AVERAGE(OFFSET($BH$3,0,0,'Données projet'!$E$11+1,1))-AVERAGE(OFFSET($H$3,0,0,'Données projet'!$E$11+1,1))</f>
        <v>428.72181435671394</v>
      </c>
      <c r="BJ163" s="59">
        <f t="shared" si="146"/>
        <v>211.84936043087572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174.85182603935064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174.85182603935064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367.99999999999972</v>
      </c>
      <c r="BZ163" s="13">
        <f>BY163*VLOOKUP('Données projet'!$B$12,Paramètres!$A$1:$I$89,3,0)*VLOOKUP('Données projet'!$B$12,Paramètres!$A$1:$I$89,5,0)</f>
        <v>292.78079999999977</v>
      </c>
      <c r="CA163" s="13">
        <f t="shared" si="170"/>
        <v>69.660903052386217</v>
      </c>
      <c r="CB163" s="20">
        <f t="shared" si="171"/>
        <v>631.25263281623893</v>
      </c>
      <c r="CC163" s="59">
        <f t="shared" si="119"/>
        <v>924.58596614957219</v>
      </c>
      <c r="CD163" s="59">
        <f ca="1">AVERAGE(OFFSET($CC$3,0,0,'Données projet'!$E$12+1,1))-AVERAGE(OFFSET($H$3,0,0,'Données projet'!$E$12+1,1))</f>
        <v>296.737543892524</v>
      </c>
      <c r="CE163" s="59">
        <f t="shared" si="148"/>
        <v>296.38358650317099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12.639868498658817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12.639868498658817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474.99999999999994</v>
      </c>
      <c r="CU163" s="17">
        <f>CT163*VLOOKUP('Données projet'!$B$13,Paramètres!$A$1:$I$89,3,0)*VLOOKUP('Données projet'!$B$13,Paramètres!$A$1:$I$89,5,0)</f>
        <v>407.55</v>
      </c>
      <c r="CV163" s="13">
        <f t="shared" si="173"/>
        <v>93.305642095357683</v>
      </c>
      <c r="CW163" s="20">
        <f t="shared" si="174"/>
        <v>872.32357664941446</v>
      </c>
      <c r="CX163" s="59">
        <f t="shared" si="122"/>
        <v>1165.6569099827477</v>
      </c>
      <c r="CY163" s="59">
        <f ca="1">AVERAGE(OFFSET($CX$3,0,0,'Données projet'!$E$13+1,1))-AVERAGE(OFFSET($H$3,0,0,'Données projet'!$E$13+1,1))</f>
        <v>391.93999504334352</v>
      </c>
      <c r="CZ163" s="59">
        <f t="shared" si="150"/>
        <v>215.4484906985528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55.349510114478647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55.349510114478647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367.99999999999972</v>
      </c>
      <c r="DP163" s="17">
        <f>DO163*VLOOKUP('Données projet'!$B$14,Paramètres!$A$1:$I$89,3,0)*VLOOKUP('Données projet'!$B$14,Paramètres!$A$1:$I$89,5,0)</f>
        <v>269.8175999999998</v>
      </c>
      <c r="DQ163" s="13">
        <f t="shared" si="176"/>
        <v>64.810557882019467</v>
      </c>
      <c r="DR163" s="20">
        <f t="shared" si="177"/>
        <v>582.81070831118348</v>
      </c>
      <c r="DS163" s="59">
        <f t="shared" si="125"/>
        <v>876.14404164451685</v>
      </c>
      <c r="DT163" s="59">
        <f ca="1">AVERAGE(OFFSET($DS$3,0,0,'Données projet'!$E$14+1,1))-AVERAGE(OFFSET($H$3,0,0,'Données projet'!$E$14+1,1))</f>
        <v>267.92147257573157</v>
      </c>
      <c r="DU163" s="59">
        <f t="shared" si="152"/>
        <v>269.06662611892438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9.4506748930038764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9.4506748930038764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0.8600000000003547</v>
      </c>
      <c r="EK163" s="17">
        <f>EJ163*VLOOKUP('Données projet'!$B$15,Paramètres!$A$1:$I$89,3,0)*VLOOKUP('Données projet'!$B$15,Paramètres!$A$1:$I$89,5,0)</f>
        <v>0.48074000000019829</v>
      </c>
      <c r="EL163" s="13">
        <f t="shared" si="179"/>
        <v>0.24126147010950588</v>
      </c>
      <c r="EM163" s="20">
        <f t="shared" si="180"/>
        <v>1.2574858937744013</v>
      </c>
      <c r="EN163" s="59">
        <f t="shared" si="128"/>
        <v>294.59081922710772</v>
      </c>
      <c r="EO163" s="59">
        <f ca="1">AVERAGE(OFFSET($EN$3,0,0,'Données projet'!$E$15+1,1))-AVERAGE(OFFSET($H$3,0,0,'Données projet'!$E$15+1,1))</f>
        <v>326.29985515186428</v>
      </c>
      <c r="EP163" s="59">
        <f t="shared" si="154"/>
        <v>437.68177084535927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46.473729338679668</v>
      </c>
      <c r="EW163" s="21">
        <f>EXP(-LN(2)/25)*EW162+(1-EXP(-LN(2)/25))/(LN(2)/25)*Calculateur!ER163*Calculateur!ET163*VLOOKUP('Données projet'!$B$15,Paramètres!$A$1:$I$89,3,0)*0.475*44/12</f>
        <v>1.3757765289337722</v>
      </c>
      <c r="EX163" s="21">
        <f>EXP(-LN(2)/2)*EX162+(1-EXP(-LN(2)/2))/(LN(2)/2)*ER163*EU163*VLOOKUP('Données projet'!$B$15,Paramètres!$A$1:$I$89,3,0)*0.475*44/12</f>
        <v>2.0055586126913119E-20</v>
      </c>
      <c r="EY163" s="22">
        <f t="shared" si="181"/>
        <v>47.849505867613438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1.7053025658242404E-13</v>
      </c>
      <c r="FF163" s="17">
        <f>FE163*VLOOKUP('Données projet'!$B$16,Paramètres!$A$1:$I$89,3,0)*VLOOKUP('Données projet'!$B$16,Paramètres!$A$1:$I$89,5,0)</f>
        <v>9.7631982498569413E-14</v>
      </c>
      <c r="FG163" s="13">
        <f t="shared" si="182"/>
        <v>1.4708068762530911E-12</v>
      </c>
      <c r="FH163" s="20">
        <f t="shared" si="183"/>
        <v>2.7316976789924749E-12</v>
      </c>
      <c r="FI163" s="59">
        <f t="shared" si="131"/>
        <v>293.33333333333604</v>
      </c>
      <c r="FJ163" s="59">
        <f ca="1">AVERAGE(OFFSET($FI$3,0,0,'Données projet'!$E$16+1,1))-AVERAGE(OFFSET($H$3,0,0,'Données projet'!$E$16+1,1))</f>
        <v>211.14768428403215</v>
      </c>
      <c r="FK163" s="59">
        <f t="shared" si="156"/>
        <v>350.7800157534798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6.327601805219035</v>
      </c>
      <c r="FR163" s="21">
        <f>EXP(-LN(2)/25)*FR162+(1-EXP(-LN(2)/25))/(LN(2)/25)*Calculateur!FM163*Calculateur!FO163*VLOOKUP('Données projet'!$B$16,Paramètres!$A$1:$I$89,3,0)*0.475*44/12</f>
        <v>0.58528545408636123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6.9128872593053963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140.64959999999999</v>
      </c>
      <c r="D164" s="11">
        <f t="shared" si="140"/>
        <v>36.445779615258601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1367.0520531704171</v>
      </c>
      <c r="H164" s="66">
        <f t="shared" si="110"/>
        <v>601.77445282990868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259.99999999999983</v>
      </c>
      <c r="O164" s="13">
        <f>N164*VLOOKUP('Données projet'!$B$9,Paramètres!$A$1:$I$89,3,0)*VLOOKUP('Données projet'!$B$9,Paramètres!$A$1:$I$89,5,0)</f>
        <v>227.13599999999985</v>
      </c>
      <c r="P164" s="13">
        <f t="shared" si="141"/>
        <v>55.662966886685133</v>
      </c>
      <c r="Q164" s="20">
        <f t="shared" si="162"/>
        <v>492.5415339943097</v>
      </c>
      <c r="R164" s="59">
        <f t="shared" si="109"/>
        <v>785.87486732764296</v>
      </c>
      <c r="S164" s="59">
        <f ca="1">AVERAGE(OFFSET($R$3,0,0,'Données projet'!$E$9+1,1))-AVERAGE(OFFSET($H$3,0,0,'Données projet'!$E$9+1,1))</f>
        <v>252.49539407921907</v>
      </c>
      <c r="T164" s="59">
        <f t="shared" si="142"/>
        <v>263.36387286233929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19.115879852104221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19.115879852104221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19.8100000000004</v>
      </c>
      <c r="AJ164" s="13">
        <f>AI164*VLOOKUP('Données projet'!$B$10,Paramètres!$A$1:$I$89,3,0)*VLOOKUP('Données projet'!$B$10,Paramètres!$A$1:$I$89,5,0)</f>
        <v>17.924088000000364</v>
      </c>
      <c r="AK164" s="13">
        <f t="shared" si="164"/>
        <v>5.9032212091029486</v>
      </c>
      <c r="AL164" s="20">
        <f t="shared" si="165"/>
        <v>41.499230205854936</v>
      </c>
      <c r="AM164" s="59">
        <f t="shared" si="113"/>
        <v>334.83256353918824</v>
      </c>
      <c r="AN164" s="59">
        <f ca="1">AVERAGE(OFFSET($AM$3,0,0,'Données projet'!$E$10+1,1))-AVERAGE(OFFSET($H$3,0,0,'Données projet'!$E$10+1,1))</f>
        <v>370.05613271587413</v>
      </c>
      <c r="AO164" s="59">
        <f t="shared" si="144"/>
        <v>183.24480056442525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152.96214040043876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152.96214040043876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19.8100000000004</v>
      </c>
      <c r="BE164" s="13">
        <f>BD164*VLOOKUP('Données projet'!$B$11,Paramètres!$A$1:$I$89,3,0)*VLOOKUP('Données projet'!$B$11,Paramètres!$A$1:$I$89,5,0)</f>
        <v>20.08734000000041</v>
      </c>
      <c r="BF164" s="13">
        <f t="shared" si="167"/>
        <v>6.5285137703520215</v>
      </c>
      <c r="BG164" s="20">
        <f t="shared" si="168"/>
        <v>46.355945316697152</v>
      </c>
      <c r="BH164" s="59">
        <f t="shared" si="116"/>
        <v>339.68927865003047</v>
      </c>
      <c r="BI164" s="59">
        <f ca="1">AVERAGE(OFFSET($BH$3,0,0,'Données projet'!$E$11+1,1))-AVERAGE(OFFSET($H$3,0,0,'Données projet'!$E$11+1,1))</f>
        <v>428.72181435671394</v>
      </c>
      <c r="BJ164" s="59">
        <f t="shared" si="146"/>
        <v>211.84936043087572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171.42308837980212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171.42308837980212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367.99999999999972</v>
      </c>
      <c r="BZ164" s="13">
        <f>BY164*VLOOKUP('Données projet'!$B$12,Paramètres!$A$1:$I$89,3,0)*VLOOKUP('Données projet'!$B$12,Paramètres!$A$1:$I$89,5,0)</f>
        <v>292.78079999999977</v>
      </c>
      <c r="CA164" s="13">
        <f t="shared" si="170"/>
        <v>69.660903052386217</v>
      </c>
      <c r="CB164" s="20">
        <f t="shared" si="171"/>
        <v>631.25263281623893</v>
      </c>
      <c r="CC164" s="59">
        <f t="shared" si="119"/>
        <v>924.58596614957219</v>
      </c>
      <c r="CD164" s="59">
        <f ca="1">AVERAGE(OFFSET($CC$3,0,0,'Données projet'!$E$12+1,1))-AVERAGE(OFFSET($H$3,0,0,'Données projet'!$E$12+1,1))</f>
        <v>296.737543892524</v>
      </c>
      <c r="CE164" s="59">
        <f t="shared" si="148"/>
        <v>296.38358650317099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12.392008386958647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12.392008386958647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474.99999999999994</v>
      </c>
      <c r="CU164" s="17">
        <f>CT164*VLOOKUP('Données projet'!$B$13,Paramètres!$A$1:$I$89,3,0)*VLOOKUP('Données projet'!$B$13,Paramètres!$A$1:$I$89,5,0)</f>
        <v>407.55</v>
      </c>
      <c r="CV164" s="13">
        <f t="shared" si="173"/>
        <v>93.305642095357683</v>
      </c>
      <c r="CW164" s="20">
        <f t="shared" si="174"/>
        <v>872.32357664941446</v>
      </c>
      <c r="CX164" s="59">
        <f t="shared" si="122"/>
        <v>1165.6569099827477</v>
      </c>
      <c r="CY164" s="59">
        <f ca="1">AVERAGE(OFFSET($CX$3,0,0,'Données projet'!$E$13+1,1))-AVERAGE(OFFSET($H$3,0,0,'Données projet'!$E$13+1,1))</f>
        <v>391.93999504334352</v>
      </c>
      <c r="CZ164" s="59">
        <f t="shared" si="150"/>
        <v>215.4484906985528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54.264139981001378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54.264139981001378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367.99999999999972</v>
      </c>
      <c r="DP164" s="17">
        <f>DO164*VLOOKUP('Données projet'!$B$14,Paramètres!$A$1:$I$89,3,0)*VLOOKUP('Données projet'!$B$14,Paramètres!$A$1:$I$89,5,0)</f>
        <v>269.8175999999998</v>
      </c>
      <c r="DQ164" s="13">
        <f t="shared" si="176"/>
        <v>64.810557882019467</v>
      </c>
      <c r="DR164" s="20">
        <f t="shared" si="177"/>
        <v>582.81070831118348</v>
      </c>
      <c r="DS164" s="59">
        <f t="shared" si="125"/>
        <v>876.14404164451685</v>
      </c>
      <c r="DT164" s="59">
        <f ca="1">AVERAGE(OFFSET($DS$3,0,0,'Données projet'!$E$14+1,1))-AVERAGE(OFFSET($H$3,0,0,'Données projet'!$E$14+1,1))</f>
        <v>267.92147257573157</v>
      </c>
      <c r="DU164" s="59">
        <f t="shared" si="152"/>
        <v>269.06662611892438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9.2653529226945732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9.2653529226945732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0.8600000000003547</v>
      </c>
      <c r="EK164" s="17">
        <f>EJ164*VLOOKUP('Données projet'!$B$15,Paramètres!$A$1:$I$89,3,0)*VLOOKUP('Données projet'!$B$15,Paramètres!$A$1:$I$89,5,0)</f>
        <v>0.48074000000019829</v>
      </c>
      <c r="EL164" s="13">
        <f t="shared" si="179"/>
        <v>0.24126147010950588</v>
      </c>
      <c r="EM164" s="20">
        <f t="shared" si="180"/>
        <v>1.2574858937744013</v>
      </c>
      <c r="EN164" s="59">
        <f t="shared" si="128"/>
        <v>294.59081922710772</v>
      </c>
      <c r="EO164" s="59">
        <f ca="1">AVERAGE(OFFSET($EN$3,0,0,'Données projet'!$E$15+1,1))-AVERAGE(OFFSET($H$3,0,0,'Données projet'!$E$15+1,1))</f>
        <v>326.29985515186428</v>
      </c>
      <c r="EP164" s="59">
        <f t="shared" si="154"/>
        <v>437.68177084535927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45.562407852524103</v>
      </c>
      <c r="EW164" s="21">
        <f>EXP(-LN(2)/25)*EW163+(1-EXP(-LN(2)/25))/(LN(2)/25)*Calculateur!ER164*Calculateur!ET164*VLOOKUP('Données projet'!$B$15,Paramètres!$A$1:$I$89,3,0)*0.475*44/12</f>
        <v>1.338155847401135</v>
      </c>
      <c r="EX164" s="21">
        <f>EXP(-LN(2)/2)*EX163+(1-EXP(-LN(2)/2))/(LN(2)/2)*ER164*EU164*VLOOKUP('Données projet'!$B$15,Paramètres!$A$1:$I$89,3,0)*0.475*44/12</f>
        <v>1.4181440951011112E-20</v>
      </c>
      <c r="EY164" s="22">
        <f t="shared" si="181"/>
        <v>46.900563699925236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1.7053025658242404E-13</v>
      </c>
      <c r="FF164" s="17">
        <f>FE164*VLOOKUP('Données projet'!$B$16,Paramètres!$A$1:$I$89,3,0)*VLOOKUP('Données projet'!$B$16,Paramètres!$A$1:$I$89,5,0)</f>
        <v>9.7631982498569413E-14</v>
      </c>
      <c r="FG164" s="13">
        <f t="shared" si="182"/>
        <v>1.4708068762530911E-12</v>
      </c>
      <c r="FH164" s="20">
        <f t="shared" si="183"/>
        <v>2.7316976789924749E-12</v>
      </c>
      <c r="FI164" s="59">
        <f t="shared" si="131"/>
        <v>293.33333333333604</v>
      </c>
      <c r="FJ164" s="59">
        <f ca="1">AVERAGE(OFFSET($FI$3,0,0,'Données projet'!$E$16+1,1))-AVERAGE(OFFSET($H$3,0,0,'Données projet'!$E$16+1,1))</f>
        <v>211.14768428403215</v>
      </c>
      <c r="FK164" s="59">
        <f t="shared" si="156"/>
        <v>350.7800157534798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6.2035213932747011</v>
      </c>
      <c r="FR164" s="21">
        <f>EXP(-LN(2)/25)*FR163+(1-EXP(-LN(2)/25))/(LN(2)/25)*Calculateur!FM164*Calculateur!FO164*VLOOKUP('Données projet'!$B$16,Paramètres!$A$1:$I$89,3,0)*0.475*44/12</f>
        <v>0.56928079256554531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6.7728021858402467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141.5232</v>
      </c>
      <c r="D165" s="11">
        <f t="shared" si="140"/>
        <v>36.645729158274158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1375.339102274397</v>
      </c>
      <c r="H165" s="66">
        <f t="shared" si="110"/>
        <v>603.64421828399406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259.99999999999983</v>
      </c>
      <c r="O165" s="13">
        <f>N165*VLOOKUP('Données projet'!$B$9,Paramètres!$A$1:$I$89,3,0)*VLOOKUP('Données projet'!$B$9,Paramètres!$A$1:$I$89,5,0)</f>
        <v>227.13599999999985</v>
      </c>
      <c r="P165" s="13">
        <f t="shared" si="141"/>
        <v>55.662966886685133</v>
      </c>
      <c r="Q165" s="20">
        <f t="shared" si="162"/>
        <v>492.5415339943097</v>
      </c>
      <c r="R165" s="59">
        <f t="shared" si="109"/>
        <v>785.87486732764296</v>
      </c>
      <c r="S165" s="59">
        <f ca="1">AVERAGE(OFFSET($R$3,0,0,'Données projet'!$E$9+1,1))-AVERAGE(OFFSET($H$3,0,0,'Données projet'!$E$9+1,1))</f>
        <v>252.49539407921907</v>
      </c>
      <c r="T165" s="59">
        <f t="shared" si="142"/>
        <v>263.36387286233929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18.741029107739884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18.741029107739884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19.8100000000004</v>
      </c>
      <c r="AJ165" s="13">
        <f>AI165*VLOOKUP('Données projet'!$B$10,Paramètres!$A$1:$I$89,3,0)*VLOOKUP('Données projet'!$B$10,Paramètres!$A$1:$I$89,5,0)</f>
        <v>17.924088000000364</v>
      </c>
      <c r="AK165" s="13">
        <f t="shared" si="164"/>
        <v>5.9032212091029486</v>
      </c>
      <c r="AL165" s="20">
        <f t="shared" si="165"/>
        <v>41.499230205854936</v>
      </c>
      <c r="AM165" s="59">
        <f t="shared" si="113"/>
        <v>334.83256353918824</v>
      </c>
      <c r="AN165" s="59">
        <f ca="1">AVERAGE(OFFSET($AM$3,0,0,'Données projet'!$E$10+1,1))-AVERAGE(OFFSET($H$3,0,0,'Données projet'!$E$10+1,1))</f>
        <v>370.05613271587413</v>
      </c>
      <c r="AO165" s="59">
        <f t="shared" si="144"/>
        <v>183.24480056442525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149.96264612487943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149.96264612487943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19.8100000000004</v>
      </c>
      <c r="BE165" s="13">
        <f>BD165*VLOOKUP('Données projet'!$B$11,Paramètres!$A$1:$I$89,3,0)*VLOOKUP('Données projet'!$B$11,Paramètres!$A$1:$I$89,5,0)</f>
        <v>20.08734000000041</v>
      </c>
      <c r="BF165" s="13">
        <f t="shared" si="167"/>
        <v>6.5285137703520215</v>
      </c>
      <c r="BG165" s="20">
        <f t="shared" si="168"/>
        <v>46.355945316697152</v>
      </c>
      <c r="BH165" s="59">
        <f t="shared" si="116"/>
        <v>339.68927865003047</v>
      </c>
      <c r="BI165" s="59">
        <f ca="1">AVERAGE(OFFSET($BH$3,0,0,'Données projet'!$E$11+1,1))-AVERAGE(OFFSET($H$3,0,0,'Données projet'!$E$11+1,1))</f>
        <v>428.72181435671394</v>
      </c>
      <c r="BJ165" s="59">
        <f t="shared" si="146"/>
        <v>211.84936043087572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168.0615861744339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168.0615861744339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367.99999999999972</v>
      </c>
      <c r="BZ165" s="13">
        <f>BY165*VLOOKUP('Données projet'!$B$12,Paramètres!$A$1:$I$89,3,0)*VLOOKUP('Données projet'!$B$12,Paramètres!$A$1:$I$89,5,0)</f>
        <v>292.78079999999977</v>
      </c>
      <c r="CA165" s="13">
        <f t="shared" si="170"/>
        <v>69.660903052386217</v>
      </c>
      <c r="CB165" s="20">
        <f t="shared" si="171"/>
        <v>631.25263281623893</v>
      </c>
      <c r="CC165" s="59">
        <f t="shared" si="119"/>
        <v>924.58596614957219</v>
      </c>
      <c r="CD165" s="59">
        <f ca="1">AVERAGE(OFFSET($CC$3,0,0,'Données projet'!$E$12+1,1))-AVERAGE(OFFSET($H$3,0,0,'Données projet'!$E$12+1,1))</f>
        <v>296.737543892524</v>
      </c>
      <c r="CE165" s="59">
        <f t="shared" si="148"/>
        <v>296.38358650317099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12.149008660869177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12.149008660869177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474.99999999999994</v>
      </c>
      <c r="CU165" s="17">
        <f>CT165*VLOOKUP('Données projet'!$B$13,Paramètres!$A$1:$I$89,3,0)*VLOOKUP('Données projet'!$B$13,Paramètres!$A$1:$I$89,5,0)</f>
        <v>407.55</v>
      </c>
      <c r="CV165" s="13">
        <f t="shared" si="173"/>
        <v>93.305642095357683</v>
      </c>
      <c r="CW165" s="20">
        <f t="shared" si="174"/>
        <v>872.32357664941446</v>
      </c>
      <c r="CX165" s="59">
        <f t="shared" si="122"/>
        <v>1165.6569099827477</v>
      </c>
      <c r="CY165" s="59">
        <f ca="1">AVERAGE(OFFSET($CX$3,0,0,'Données projet'!$E$13+1,1))-AVERAGE(OFFSET($H$3,0,0,'Données projet'!$E$13+1,1))</f>
        <v>391.93999504334352</v>
      </c>
      <c r="CZ165" s="59">
        <f t="shared" si="150"/>
        <v>215.4484906985528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53.200053293831189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53.200053293831189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367.99999999999972</v>
      </c>
      <c r="DP165" s="17">
        <f>DO165*VLOOKUP('Données projet'!$B$14,Paramètres!$A$1:$I$89,3,0)*VLOOKUP('Données projet'!$B$14,Paramètres!$A$1:$I$89,5,0)</f>
        <v>269.8175999999998</v>
      </c>
      <c r="DQ165" s="13">
        <f t="shared" si="176"/>
        <v>64.810557882019467</v>
      </c>
      <c r="DR165" s="20">
        <f t="shared" si="177"/>
        <v>582.81070831118348</v>
      </c>
      <c r="DS165" s="59">
        <f t="shared" si="125"/>
        <v>876.14404164451685</v>
      </c>
      <c r="DT165" s="59">
        <f ca="1">AVERAGE(OFFSET($DS$3,0,0,'Données projet'!$E$14+1,1))-AVERAGE(OFFSET($H$3,0,0,'Données projet'!$E$14+1,1))</f>
        <v>267.92147257573157</v>
      </c>
      <c r="DU165" s="59">
        <f t="shared" si="152"/>
        <v>269.06662611892438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9.0836650031877948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9.0836650031877948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0.8600000000003547</v>
      </c>
      <c r="EK165" s="17">
        <f>EJ165*VLOOKUP('Données projet'!$B$15,Paramètres!$A$1:$I$89,3,0)*VLOOKUP('Données projet'!$B$15,Paramètres!$A$1:$I$89,5,0)</f>
        <v>0.48074000000019829</v>
      </c>
      <c r="EL165" s="13">
        <f t="shared" si="179"/>
        <v>0.24126147010950588</v>
      </c>
      <c r="EM165" s="20">
        <f t="shared" si="180"/>
        <v>1.2574858937744013</v>
      </c>
      <c r="EN165" s="59">
        <f t="shared" si="128"/>
        <v>294.59081922710772</v>
      </c>
      <c r="EO165" s="59">
        <f ca="1">AVERAGE(OFFSET($EN$3,0,0,'Données projet'!$E$15+1,1))-AVERAGE(OFFSET($H$3,0,0,'Données projet'!$E$15+1,1))</f>
        <v>326.29985515186428</v>
      </c>
      <c r="EP165" s="59">
        <f t="shared" si="154"/>
        <v>437.68177084535927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44.668956824860828</v>
      </c>
      <c r="EW165" s="21">
        <f>EXP(-LN(2)/25)*EW164+(1-EXP(-LN(2)/25))/(LN(2)/25)*Calculateur!ER165*Calculateur!ET165*VLOOKUP('Données projet'!$B$15,Paramètres!$A$1:$I$89,3,0)*0.475*44/12</f>
        <v>1.3015639053833934</v>
      </c>
      <c r="EX165" s="21">
        <f>EXP(-LN(2)/2)*EX164+(1-EXP(-LN(2)/2))/(LN(2)/2)*ER165*EU165*VLOOKUP('Données projet'!$B$15,Paramètres!$A$1:$I$89,3,0)*0.475*44/12</f>
        <v>1.0027793063456559E-20</v>
      </c>
      <c r="EY165" s="22">
        <f t="shared" si="181"/>
        <v>45.970520730244225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1.7053025658242404E-13</v>
      </c>
      <c r="FF165" s="17">
        <f>FE165*VLOOKUP('Données projet'!$B$16,Paramètres!$A$1:$I$89,3,0)*VLOOKUP('Données projet'!$B$16,Paramètres!$A$1:$I$89,5,0)</f>
        <v>9.7631982498569413E-14</v>
      </c>
      <c r="FG165" s="13">
        <f t="shared" si="182"/>
        <v>1.4708068762530911E-12</v>
      </c>
      <c r="FH165" s="20">
        <f t="shared" si="183"/>
        <v>2.7316976789924749E-12</v>
      </c>
      <c r="FI165" s="59">
        <f t="shared" si="131"/>
        <v>293.33333333333604</v>
      </c>
      <c r="FJ165" s="59">
        <f ca="1">AVERAGE(OFFSET($FI$3,0,0,'Données projet'!$E$16+1,1))-AVERAGE(OFFSET($H$3,0,0,'Données projet'!$E$16+1,1))</f>
        <v>211.14768428403215</v>
      </c>
      <c r="FK165" s="59">
        <f t="shared" si="156"/>
        <v>350.7800157534798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6.081874122527017</v>
      </c>
      <c r="FR165" s="21">
        <f>EXP(-LN(2)/25)*FR164+(1-EXP(-LN(2)/25))/(LN(2)/25)*Calculateur!FM165*Calculateur!FO165*VLOOKUP('Données projet'!$B$16,Paramètres!$A$1:$I$89,3,0)*0.475*44/12</f>
        <v>0.55371377935566468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6.6355879018826815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142.39680000000001</v>
      </c>
      <c r="D166" s="11">
        <f t="shared" si="140"/>
        <v>36.845535084476985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1383.6250427573666</v>
      </c>
      <c r="H166" s="66">
        <f t="shared" si="110"/>
        <v>605.51373360546404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259.99999999999983</v>
      </c>
      <c r="O166" s="13">
        <f>N166*VLOOKUP('Données projet'!$B$9,Paramètres!$A$1:$I$89,3,0)*VLOOKUP('Données projet'!$B$9,Paramètres!$A$1:$I$89,5,0)</f>
        <v>227.13599999999985</v>
      </c>
      <c r="P166" s="13">
        <f t="shared" si="141"/>
        <v>55.662966886685133</v>
      </c>
      <c r="Q166" s="20">
        <f t="shared" si="162"/>
        <v>492.5415339943097</v>
      </c>
      <c r="R166" s="59">
        <f t="shared" si="109"/>
        <v>785.87486732764296</v>
      </c>
      <c r="S166" s="59">
        <f ca="1">AVERAGE(OFFSET($R$3,0,0,'Données projet'!$E$9+1,1))-AVERAGE(OFFSET($H$3,0,0,'Données projet'!$E$9+1,1))</f>
        <v>252.49539407921907</v>
      </c>
      <c r="T166" s="59">
        <f t="shared" si="142"/>
        <v>263.36387286233929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18.373528957836154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18.373528957836154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19.8100000000004</v>
      </c>
      <c r="AJ166" s="13">
        <f>AI166*VLOOKUP('Données projet'!$B$10,Paramètres!$A$1:$I$89,3,0)*VLOOKUP('Données projet'!$B$10,Paramètres!$A$1:$I$89,5,0)</f>
        <v>17.924088000000364</v>
      </c>
      <c r="AK166" s="13">
        <f t="shared" si="164"/>
        <v>5.9032212091029486</v>
      </c>
      <c r="AL166" s="20">
        <f t="shared" si="165"/>
        <v>41.499230205854936</v>
      </c>
      <c r="AM166" s="59">
        <f t="shared" si="113"/>
        <v>334.83256353918824</v>
      </c>
      <c r="AN166" s="59">
        <f ca="1">AVERAGE(OFFSET($AM$3,0,0,'Données projet'!$E$10+1,1))-AVERAGE(OFFSET($H$3,0,0,'Données projet'!$E$10+1,1))</f>
        <v>370.05613271587413</v>
      </c>
      <c r="AO166" s="59">
        <f t="shared" si="144"/>
        <v>183.24480056442525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147.02197010255296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147.02197010255296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19.8100000000004</v>
      </c>
      <c r="BE166" s="13">
        <f>BD166*VLOOKUP('Données projet'!$B$11,Paramètres!$A$1:$I$89,3,0)*VLOOKUP('Données projet'!$B$11,Paramètres!$A$1:$I$89,5,0)</f>
        <v>20.08734000000041</v>
      </c>
      <c r="BF166" s="13">
        <f t="shared" si="167"/>
        <v>6.5285137703520215</v>
      </c>
      <c r="BG166" s="20">
        <f t="shared" si="168"/>
        <v>46.355945316697152</v>
      </c>
      <c r="BH166" s="59">
        <f t="shared" si="116"/>
        <v>339.68927865003047</v>
      </c>
      <c r="BI166" s="59">
        <f ca="1">AVERAGE(OFFSET($BH$3,0,0,'Données projet'!$E$11+1,1))-AVERAGE(OFFSET($H$3,0,0,'Données projet'!$E$11+1,1))</f>
        <v>428.72181435671394</v>
      </c>
      <c r="BJ166" s="59">
        <f t="shared" si="146"/>
        <v>211.84936043087572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164.76600097699904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164.76600097699904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367.99999999999972</v>
      </c>
      <c r="BZ166" s="13">
        <f>BY166*VLOOKUP('Données projet'!$B$12,Paramètres!$A$1:$I$89,3,0)*VLOOKUP('Données projet'!$B$12,Paramètres!$A$1:$I$89,5,0)</f>
        <v>292.78079999999977</v>
      </c>
      <c r="CA166" s="13">
        <f t="shared" si="170"/>
        <v>69.660903052386217</v>
      </c>
      <c r="CB166" s="20">
        <f t="shared" si="171"/>
        <v>631.25263281623893</v>
      </c>
      <c r="CC166" s="59">
        <f t="shared" si="119"/>
        <v>924.58596614957219</v>
      </c>
      <c r="CD166" s="59">
        <f ca="1">AVERAGE(OFFSET($CC$3,0,0,'Données projet'!$E$12+1,1))-AVERAGE(OFFSET($H$3,0,0,'Données projet'!$E$12+1,1))</f>
        <v>296.737543892524</v>
      </c>
      <c r="CE166" s="59">
        <f t="shared" si="148"/>
        <v>296.38358650317099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11.910774011193123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11.910774011193123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474.99999999999994</v>
      </c>
      <c r="CU166" s="17">
        <f>CT166*VLOOKUP('Données projet'!$B$13,Paramètres!$A$1:$I$89,3,0)*VLOOKUP('Données projet'!$B$13,Paramètres!$A$1:$I$89,5,0)</f>
        <v>407.55</v>
      </c>
      <c r="CV166" s="13">
        <f t="shared" si="173"/>
        <v>93.305642095357683</v>
      </c>
      <c r="CW166" s="20">
        <f t="shared" si="174"/>
        <v>872.32357664941446</v>
      </c>
      <c r="CX166" s="59">
        <f t="shared" si="122"/>
        <v>1165.6569099827477</v>
      </c>
      <c r="CY166" s="59">
        <f ca="1">AVERAGE(OFFSET($CX$3,0,0,'Données projet'!$E$13+1,1))-AVERAGE(OFFSET($H$3,0,0,'Données projet'!$E$13+1,1))</f>
        <v>391.93999504334352</v>
      </c>
      <c r="CZ166" s="59">
        <f t="shared" si="150"/>
        <v>215.4484906985528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52.156832697567616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52.156832697567616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367.99999999999972</v>
      </c>
      <c r="DP166" s="17">
        <f>DO166*VLOOKUP('Données projet'!$B$14,Paramètres!$A$1:$I$89,3,0)*VLOOKUP('Données projet'!$B$14,Paramètres!$A$1:$I$89,5,0)</f>
        <v>269.8175999999998</v>
      </c>
      <c r="DQ166" s="13">
        <f t="shared" si="176"/>
        <v>64.810557882019467</v>
      </c>
      <c r="DR166" s="20">
        <f t="shared" si="177"/>
        <v>582.81070831118348</v>
      </c>
      <c r="DS166" s="59">
        <f t="shared" si="125"/>
        <v>876.14404164451685</v>
      </c>
      <c r="DT166" s="59">
        <f ca="1">AVERAGE(OFFSET($DS$3,0,0,'Données projet'!$E$14+1,1))-AVERAGE(OFFSET($H$3,0,0,'Données projet'!$E$14+1,1))</f>
        <v>267.92147257573157</v>
      </c>
      <c r="DU166" s="59">
        <f t="shared" si="152"/>
        <v>269.06662611892438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8.9055398729638569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8.9055398729638569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0.8600000000003547</v>
      </c>
      <c r="EK166" s="17">
        <f>EJ166*VLOOKUP('Données projet'!$B$15,Paramètres!$A$1:$I$89,3,0)*VLOOKUP('Données projet'!$B$15,Paramètres!$A$1:$I$89,5,0)</f>
        <v>0.48074000000019829</v>
      </c>
      <c r="EL166" s="13">
        <f t="shared" si="179"/>
        <v>0.24126147010950588</v>
      </c>
      <c r="EM166" s="20">
        <f t="shared" si="180"/>
        <v>1.2574858937744013</v>
      </c>
      <c r="EN166" s="59">
        <f t="shared" si="128"/>
        <v>294.59081922710772</v>
      </c>
      <c r="EO166" s="59">
        <f ca="1">AVERAGE(OFFSET($EN$3,0,0,'Données projet'!$E$15+1,1))-AVERAGE(OFFSET($H$3,0,0,'Données projet'!$E$15+1,1))</f>
        <v>326.29985515186428</v>
      </c>
      <c r="EP166" s="59">
        <f t="shared" si="154"/>
        <v>437.68177084535927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43.793025826898713</v>
      </c>
      <c r="EW166" s="21">
        <f>EXP(-LN(2)/25)*EW165+(1-EXP(-LN(2)/25))/(LN(2)/25)*Calculateur!ER166*Calculateur!ET166*VLOOKUP('Données projet'!$B$15,Paramètres!$A$1:$I$89,3,0)*0.475*44/12</f>
        <v>1.2659725719444135</v>
      </c>
      <c r="EX166" s="21">
        <f>EXP(-LN(2)/2)*EX165+(1-EXP(-LN(2)/2))/(LN(2)/2)*ER166*EU166*VLOOKUP('Données projet'!$B$15,Paramètres!$A$1:$I$89,3,0)*0.475*44/12</f>
        <v>7.0907204755055561E-21</v>
      </c>
      <c r="EY166" s="22">
        <f t="shared" si="181"/>
        <v>45.05899839884313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1.7053025658242404E-13</v>
      </c>
      <c r="FF166" s="17">
        <f>FE166*VLOOKUP('Données projet'!$B$16,Paramètres!$A$1:$I$89,3,0)*VLOOKUP('Données projet'!$B$16,Paramètres!$A$1:$I$89,5,0)</f>
        <v>9.7631982498569413E-14</v>
      </c>
      <c r="FG166" s="13">
        <f t="shared" si="182"/>
        <v>1.4708068762530911E-12</v>
      </c>
      <c r="FH166" s="20">
        <f t="shared" si="183"/>
        <v>2.7316976789924749E-12</v>
      </c>
      <c r="FI166" s="59">
        <f t="shared" si="131"/>
        <v>293.33333333333604</v>
      </c>
      <c r="FJ166" s="59">
        <f ca="1">AVERAGE(OFFSET($FI$3,0,0,'Données projet'!$E$16+1,1))-AVERAGE(OFFSET($H$3,0,0,'Données projet'!$E$16+1,1))</f>
        <v>211.14768428403215</v>
      </c>
      <c r="FK166" s="59">
        <f t="shared" si="156"/>
        <v>350.7800157534798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5.9626122805611868</v>
      </c>
      <c r="FR166" s="21">
        <f>EXP(-LN(2)/25)*FR165+(1-EXP(-LN(2)/25))/(LN(2)/25)*Calculateur!FM166*Calculateur!FO166*VLOOKUP('Données projet'!$B$16,Paramètres!$A$1:$I$89,3,0)*0.475*44/12</f>
        <v>0.53857244694064188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6.5011847275018289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143.27040000000002</v>
      </c>
      <c r="D167" s="11">
        <f t="shared" si="140"/>
        <v>37.045198377171303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1391.9098822097437</v>
      </c>
      <c r="H167" s="66">
        <f t="shared" si="110"/>
        <v>607.38300050690668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259.99999999999983</v>
      </c>
      <c r="O167" s="13">
        <f>N167*VLOOKUP('Données projet'!$B$9,Paramètres!$A$1:$I$89,3,0)*VLOOKUP('Données projet'!$B$9,Paramètres!$A$1:$I$89,5,0)</f>
        <v>227.13599999999985</v>
      </c>
      <c r="P167" s="13">
        <f t="shared" si="141"/>
        <v>55.662966886685133</v>
      </c>
      <c r="Q167" s="20">
        <f t="shared" si="162"/>
        <v>492.5415339943097</v>
      </c>
      <c r="R167" s="59">
        <f t="shared" si="109"/>
        <v>785.87486732764296</v>
      </c>
      <c r="S167" s="59">
        <f ca="1">AVERAGE(OFFSET($R$3,0,0,'Données projet'!$E$9+1,1))-AVERAGE(OFFSET($H$3,0,0,'Données projet'!$E$9+1,1))</f>
        <v>252.49539407921907</v>
      </c>
      <c r="T167" s="59">
        <f t="shared" si="142"/>
        <v>263.36387286233929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18.013235261719078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18.013235261719078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19.8100000000004</v>
      </c>
      <c r="AJ167" s="13">
        <f>AI167*VLOOKUP('Données projet'!$B$10,Paramètres!$A$1:$I$89,3,0)*VLOOKUP('Données projet'!$B$10,Paramètres!$A$1:$I$89,5,0)</f>
        <v>17.924088000000364</v>
      </c>
      <c r="AK167" s="13">
        <f t="shared" si="164"/>
        <v>5.9032212091029486</v>
      </c>
      <c r="AL167" s="20">
        <f t="shared" si="165"/>
        <v>41.499230205854936</v>
      </c>
      <c r="AM167" s="59">
        <f t="shared" si="113"/>
        <v>334.83256353918824</v>
      </c>
      <c r="AN167" s="59">
        <f ca="1">AVERAGE(OFFSET($AM$3,0,0,'Données projet'!$E$10+1,1))-AVERAGE(OFFSET($H$3,0,0,'Données projet'!$E$10+1,1))</f>
        <v>370.05613271587413</v>
      </c>
      <c r="AO167" s="59">
        <f t="shared" si="144"/>
        <v>183.24480056442525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144.13895894338904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144.13895894338904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19.8100000000004</v>
      </c>
      <c r="BE167" s="13">
        <f>BD167*VLOOKUP('Données projet'!$B$11,Paramètres!$A$1:$I$89,3,0)*VLOOKUP('Données projet'!$B$11,Paramètres!$A$1:$I$89,5,0)</f>
        <v>20.08734000000041</v>
      </c>
      <c r="BF167" s="13">
        <f t="shared" si="167"/>
        <v>6.5285137703520215</v>
      </c>
      <c r="BG167" s="20">
        <f t="shared" si="168"/>
        <v>46.355945316697152</v>
      </c>
      <c r="BH167" s="59">
        <f t="shared" si="116"/>
        <v>339.68927865003047</v>
      </c>
      <c r="BI167" s="59">
        <f ca="1">AVERAGE(OFFSET($BH$3,0,0,'Données projet'!$E$11+1,1))-AVERAGE(OFFSET($H$3,0,0,'Données projet'!$E$11+1,1))</f>
        <v>428.72181435671394</v>
      </c>
      <c r="BJ167" s="59">
        <f t="shared" si="146"/>
        <v>211.84936043087572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161.5350401951774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161.5350401951774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367.99999999999972</v>
      </c>
      <c r="BZ167" s="13">
        <f>BY167*VLOOKUP('Données projet'!$B$12,Paramètres!$A$1:$I$89,3,0)*VLOOKUP('Données projet'!$B$12,Paramètres!$A$1:$I$89,5,0)</f>
        <v>292.78079999999977</v>
      </c>
      <c r="CA167" s="13">
        <f t="shared" si="170"/>
        <v>69.660903052386217</v>
      </c>
      <c r="CB167" s="20">
        <f t="shared" si="171"/>
        <v>631.25263281623893</v>
      </c>
      <c r="CC167" s="59">
        <f t="shared" si="119"/>
        <v>924.58596614957219</v>
      </c>
      <c r="CD167" s="59">
        <f ca="1">AVERAGE(OFFSET($CC$3,0,0,'Données projet'!$E$12+1,1))-AVERAGE(OFFSET($H$3,0,0,'Données projet'!$E$12+1,1))</f>
        <v>296.737543892524</v>
      </c>
      <c r="CE167" s="59">
        <f t="shared" si="148"/>
        <v>296.38358650317099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11.677210997688428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11.677210997688428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474.99999999999994</v>
      </c>
      <c r="CU167" s="17">
        <f>CT167*VLOOKUP('Données projet'!$B$13,Paramètres!$A$1:$I$89,3,0)*VLOOKUP('Données projet'!$B$13,Paramètres!$A$1:$I$89,5,0)</f>
        <v>407.55</v>
      </c>
      <c r="CV167" s="13">
        <f t="shared" si="173"/>
        <v>93.305642095357683</v>
      </c>
      <c r="CW167" s="20">
        <f t="shared" si="174"/>
        <v>872.32357664941446</v>
      </c>
      <c r="CX167" s="59">
        <f t="shared" si="122"/>
        <v>1165.6569099827477</v>
      </c>
      <c r="CY167" s="59">
        <f ca="1">AVERAGE(OFFSET($CX$3,0,0,'Données projet'!$E$13+1,1))-AVERAGE(OFFSET($H$3,0,0,'Données projet'!$E$13+1,1))</f>
        <v>391.93999504334352</v>
      </c>
      <c r="CZ167" s="59">
        <f t="shared" si="150"/>
        <v>215.4484906985528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51.134069020895033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51.134069020895033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367.99999999999972</v>
      </c>
      <c r="DP167" s="17">
        <f>DO167*VLOOKUP('Données projet'!$B$14,Paramètres!$A$1:$I$89,3,0)*VLOOKUP('Données projet'!$B$14,Paramètres!$A$1:$I$89,5,0)</f>
        <v>269.8175999999998</v>
      </c>
      <c r="DQ167" s="13">
        <f t="shared" si="176"/>
        <v>64.810557882019467</v>
      </c>
      <c r="DR167" s="20">
        <f t="shared" si="177"/>
        <v>582.81070831118348</v>
      </c>
      <c r="DS167" s="59">
        <f t="shared" si="125"/>
        <v>876.14404164451685</v>
      </c>
      <c r="DT167" s="59">
        <f ca="1">AVERAGE(OFFSET($DS$3,0,0,'Données projet'!$E$14+1,1))-AVERAGE(OFFSET($H$3,0,0,'Données projet'!$E$14+1,1))</f>
        <v>267.92147257573157</v>
      </c>
      <c r="DU167" s="59">
        <f t="shared" si="152"/>
        <v>269.06662611892438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8.7309076678980073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8.7309076678980073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0.8600000000003547</v>
      </c>
      <c r="EK167" s="17">
        <f>EJ167*VLOOKUP('Données projet'!$B$15,Paramètres!$A$1:$I$89,3,0)*VLOOKUP('Données projet'!$B$15,Paramètres!$A$1:$I$89,5,0)</f>
        <v>0.48074000000019829</v>
      </c>
      <c r="EL167" s="13">
        <f t="shared" si="179"/>
        <v>0.24126147010950588</v>
      </c>
      <c r="EM167" s="20">
        <f t="shared" si="180"/>
        <v>1.2574858937744013</v>
      </c>
      <c r="EN167" s="59">
        <f t="shared" si="128"/>
        <v>294.59081922710772</v>
      </c>
      <c r="EO167" s="59">
        <f ca="1">AVERAGE(OFFSET($EN$3,0,0,'Données projet'!$E$15+1,1))-AVERAGE(OFFSET($H$3,0,0,'Données projet'!$E$15+1,1))</f>
        <v>326.29985515186428</v>
      </c>
      <c r="EP167" s="59">
        <f t="shared" si="154"/>
        <v>437.68177084535927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42.934271301541479</v>
      </c>
      <c r="EW167" s="21">
        <f>EXP(-LN(2)/25)*EW166+(1-EXP(-LN(2)/25))/(LN(2)/25)*Calculateur!ER167*Calculateur!ET167*VLOOKUP('Données projet'!$B$15,Paramètres!$A$1:$I$89,3,0)*0.475*44/12</f>
        <v>1.2313544853899894</v>
      </c>
      <c r="EX167" s="21">
        <f>EXP(-LN(2)/2)*EX166+(1-EXP(-LN(2)/2))/(LN(2)/2)*ER167*EU167*VLOOKUP('Données projet'!$B$15,Paramètres!$A$1:$I$89,3,0)*0.475*44/12</f>
        <v>5.0138965317282796E-21</v>
      </c>
      <c r="EY167" s="22">
        <f t="shared" si="181"/>
        <v>44.165625786931471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1.7053025658242404E-13</v>
      </c>
      <c r="FF167" s="17">
        <f>FE167*VLOOKUP('Données projet'!$B$16,Paramètres!$A$1:$I$89,3,0)*VLOOKUP('Données projet'!$B$16,Paramètres!$A$1:$I$89,5,0)</f>
        <v>9.7631982498569413E-14</v>
      </c>
      <c r="FG167" s="13">
        <f t="shared" si="182"/>
        <v>1.4708068762530911E-12</v>
      </c>
      <c r="FH167" s="20">
        <f t="shared" si="183"/>
        <v>2.7316976789924749E-12</v>
      </c>
      <c r="FI167" s="59">
        <f t="shared" si="131"/>
        <v>293.33333333333604</v>
      </c>
      <c r="FJ167" s="59">
        <f ca="1">AVERAGE(OFFSET($FI$3,0,0,'Données projet'!$E$16+1,1))-AVERAGE(OFFSET($H$3,0,0,'Données projet'!$E$16+1,1))</f>
        <v>211.14768428403215</v>
      </c>
      <c r="FK167" s="59">
        <f t="shared" si="156"/>
        <v>350.7800157534798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5.8456890905737655</v>
      </c>
      <c r="FR167" s="21">
        <f>EXP(-LN(2)/25)*FR166+(1-EXP(-LN(2)/25))/(LN(2)/25)*Calculateur!FM167*Calculateur!FO167*VLOOKUP('Données projet'!$B$16,Paramètres!$A$1:$I$89,3,0)*0.475*44/12</f>
        <v>0.523845155056756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6.369534245630522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144.14400000000003</v>
      </c>
      <c r="D168" s="11">
        <f t="shared" si="140"/>
        <v>37.244720006976252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1400.1936281240276</v>
      </c>
      <c r="H168" s="66">
        <f t="shared" si="110"/>
        <v>609.25202067881696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259.99999999999983</v>
      </c>
      <c r="O168" s="13">
        <f>N168*VLOOKUP('Données projet'!$B$9,Paramètres!$A$1:$I$89,3,0)*VLOOKUP('Données projet'!$B$9,Paramètres!$A$1:$I$89,5,0)</f>
        <v>227.13599999999985</v>
      </c>
      <c r="P168" s="13">
        <f t="shared" si="141"/>
        <v>55.662966886685133</v>
      </c>
      <c r="Q168" s="20">
        <f t="shared" si="162"/>
        <v>492.5415339943097</v>
      </c>
      <c r="R168" s="59">
        <f t="shared" si="109"/>
        <v>785.87486732764296</v>
      </c>
      <c r="S168" s="59">
        <f ca="1">AVERAGE(OFFSET($R$3,0,0,'Données projet'!$E$9+1,1))-AVERAGE(OFFSET($H$3,0,0,'Données projet'!$E$9+1,1))</f>
        <v>252.49539407921907</v>
      </c>
      <c r="T168" s="59">
        <f t="shared" si="142"/>
        <v>263.36387286233929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17.660006705225403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17.660006705225403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19.8100000000004</v>
      </c>
      <c r="AJ168" s="13">
        <f>AI168*VLOOKUP('Données projet'!$B$10,Paramètres!$A$1:$I$89,3,0)*VLOOKUP('Données projet'!$B$10,Paramètres!$A$1:$I$89,5,0)</f>
        <v>17.924088000000364</v>
      </c>
      <c r="AK168" s="13">
        <f t="shared" si="164"/>
        <v>5.9032212091029486</v>
      </c>
      <c r="AL168" s="20">
        <f t="shared" si="165"/>
        <v>41.499230205854936</v>
      </c>
      <c r="AM168" s="59">
        <f t="shared" si="113"/>
        <v>334.83256353918824</v>
      </c>
      <c r="AN168" s="59">
        <f ca="1">AVERAGE(OFFSET($AM$3,0,0,'Données projet'!$E$10+1,1))-AVERAGE(OFFSET($H$3,0,0,'Données projet'!$E$10+1,1))</f>
        <v>370.05613271587413</v>
      </c>
      <c r="AO168" s="59">
        <f t="shared" si="144"/>
        <v>183.24480056442525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141.31248187459315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141.31248187459315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19.8100000000004</v>
      </c>
      <c r="BE168" s="13">
        <f>BD168*VLOOKUP('Données projet'!$B$11,Paramètres!$A$1:$I$89,3,0)*VLOOKUP('Données projet'!$B$11,Paramètres!$A$1:$I$89,5,0)</f>
        <v>20.08734000000041</v>
      </c>
      <c r="BF168" s="13">
        <f t="shared" si="167"/>
        <v>6.5285137703520215</v>
      </c>
      <c r="BG168" s="20">
        <f t="shared" si="168"/>
        <v>46.355945316697152</v>
      </c>
      <c r="BH168" s="59">
        <f t="shared" si="116"/>
        <v>339.68927865003047</v>
      </c>
      <c r="BI168" s="59">
        <f ca="1">AVERAGE(OFFSET($BH$3,0,0,'Données projet'!$E$11+1,1))-AVERAGE(OFFSET($H$3,0,0,'Données projet'!$E$11+1,1))</f>
        <v>428.72181435671394</v>
      </c>
      <c r="BJ168" s="59">
        <f t="shared" si="146"/>
        <v>211.84936043087572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158.3674365835958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158.3674365835958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367.99999999999972</v>
      </c>
      <c r="BZ168" s="13">
        <f>BY168*VLOOKUP('Données projet'!$B$12,Paramètres!$A$1:$I$89,3,0)*VLOOKUP('Données projet'!$B$12,Paramètres!$A$1:$I$89,5,0)</f>
        <v>292.78079999999977</v>
      </c>
      <c r="CA168" s="13">
        <f t="shared" si="170"/>
        <v>69.660903052386217</v>
      </c>
      <c r="CB168" s="20">
        <f t="shared" si="171"/>
        <v>631.25263281623893</v>
      </c>
      <c r="CC168" s="59">
        <f t="shared" si="119"/>
        <v>924.58596614957219</v>
      </c>
      <c r="CD168" s="59">
        <f ca="1">AVERAGE(OFFSET($CC$3,0,0,'Données projet'!$E$12+1,1))-AVERAGE(OFFSET($H$3,0,0,'Données projet'!$E$12+1,1))</f>
        <v>296.737543892524</v>
      </c>
      <c r="CE168" s="59">
        <f t="shared" si="148"/>
        <v>296.38358650317099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11.44822801241919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11.44822801241919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474.99999999999994</v>
      </c>
      <c r="CU168" s="17">
        <f>CT168*VLOOKUP('Données projet'!$B$13,Paramètres!$A$1:$I$89,3,0)*VLOOKUP('Données projet'!$B$13,Paramètres!$A$1:$I$89,5,0)</f>
        <v>407.55</v>
      </c>
      <c r="CV168" s="13">
        <f t="shared" si="173"/>
        <v>93.305642095357683</v>
      </c>
      <c r="CW168" s="20">
        <f t="shared" si="174"/>
        <v>872.32357664941446</v>
      </c>
      <c r="CX168" s="59">
        <f t="shared" si="122"/>
        <v>1165.6569099827477</v>
      </c>
      <c r="CY168" s="59">
        <f ca="1">AVERAGE(OFFSET($CX$3,0,0,'Données projet'!$E$13+1,1))-AVERAGE(OFFSET($H$3,0,0,'Données projet'!$E$13+1,1))</f>
        <v>391.93999504334352</v>
      </c>
      <c r="CZ168" s="59">
        <f t="shared" si="150"/>
        <v>215.4484906985528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50.131361116097757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50.131361116097757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367.99999999999972</v>
      </c>
      <c r="DP168" s="17">
        <f>DO168*VLOOKUP('Données projet'!$B$14,Paramètres!$A$1:$I$89,3,0)*VLOOKUP('Données projet'!$B$14,Paramètres!$A$1:$I$89,5,0)</f>
        <v>269.8175999999998</v>
      </c>
      <c r="DQ168" s="13">
        <f t="shared" si="176"/>
        <v>64.810557882019467</v>
      </c>
      <c r="DR168" s="20">
        <f t="shared" si="177"/>
        <v>582.81070831118348</v>
      </c>
      <c r="DS168" s="59">
        <f t="shared" si="125"/>
        <v>876.14404164451685</v>
      </c>
      <c r="DT168" s="59">
        <f ca="1">AVERAGE(OFFSET($DS$3,0,0,'Données projet'!$E$14+1,1))-AVERAGE(OFFSET($H$3,0,0,'Données projet'!$E$14+1,1))</f>
        <v>267.92147257573157</v>
      </c>
      <c r="DU168" s="59">
        <f t="shared" si="152"/>
        <v>269.06662611892438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8.5596998938583724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8.5596998938583724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0.8600000000003547</v>
      </c>
      <c r="EK168" s="17">
        <f>EJ168*VLOOKUP('Données projet'!$B$15,Paramètres!$A$1:$I$89,3,0)*VLOOKUP('Données projet'!$B$15,Paramètres!$A$1:$I$89,5,0)</f>
        <v>0.48074000000019829</v>
      </c>
      <c r="EL168" s="13">
        <f t="shared" si="179"/>
        <v>0.24126147010950588</v>
      </c>
      <c r="EM168" s="20">
        <f t="shared" si="180"/>
        <v>1.2574858937744013</v>
      </c>
      <c r="EN168" s="59">
        <f t="shared" si="128"/>
        <v>294.59081922710772</v>
      </c>
      <c r="EO168" s="59">
        <f ca="1">AVERAGE(OFFSET($EN$3,0,0,'Données projet'!$E$15+1,1))-AVERAGE(OFFSET($H$3,0,0,'Données projet'!$E$15+1,1))</f>
        <v>326.29985515186428</v>
      </c>
      <c r="EP168" s="59">
        <f t="shared" si="154"/>
        <v>437.68177084535927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42.092356428637963</v>
      </c>
      <c r="EW168" s="21">
        <f>EXP(-LN(2)/25)*EW167+(1-EXP(-LN(2)/25))/(LN(2)/25)*Calculateur!ER168*Calculateur!ET168*VLOOKUP('Données projet'!$B$15,Paramètres!$A$1:$I$89,3,0)*0.475*44/12</f>
        <v>1.197683032232882</v>
      </c>
      <c r="EX168" s="21">
        <f>EXP(-LN(2)/2)*EX167+(1-EXP(-LN(2)/2))/(LN(2)/2)*ER168*EU168*VLOOKUP('Données projet'!$B$15,Paramètres!$A$1:$I$89,3,0)*0.475*44/12</f>
        <v>3.5453602377527781E-21</v>
      </c>
      <c r="EY168" s="22">
        <f t="shared" si="181"/>
        <v>43.290039460870844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1.7053025658242404E-13</v>
      </c>
      <c r="FF168" s="17">
        <f>FE168*VLOOKUP('Données projet'!$B$16,Paramètres!$A$1:$I$89,3,0)*VLOOKUP('Données projet'!$B$16,Paramètres!$A$1:$I$89,5,0)</f>
        <v>9.7631982498569413E-14</v>
      </c>
      <c r="FG168" s="13">
        <f t="shared" si="182"/>
        <v>1.4708068762530911E-12</v>
      </c>
      <c r="FH168" s="20">
        <f t="shared" si="183"/>
        <v>2.7316976789924749E-12</v>
      </c>
      <c r="FI168" s="59">
        <f t="shared" si="131"/>
        <v>293.33333333333604</v>
      </c>
      <c r="FJ168" s="59">
        <f ca="1">AVERAGE(OFFSET($FI$3,0,0,'Données projet'!$E$16+1,1))-AVERAGE(OFFSET($H$3,0,0,'Données projet'!$E$16+1,1))</f>
        <v>211.14768428403215</v>
      </c>
      <c r="FK168" s="59">
        <f t="shared" si="156"/>
        <v>350.7800157534798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5.7310586930258935</v>
      </c>
      <c r="FR168" s="21">
        <f>EXP(-LN(2)/25)*FR167+(1-EXP(-LN(2)/25))/(LN(2)/25)*Calculateur!FM168*Calculateur!FO168*VLOOKUP('Données projet'!$B$16,Paramètres!$A$1:$I$89,3,0)*0.475*44/12</f>
        <v>0.50952058174390957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6.2405792747698028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145.01760000000004</v>
      </c>
      <c r="D169" s="11">
        <f t="shared" si="140"/>
        <v>37.444100932065233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1408.4762878966442</v>
      </c>
      <c r="H169" s="66">
        <f t="shared" si="110"/>
        <v>611.12079579001363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259.99999999999983</v>
      </c>
      <c r="O169" s="13">
        <f>N169*VLOOKUP('Données projet'!$B$9,Paramètres!$A$1:$I$89,3,0)*VLOOKUP('Données projet'!$B$9,Paramètres!$A$1:$I$89,5,0)</f>
        <v>227.13599999999985</v>
      </c>
      <c r="P169" s="13">
        <f t="shared" si="141"/>
        <v>55.662966886685133</v>
      </c>
      <c r="Q169" s="20">
        <f t="shared" si="162"/>
        <v>492.5415339943097</v>
      </c>
      <c r="R169" s="59">
        <f t="shared" si="109"/>
        <v>785.87486732764296</v>
      </c>
      <c r="S169" s="59">
        <f ca="1">AVERAGE(OFFSET($R$3,0,0,'Données projet'!$E$9+1,1))-AVERAGE(OFFSET($H$3,0,0,'Données projet'!$E$9+1,1))</f>
        <v>252.49539407921907</v>
      </c>
      <c r="T169" s="59">
        <f t="shared" si="142"/>
        <v>263.36387286233929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17.313704745276421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17.313704745276421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19.8100000000004</v>
      </c>
      <c r="AJ169" s="13">
        <f>AI169*VLOOKUP('Données projet'!$B$10,Paramètres!$A$1:$I$89,3,0)*VLOOKUP('Données projet'!$B$10,Paramètres!$A$1:$I$89,5,0)</f>
        <v>17.924088000000364</v>
      </c>
      <c r="AK169" s="13">
        <f t="shared" si="164"/>
        <v>5.9032212091029486</v>
      </c>
      <c r="AL169" s="20">
        <f t="shared" si="165"/>
        <v>41.499230205854936</v>
      </c>
      <c r="AM169" s="59">
        <f t="shared" si="113"/>
        <v>334.83256353918824</v>
      </c>
      <c r="AN169" s="59">
        <f ca="1">AVERAGE(OFFSET($AM$3,0,0,'Données projet'!$E$10+1,1))-AVERAGE(OFFSET($H$3,0,0,'Données projet'!$E$10+1,1))</f>
        <v>370.05613271587413</v>
      </c>
      <c r="AO169" s="59">
        <f t="shared" si="144"/>
        <v>183.24480056442525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138.54143029713555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138.54143029713555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19.8100000000004</v>
      </c>
      <c r="BE169" s="13">
        <f>BD169*VLOOKUP('Données projet'!$B$11,Paramètres!$A$1:$I$89,3,0)*VLOOKUP('Données projet'!$B$11,Paramètres!$A$1:$I$89,5,0)</f>
        <v>20.08734000000041</v>
      </c>
      <c r="BF169" s="13">
        <f t="shared" si="167"/>
        <v>6.5285137703520215</v>
      </c>
      <c r="BG169" s="20">
        <f t="shared" si="168"/>
        <v>46.355945316697152</v>
      </c>
      <c r="BH169" s="59">
        <f t="shared" si="116"/>
        <v>339.68927865003047</v>
      </c>
      <c r="BI169" s="59">
        <f ca="1">AVERAGE(OFFSET($BH$3,0,0,'Données projet'!$E$11+1,1))-AVERAGE(OFFSET($H$3,0,0,'Données projet'!$E$11+1,1))</f>
        <v>428.72181435671394</v>
      </c>
      <c r="BJ169" s="59">
        <f t="shared" si="146"/>
        <v>211.84936043087572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155.26194774678987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155.26194774678987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367.99999999999972</v>
      </c>
      <c r="BZ169" s="13">
        <f>BY169*VLOOKUP('Données projet'!$B$12,Paramètres!$A$1:$I$89,3,0)*VLOOKUP('Données projet'!$B$12,Paramètres!$A$1:$I$89,5,0)</f>
        <v>292.78079999999977</v>
      </c>
      <c r="CA169" s="13">
        <f t="shared" si="170"/>
        <v>69.660903052386217</v>
      </c>
      <c r="CB169" s="20">
        <f t="shared" si="171"/>
        <v>631.25263281623893</v>
      </c>
      <c r="CC169" s="59">
        <f t="shared" si="119"/>
        <v>924.58596614957219</v>
      </c>
      <c r="CD169" s="59">
        <f ca="1">AVERAGE(OFFSET($CC$3,0,0,'Données projet'!$E$12+1,1))-AVERAGE(OFFSET($H$3,0,0,'Données projet'!$E$12+1,1))</f>
        <v>296.737543892524</v>
      </c>
      <c r="CE169" s="59">
        <f t="shared" si="148"/>
        <v>296.38358650317099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11.223735243825249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11.223735243825249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474.99999999999994</v>
      </c>
      <c r="CU169" s="17">
        <f>CT169*VLOOKUP('Données projet'!$B$13,Paramètres!$A$1:$I$89,3,0)*VLOOKUP('Données projet'!$B$13,Paramètres!$A$1:$I$89,5,0)</f>
        <v>407.55</v>
      </c>
      <c r="CV169" s="13">
        <f t="shared" si="173"/>
        <v>93.305642095357683</v>
      </c>
      <c r="CW169" s="20">
        <f t="shared" si="174"/>
        <v>872.32357664941446</v>
      </c>
      <c r="CX169" s="59">
        <f t="shared" si="122"/>
        <v>1165.6569099827477</v>
      </c>
      <c r="CY169" s="59">
        <f ca="1">AVERAGE(OFFSET($CX$3,0,0,'Données projet'!$E$13+1,1))-AVERAGE(OFFSET($H$3,0,0,'Données projet'!$E$13+1,1))</f>
        <v>391.93999504334352</v>
      </c>
      <c r="CZ169" s="59">
        <f t="shared" si="150"/>
        <v>215.4484906985528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49.148315701722119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49.148315701722119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367.99999999999972</v>
      </c>
      <c r="DP169" s="17">
        <f>DO169*VLOOKUP('Données projet'!$B$14,Paramètres!$A$1:$I$89,3,0)*VLOOKUP('Données projet'!$B$14,Paramètres!$A$1:$I$89,5,0)</f>
        <v>269.8175999999998</v>
      </c>
      <c r="DQ169" s="13">
        <f t="shared" si="176"/>
        <v>64.810557882019467</v>
      </c>
      <c r="DR169" s="20">
        <f t="shared" si="177"/>
        <v>582.81070831118348</v>
      </c>
      <c r="DS169" s="59">
        <f t="shared" si="125"/>
        <v>876.14404164451685</v>
      </c>
      <c r="DT169" s="59">
        <f ca="1">AVERAGE(OFFSET($DS$3,0,0,'Données projet'!$E$14+1,1))-AVERAGE(OFFSET($H$3,0,0,'Données projet'!$E$14+1,1))</f>
        <v>267.92147257573157</v>
      </c>
      <c r="DU169" s="59">
        <f t="shared" si="152"/>
        <v>269.06662611892438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8.3918493998412238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8.3918493998412238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0.8600000000003547</v>
      </c>
      <c r="EK169" s="17">
        <f>EJ169*VLOOKUP('Données projet'!$B$15,Paramètres!$A$1:$I$89,3,0)*VLOOKUP('Données projet'!$B$15,Paramètres!$A$1:$I$89,5,0)</f>
        <v>0.48074000000019829</v>
      </c>
      <c r="EL169" s="13">
        <f t="shared" si="179"/>
        <v>0.24126147010950588</v>
      </c>
      <c r="EM169" s="20">
        <f t="shared" si="180"/>
        <v>1.2574858937744013</v>
      </c>
      <c r="EN169" s="59">
        <f t="shared" si="128"/>
        <v>294.59081922710772</v>
      </c>
      <c r="EO169" s="59">
        <f ca="1">AVERAGE(OFFSET($EN$3,0,0,'Données projet'!$E$15+1,1))-AVERAGE(OFFSET($H$3,0,0,'Données projet'!$E$15+1,1))</f>
        <v>326.29985515186428</v>
      </c>
      <c r="EP169" s="59">
        <f t="shared" si="154"/>
        <v>437.68177084535927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41.266950992874719</v>
      </c>
      <c r="EW169" s="21">
        <f>EXP(-LN(2)/25)*EW168+(1-EXP(-LN(2)/25))/(LN(2)/25)*Calculateur!ER169*Calculateur!ET169*VLOOKUP('Données projet'!$B$15,Paramètres!$A$1:$I$89,3,0)*0.475*44/12</f>
        <v>1.1649323267330605</v>
      </c>
      <c r="EX169" s="21">
        <f>EXP(-LN(2)/2)*EX168+(1-EXP(-LN(2)/2))/(LN(2)/2)*ER169*EU169*VLOOKUP('Données projet'!$B$15,Paramètres!$A$1:$I$89,3,0)*0.475*44/12</f>
        <v>2.5069482658641398E-21</v>
      </c>
      <c r="EY169" s="22">
        <f t="shared" si="181"/>
        <v>42.431883319607778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1.7053025658242404E-13</v>
      </c>
      <c r="FF169" s="17">
        <f>FE169*VLOOKUP('Données projet'!$B$16,Paramètres!$A$1:$I$89,3,0)*VLOOKUP('Données projet'!$B$16,Paramètres!$A$1:$I$89,5,0)</f>
        <v>9.7631982498569413E-14</v>
      </c>
      <c r="FG169" s="13">
        <f t="shared" si="182"/>
        <v>1.4708068762530911E-12</v>
      </c>
      <c r="FH169" s="20">
        <f t="shared" si="183"/>
        <v>2.7316976789924749E-12</v>
      </c>
      <c r="FI169" s="59">
        <f t="shared" si="131"/>
        <v>293.33333333333604</v>
      </c>
      <c r="FJ169" s="59">
        <f ca="1">AVERAGE(OFFSET($FI$3,0,0,'Données projet'!$E$16+1,1))-AVERAGE(OFFSET($H$3,0,0,'Données projet'!$E$16+1,1))</f>
        <v>211.14768428403215</v>
      </c>
      <c r="FK169" s="59">
        <f t="shared" si="156"/>
        <v>350.7800157534798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5.6186761276562969</v>
      </c>
      <c r="FR169" s="21">
        <f>EXP(-LN(2)/25)*FR168+(1-EXP(-LN(2)/25))/(LN(2)/25)*Calculateur!FM169*Calculateur!FO169*VLOOKUP('Données projet'!$B$16,Paramètres!$A$1:$I$89,3,0)*0.475*44/12</f>
        <v>0.49558771464159951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6.1142638422978965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145.89120000000005</v>
      </c>
      <c r="D170" s="11">
        <f t="shared" si="140"/>
        <v>37.643342098399685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1416.7578688297526</v>
      </c>
      <c r="H170" s="66">
        <f t="shared" si="110"/>
        <v>612.98932748804623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259.99999999999983</v>
      </c>
      <c r="O170" s="13">
        <f>N170*VLOOKUP('Données projet'!$B$9,Paramètres!$A$1:$I$89,3,0)*VLOOKUP('Données projet'!$B$9,Paramètres!$A$1:$I$89,5,0)</f>
        <v>227.13599999999985</v>
      </c>
      <c r="P170" s="13">
        <f t="shared" si="141"/>
        <v>55.662966886685133</v>
      </c>
      <c r="Q170" s="20">
        <f t="shared" si="162"/>
        <v>492.5415339943097</v>
      </c>
      <c r="R170" s="59">
        <f t="shared" si="109"/>
        <v>785.87486732764296</v>
      </c>
      <c r="S170" s="59">
        <f ca="1">AVERAGE(OFFSET($R$3,0,0,'Données projet'!$E$9+1,1))-AVERAGE(OFFSET($H$3,0,0,'Données projet'!$E$9+1,1))</f>
        <v>252.49539407921907</v>
      </c>
      <c r="T170" s="59">
        <f t="shared" si="142"/>
        <v>263.36387286233929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16.974193555538701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16.974193555538701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19.8100000000004</v>
      </c>
      <c r="AJ170" s="13">
        <f>AI170*VLOOKUP('Données projet'!$B$10,Paramètres!$A$1:$I$89,3,0)*VLOOKUP('Données projet'!$B$10,Paramètres!$A$1:$I$89,5,0)</f>
        <v>17.924088000000364</v>
      </c>
      <c r="AK170" s="13">
        <f t="shared" si="164"/>
        <v>5.9032212091029486</v>
      </c>
      <c r="AL170" s="20">
        <f t="shared" si="165"/>
        <v>41.499230205854936</v>
      </c>
      <c r="AM170" s="59">
        <f t="shared" si="113"/>
        <v>334.83256353918824</v>
      </c>
      <c r="AN170" s="59">
        <f ca="1">AVERAGE(OFFSET($AM$3,0,0,'Données projet'!$E$10+1,1))-AVERAGE(OFFSET($H$3,0,0,'Données projet'!$E$10+1,1))</f>
        <v>370.05613271587413</v>
      </c>
      <c r="AO170" s="59">
        <f t="shared" si="144"/>
        <v>183.24480056442525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135.82471735093733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135.82471735093733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19.8100000000004</v>
      </c>
      <c r="BE170" s="13">
        <f>BD170*VLOOKUP('Données projet'!$B$11,Paramètres!$A$1:$I$89,3,0)*VLOOKUP('Données projet'!$B$11,Paramètres!$A$1:$I$89,5,0)</f>
        <v>20.08734000000041</v>
      </c>
      <c r="BF170" s="13">
        <f t="shared" si="167"/>
        <v>6.5285137703520215</v>
      </c>
      <c r="BG170" s="20">
        <f t="shared" si="168"/>
        <v>46.355945316697152</v>
      </c>
      <c r="BH170" s="59">
        <f t="shared" si="116"/>
        <v>339.68927865003047</v>
      </c>
      <c r="BI170" s="59">
        <f ca="1">AVERAGE(OFFSET($BH$3,0,0,'Données projet'!$E$11+1,1))-AVERAGE(OFFSET($H$3,0,0,'Données projet'!$E$11+1,1))</f>
        <v>428.72181435671394</v>
      </c>
      <c r="BJ170" s="59">
        <f t="shared" si="146"/>
        <v>211.84936043087572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152.21735565191256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152.21735565191256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367.99999999999972</v>
      </c>
      <c r="BZ170" s="13">
        <f>BY170*VLOOKUP('Données projet'!$B$12,Paramètres!$A$1:$I$89,3,0)*VLOOKUP('Données projet'!$B$12,Paramètres!$A$1:$I$89,5,0)</f>
        <v>292.78079999999977</v>
      </c>
      <c r="CA170" s="13">
        <f t="shared" si="170"/>
        <v>69.660903052386217</v>
      </c>
      <c r="CB170" s="20">
        <f t="shared" si="171"/>
        <v>631.25263281623893</v>
      </c>
      <c r="CC170" s="59">
        <f t="shared" si="119"/>
        <v>924.58596614957219</v>
      </c>
      <c r="CD170" s="59">
        <f ca="1">AVERAGE(OFFSET($CC$3,0,0,'Données projet'!$E$12+1,1))-AVERAGE(OFFSET($H$3,0,0,'Données projet'!$E$12+1,1))</f>
        <v>296.737543892524</v>
      </c>
      <c r="CE170" s="59">
        <f t="shared" si="148"/>
        <v>296.38358650317099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11.003644641496368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11.003644641496368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474.99999999999994</v>
      </c>
      <c r="CU170" s="17">
        <f>CT170*VLOOKUP('Données projet'!$B$13,Paramètres!$A$1:$I$89,3,0)*VLOOKUP('Données projet'!$B$13,Paramètres!$A$1:$I$89,5,0)</f>
        <v>407.55</v>
      </c>
      <c r="CV170" s="13">
        <f t="shared" si="173"/>
        <v>93.305642095357683</v>
      </c>
      <c r="CW170" s="20">
        <f t="shared" si="174"/>
        <v>872.32357664941446</v>
      </c>
      <c r="CX170" s="59">
        <f t="shared" si="122"/>
        <v>1165.6569099827477</v>
      </c>
      <c r="CY170" s="59">
        <f ca="1">AVERAGE(OFFSET($CX$3,0,0,'Données projet'!$E$13+1,1))-AVERAGE(OFFSET($H$3,0,0,'Données projet'!$E$13+1,1))</f>
        <v>391.93999504334352</v>
      </c>
      <c r="CZ170" s="59">
        <f t="shared" si="150"/>
        <v>215.4484906985528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48.184547208323892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48.184547208323892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367.99999999999972</v>
      </c>
      <c r="DP170" s="17">
        <f>DO170*VLOOKUP('Données projet'!$B$14,Paramètres!$A$1:$I$89,3,0)*VLOOKUP('Données projet'!$B$14,Paramètres!$A$1:$I$89,5,0)</f>
        <v>269.8175999999998</v>
      </c>
      <c r="DQ170" s="13">
        <f t="shared" si="176"/>
        <v>64.810557882019467</v>
      </c>
      <c r="DR170" s="20">
        <f t="shared" si="177"/>
        <v>582.81070831118348</v>
      </c>
      <c r="DS170" s="59">
        <f t="shared" si="125"/>
        <v>876.14404164451685</v>
      </c>
      <c r="DT170" s="59">
        <f ca="1">AVERAGE(OFFSET($DS$3,0,0,'Données projet'!$E$14+1,1))-AVERAGE(OFFSET($H$3,0,0,'Données projet'!$E$14+1,1))</f>
        <v>267.92147257573157</v>
      </c>
      <c r="DU170" s="59">
        <f t="shared" si="152"/>
        <v>269.06662611892438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8.2272903516330587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8.2272903516330587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0.8600000000003547</v>
      </c>
      <c r="EK170" s="17">
        <f>EJ170*VLOOKUP('Données projet'!$B$15,Paramètres!$A$1:$I$89,3,0)*VLOOKUP('Données projet'!$B$15,Paramètres!$A$1:$I$89,5,0)</f>
        <v>0.48074000000019829</v>
      </c>
      <c r="EL170" s="13">
        <f t="shared" si="179"/>
        <v>0.24126147010950588</v>
      </c>
      <c r="EM170" s="20">
        <f t="shared" si="180"/>
        <v>1.2574858937744013</v>
      </c>
      <c r="EN170" s="59">
        <f t="shared" si="128"/>
        <v>294.59081922710772</v>
      </c>
      <c r="EO170" s="59">
        <f ca="1">AVERAGE(OFFSET($EN$3,0,0,'Données projet'!$E$15+1,1))-AVERAGE(OFFSET($H$3,0,0,'Données projet'!$E$15+1,1))</f>
        <v>326.29985515186428</v>
      </c>
      <c r="EP170" s="59">
        <f t="shared" si="154"/>
        <v>437.68177084535927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40.457731254259187</v>
      </c>
      <c r="EW170" s="21">
        <f>EXP(-LN(2)/25)*EW169+(1-EXP(-LN(2)/25))/(LN(2)/25)*Calculateur!ER170*Calculateur!ET170*VLOOKUP('Données projet'!$B$15,Paramètres!$A$1:$I$89,3,0)*0.475*44/12</f>
        <v>1.1330771909974164</v>
      </c>
      <c r="EX170" s="21">
        <f>EXP(-LN(2)/2)*EX169+(1-EXP(-LN(2)/2))/(LN(2)/2)*ER170*EU170*VLOOKUP('Données projet'!$B$15,Paramètres!$A$1:$I$89,3,0)*0.475*44/12</f>
        <v>1.772680118876389E-21</v>
      </c>
      <c r="EY170" s="22">
        <f t="shared" si="181"/>
        <v>41.590808445256606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1.7053025658242404E-13</v>
      </c>
      <c r="FF170" s="17">
        <f>FE170*VLOOKUP('Données projet'!$B$16,Paramètres!$A$1:$I$89,3,0)*VLOOKUP('Données projet'!$B$16,Paramètres!$A$1:$I$89,5,0)</f>
        <v>9.7631982498569413E-14</v>
      </c>
      <c r="FG170" s="13">
        <f t="shared" si="182"/>
        <v>1.4708068762530911E-12</v>
      </c>
      <c r="FH170" s="20">
        <f t="shared" si="183"/>
        <v>2.7316976789924749E-12</v>
      </c>
      <c r="FI170" s="59">
        <f t="shared" si="131"/>
        <v>293.33333333333604</v>
      </c>
      <c r="FJ170" s="59">
        <f ca="1">AVERAGE(OFFSET($FI$3,0,0,'Données projet'!$E$16+1,1))-AVERAGE(OFFSET($H$3,0,0,'Données projet'!$E$16+1,1))</f>
        <v>211.14768428403215</v>
      </c>
      <c r="FK170" s="59">
        <f t="shared" si="156"/>
        <v>350.7800157534798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5.5084973158470012</v>
      </c>
      <c r="FR170" s="21">
        <f>EXP(-LN(2)/25)*FR169+(1-EXP(-LN(2)/25))/(LN(2)/25)*Calculateur!FM170*Calculateur!FO170*VLOOKUP('Données projet'!$B$16,Paramètres!$A$1:$I$89,3,0)*0.475*44/12</f>
        <v>0.48203584252289972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5.9905331583699013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146.76480000000006</v>
      </c>
      <c r="D171" s="11">
        <f t="shared" si="140"/>
        <v>37.842444439956665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1425.0383781329995</v>
      </c>
      <c r="H171" s="66">
        <f t="shared" si="110"/>
        <v>614.85761739959128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259.99999999999983</v>
      </c>
      <c r="O171" s="13">
        <f>N171*VLOOKUP('Données projet'!$B$9,Paramètres!$A$1:$I$89,3,0)*VLOOKUP('Données projet'!$B$9,Paramètres!$A$1:$I$89,5,0)</f>
        <v>227.13599999999985</v>
      </c>
      <c r="P171" s="13">
        <f t="shared" si="141"/>
        <v>55.662966886685133</v>
      </c>
      <c r="Q171" s="20">
        <f t="shared" si="162"/>
        <v>492.5415339943097</v>
      </c>
      <c r="R171" s="59">
        <f t="shared" si="109"/>
        <v>785.87486732764296</v>
      </c>
      <c r="S171" s="59">
        <f ca="1">AVERAGE(OFFSET($R$3,0,0,'Données projet'!$E$9+1,1))-AVERAGE(OFFSET($H$3,0,0,'Données projet'!$E$9+1,1))</f>
        <v>252.49539407921907</v>
      </c>
      <c r="T171" s="59">
        <f t="shared" si="142"/>
        <v>263.36387286233929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16.641339973150359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16.641339973150359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19.8100000000004</v>
      </c>
      <c r="AJ171" s="13">
        <f>AI171*VLOOKUP('Données projet'!$B$10,Paramètres!$A$1:$I$89,3,0)*VLOOKUP('Données projet'!$B$10,Paramètres!$A$1:$I$89,5,0)</f>
        <v>17.924088000000364</v>
      </c>
      <c r="AK171" s="13">
        <f t="shared" si="164"/>
        <v>5.9032212091029486</v>
      </c>
      <c r="AL171" s="20">
        <f t="shared" si="165"/>
        <v>41.499230205854936</v>
      </c>
      <c r="AM171" s="59">
        <f t="shared" si="113"/>
        <v>334.83256353918824</v>
      </c>
      <c r="AN171" s="59">
        <f ca="1">AVERAGE(OFFSET($AM$3,0,0,'Données projet'!$E$10+1,1))-AVERAGE(OFFSET($H$3,0,0,'Données projet'!$E$10+1,1))</f>
        <v>370.05613271587413</v>
      </c>
      <c r="AO171" s="59">
        <f t="shared" si="144"/>
        <v>183.24480056442525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133.16127748858278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133.16127748858278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19.8100000000004</v>
      </c>
      <c r="BE171" s="13">
        <f>BD171*VLOOKUP('Données projet'!$B$11,Paramètres!$A$1:$I$89,3,0)*VLOOKUP('Données projet'!$B$11,Paramètres!$A$1:$I$89,5,0)</f>
        <v>20.08734000000041</v>
      </c>
      <c r="BF171" s="13">
        <f t="shared" si="167"/>
        <v>6.5285137703520215</v>
      </c>
      <c r="BG171" s="20">
        <f t="shared" si="168"/>
        <v>46.355945316697152</v>
      </c>
      <c r="BH171" s="59">
        <f t="shared" si="116"/>
        <v>339.68927865003047</v>
      </c>
      <c r="BI171" s="59">
        <f ca="1">AVERAGE(OFFSET($BH$3,0,0,'Données projet'!$E$11+1,1))-AVERAGE(OFFSET($H$3,0,0,'Données projet'!$E$11+1,1))</f>
        <v>428.72181435671394</v>
      </c>
      <c r="BJ171" s="59">
        <f t="shared" si="146"/>
        <v>211.84936043087572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149.23246615099796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149.23246615099796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367.99999999999972</v>
      </c>
      <c r="BZ171" s="13">
        <f>BY171*VLOOKUP('Données projet'!$B$12,Paramètres!$A$1:$I$89,3,0)*VLOOKUP('Données projet'!$B$12,Paramètres!$A$1:$I$89,5,0)</f>
        <v>292.78079999999977</v>
      </c>
      <c r="CA171" s="13">
        <f t="shared" si="170"/>
        <v>69.660903052386217</v>
      </c>
      <c r="CB171" s="20">
        <f t="shared" si="171"/>
        <v>631.25263281623893</v>
      </c>
      <c r="CC171" s="59">
        <f t="shared" si="119"/>
        <v>924.58596614957219</v>
      </c>
      <c r="CD171" s="59">
        <f ca="1">AVERAGE(OFFSET($CC$3,0,0,'Données projet'!$E$12+1,1))-AVERAGE(OFFSET($H$3,0,0,'Données projet'!$E$12+1,1))</f>
        <v>296.737543892524</v>
      </c>
      <c r="CE171" s="59">
        <f t="shared" si="148"/>
        <v>296.38358650317099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10.787869881637144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10.787869881637144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474.99999999999994</v>
      </c>
      <c r="CU171" s="17">
        <f>CT171*VLOOKUP('Données projet'!$B$13,Paramètres!$A$1:$I$89,3,0)*VLOOKUP('Données projet'!$B$13,Paramètres!$A$1:$I$89,5,0)</f>
        <v>407.55</v>
      </c>
      <c r="CV171" s="13">
        <f t="shared" si="173"/>
        <v>93.305642095357683</v>
      </c>
      <c r="CW171" s="20">
        <f t="shared" si="174"/>
        <v>872.32357664941446</v>
      </c>
      <c r="CX171" s="59">
        <f t="shared" si="122"/>
        <v>1165.6569099827477</v>
      </c>
      <c r="CY171" s="59">
        <f ca="1">AVERAGE(OFFSET($CX$3,0,0,'Données projet'!$E$13+1,1))-AVERAGE(OFFSET($H$3,0,0,'Données projet'!$E$13+1,1))</f>
        <v>391.93999504334352</v>
      </c>
      <c r="CZ171" s="59">
        <f t="shared" si="150"/>
        <v>215.4484906985528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47.239677627240468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47.239677627240468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367.99999999999972</v>
      </c>
      <c r="DP171" s="17">
        <f>DO171*VLOOKUP('Données projet'!$B$14,Paramètres!$A$1:$I$89,3,0)*VLOOKUP('Données projet'!$B$14,Paramètres!$A$1:$I$89,5,0)</f>
        <v>269.8175999999998</v>
      </c>
      <c r="DQ171" s="13">
        <f t="shared" si="176"/>
        <v>64.810557882019467</v>
      </c>
      <c r="DR171" s="20">
        <f t="shared" si="177"/>
        <v>582.81070831118348</v>
      </c>
      <c r="DS171" s="59">
        <f t="shared" si="125"/>
        <v>876.14404164451685</v>
      </c>
      <c r="DT171" s="59">
        <f ca="1">AVERAGE(OFFSET($DS$3,0,0,'Données projet'!$E$14+1,1))-AVERAGE(OFFSET($H$3,0,0,'Données projet'!$E$14+1,1))</f>
        <v>267.92147257573157</v>
      </c>
      <c r="DU171" s="59">
        <f t="shared" si="152"/>
        <v>269.06662611892438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8.0659582059891477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8.0659582059891477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0.8600000000003547</v>
      </c>
      <c r="EK171" s="17">
        <f>EJ171*VLOOKUP('Données projet'!$B$15,Paramètres!$A$1:$I$89,3,0)*VLOOKUP('Données projet'!$B$15,Paramètres!$A$1:$I$89,5,0)</f>
        <v>0.48074000000019829</v>
      </c>
      <c r="EL171" s="13">
        <f t="shared" si="179"/>
        <v>0.24126147010950588</v>
      </c>
      <c r="EM171" s="20">
        <f t="shared" si="180"/>
        <v>1.2574858937744013</v>
      </c>
      <c r="EN171" s="59">
        <f t="shared" si="128"/>
        <v>294.59081922710772</v>
      </c>
      <c r="EO171" s="59">
        <f ca="1">AVERAGE(OFFSET($EN$3,0,0,'Données projet'!$E$15+1,1))-AVERAGE(OFFSET($H$3,0,0,'Données projet'!$E$15+1,1))</f>
        <v>326.29985515186428</v>
      </c>
      <c r="EP171" s="59">
        <f t="shared" si="154"/>
        <v>437.68177084535927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39.664379821142603</v>
      </c>
      <c r="EW171" s="21">
        <f>EXP(-LN(2)/25)*EW170+(1-EXP(-LN(2)/25))/(LN(2)/25)*Calculateur!ER171*Calculateur!ET171*VLOOKUP('Données projet'!$B$15,Paramètres!$A$1:$I$89,3,0)*0.475*44/12</f>
        <v>1.1020931356236523</v>
      </c>
      <c r="EX171" s="21">
        <f>EXP(-LN(2)/2)*EX170+(1-EXP(-LN(2)/2))/(LN(2)/2)*ER171*EU171*VLOOKUP('Données projet'!$B$15,Paramètres!$A$1:$I$89,3,0)*0.475*44/12</f>
        <v>1.2534741329320699E-21</v>
      </c>
      <c r="EY171" s="22">
        <f t="shared" si="181"/>
        <v>40.766472956766258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1.7053025658242404E-13</v>
      </c>
      <c r="FF171" s="17">
        <f>FE171*VLOOKUP('Données projet'!$B$16,Paramètres!$A$1:$I$89,3,0)*VLOOKUP('Données projet'!$B$16,Paramètres!$A$1:$I$89,5,0)</f>
        <v>9.7631982498569413E-14</v>
      </c>
      <c r="FG171" s="13">
        <f t="shared" si="182"/>
        <v>1.4708068762530911E-12</v>
      </c>
      <c r="FH171" s="20">
        <f t="shared" si="183"/>
        <v>2.7316976789924749E-12</v>
      </c>
      <c r="FI171" s="59">
        <f t="shared" si="131"/>
        <v>293.33333333333604</v>
      </c>
      <c r="FJ171" s="59">
        <f ca="1">AVERAGE(OFFSET($FI$3,0,0,'Données projet'!$E$16+1,1))-AVERAGE(OFFSET($H$3,0,0,'Données projet'!$E$16+1,1))</f>
        <v>211.14768428403215</v>
      </c>
      <c r="FK171" s="59">
        <f t="shared" si="156"/>
        <v>350.7800157534798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5.4004790433348466</v>
      </c>
      <c r="FR171" s="21">
        <f>EXP(-LN(2)/25)*FR170+(1-EXP(-LN(2)/25))/(LN(2)/25)*Calculateur!FM171*Calculateur!FO171*VLOOKUP('Données projet'!$B$16,Paramètres!$A$1:$I$89,3,0)*0.475*44/12</f>
        <v>0.46885454705994778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5.8693335903947945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147.63840000000008</v>
      </c>
      <c r="D172" s="11">
        <f t="shared" si="140"/>
        <v>38.04140887895133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1433.3178229252389</v>
      </c>
      <c r="H172" s="66">
        <f t="shared" si="110"/>
        <v>616.72566713084029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259.99999999999983</v>
      </c>
      <c r="O172" s="13">
        <f>N172*VLOOKUP('Données projet'!$B$9,Paramètres!$A$1:$I$89,3,0)*VLOOKUP('Données projet'!$B$9,Paramètres!$A$1:$I$89,5,0)</f>
        <v>227.13599999999985</v>
      </c>
      <c r="P172" s="13">
        <f t="shared" si="141"/>
        <v>55.662966886685133</v>
      </c>
      <c r="Q172" s="20">
        <f t="shared" si="162"/>
        <v>492.5415339943097</v>
      </c>
      <c r="R172" s="59">
        <f t="shared" si="109"/>
        <v>785.87486732764296</v>
      </c>
      <c r="S172" s="59">
        <f ca="1">AVERAGE(OFFSET($R$3,0,0,'Données projet'!$E$9+1,1))-AVERAGE(OFFSET($H$3,0,0,'Données projet'!$E$9+1,1))</f>
        <v>252.49539407921907</v>
      </c>
      <c r="T172" s="59">
        <f t="shared" si="142"/>
        <v>263.36387286233929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16.315013446492014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16.315013446492014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19.8100000000004</v>
      </c>
      <c r="AJ172" s="13">
        <f>AI172*VLOOKUP('Données projet'!$B$10,Paramètres!$A$1:$I$89,3,0)*VLOOKUP('Données projet'!$B$10,Paramètres!$A$1:$I$89,5,0)</f>
        <v>17.924088000000364</v>
      </c>
      <c r="AK172" s="13">
        <f t="shared" si="164"/>
        <v>5.9032212091029486</v>
      </c>
      <c r="AL172" s="20">
        <f t="shared" si="165"/>
        <v>41.499230205854936</v>
      </c>
      <c r="AM172" s="59">
        <f t="shared" si="113"/>
        <v>334.83256353918824</v>
      </c>
      <c r="AN172" s="59">
        <f ca="1">AVERAGE(OFFSET($AM$3,0,0,'Données projet'!$E$10+1,1))-AVERAGE(OFFSET($H$3,0,0,'Données projet'!$E$10+1,1))</f>
        <v>370.05613271587413</v>
      </c>
      <c r="AO172" s="59">
        <f t="shared" si="144"/>
        <v>183.24480056442525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130.55006605739109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130.55006605739109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19.8100000000004</v>
      </c>
      <c r="BE172" s="13">
        <f>BD172*VLOOKUP('Données projet'!$B$11,Paramètres!$A$1:$I$89,3,0)*VLOOKUP('Données projet'!$B$11,Paramètres!$A$1:$I$89,5,0)</f>
        <v>20.08734000000041</v>
      </c>
      <c r="BF172" s="13">
        <f t="shared" si="167"/>
        <v>6.5285137703520215</v>
      </c>
      <c r="BG172" s="20">
        <f t="shared" si="168"/>
        <v>46.355945316697152</v>
      </c>
      <c r="BH172" s="59">
        <f t="shared" si="116"/>
        <v>339.68927865003047</v>
      </c>
      <c r="BI172" s="59">
        <f ca="1">AVERAGE(OFFSET($BH$3,0,0,'Données projet'!$E$11+1,1))-AVERAGE(OFFSET($H$3,0,0,'Données projet'!$E$11+1,1))</f>
        <v>428.72181435671394</v>
      </c>
      <c r="BJ172" s="59">
        <f t="shared" si="146"/>
        <v>211.84936043087572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146.30610851259348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146.30610851259348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367.99999999999972</v>
      </c>
      <c r="BZ172" s="13">
        <f>BY172*VLOOKUP('Données projet'!$B$12,Paramètres!$A$1:$I$89,3,0)*VLOOKUP('Données projet'!$B$12,Paramètres!$A$1:$I$89,5,0)</f>
        <v>292.78079999999977</v>
      </c>
      <c r="CA172" s="13">
        <f t="shared" si="170"/>
        <v>69.660903052386217</v>
      </c>
      <c r="CB172" s="20">
        <f t="shared" si="171"/>
        <v>631.25263281623893</v>
      </c>
      <c r="CC172" s="59">
        <f t="shared" si="119"/>
        <v>924.58596614957219</v>
      </c>
      <c r="CD172" s="59">
        <f ca="1">AVERAGE(OFFSET($CC$3,0,0,'Données projet'!$E$12+1,1))-AVERAGE(OFFSET($H$3,0,0,'Données projet'!$E$12+1,1))</f>
        <v>296.737543892524</v>
      </c>
      <c r="CE172" s="59">
        <f t="shared" si="148"/>
        <v>296.38358650317099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10.576326333209151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10.576326333209151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474.99999999999994</v>
      </c>
      <c r="CU172" s="17">
        <f>CT172*VLOOKUP('Données projet'!$B$13,Paramètres!$A$1:$I$89,3,0)*VLOOKUP('Données projet'!$B$13,Paramètres!$A$1:$I$89,5,0)</f>
        <v>407.55</v>
      </c>
      <c r="CV172" s="13">
        <f t="shared" si="173"/>
        <v>93.305642095357683</v>
      </c>
      <c r="CW172" s="20">
        <f t="shared" si="174"/>
        <v>872.32357664941446</v>
      </c>
      <c r="CX172" s="59">
        <f t="shared" si="122"/>
        <v>1165.6569099827477</v>
      </c>
      <c r="CY172" s="59">
        <f ca="1">AVERAGE(OFFSET($CX$3,0,0,'Données projet'!$E$13+1,1))-AVERAGE(OFFSET($H$3,0,0,'Données projet'!$E$13+1,1))</f>
        <v>391.93999504334352</v>
      </c>
      <c r="CZ172" s="59">
        <f t="shared" si="150"/>
        <v>215.4484906985528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46.313336362328549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46.313336362328549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367.99999999999972</v>
      </c>
      <c r="DP172" s="17">
        <f>DO172*VLOOKUP('Données projet'!$B$14,Paramètres!$A$1:$I$89,3,0)*VLOOKUP('Données projet'!$B$14,Paramètres!$A$1:$I$89,5,0)</f>
        <v>269.8175999999998</v>
      </c>
      <c r="DQ172" s="13">
        <f t="shared" si="176"/>
        <v>64.810557882019467</v>
      </c>
      <c r="DR172" s="20">
        <f t="shared" si="177"/>
        <v>582.81070831118348</v>
      </c>
      <c r="DS172" s="59">
        <f t="shared" si="125"/>
        <v>876.14404164451685</v>
      </c>
      <c r="DT172" s="59">
        <f ca="1">AVERAGE(OFFSET($DS$3,0,0,'Données projet'!$E$14+1,1))-AVERAGE(OFFSET($H$3,0,0,'Données projet'!$E$14+1,1))</f>
        <v>267.92147257573157</v>
      </c>
      <c r="DU172" s="59">
        <f t="shared" si="152"/>
        <v>269.06662611892438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7.9077896853184217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7.9077896853184217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0.8600000000003547</v>
      </c>
      <c r="EK172" s="17">
        <f>EJ172*VLOOKUP('Données projet'!$B$15,Paramètres!$A$1:$I$89,3,0)*VLOOKUP('Données projet'!$B$15,Paramètres!$A$1:$I$89,5,0)</f>
        <v>0.48074000000019829</v>
      </c>
      <c r="EL172" s="13">
        <f t="shared" si="179"/>
        <v>0.24126147010950588</v>
      </c>
      <c r="EM172" s="20">
        <f t="shared" si="180"/>
        <v>1.2574858937744013</v>
      </c>
      <c r="EN172" s="59">
        <f t="shared" si="128"/>
        <v>294.59081922710772</v>
      </c>
      <c r="EO172" s="59">
        <f ca="1">AVERAGE(OFFSET($EN$3,0,0,'Données projet'!$E$15+1,1))-AVERAGE(OFFSET($H$3,0,0,'Données projet'!$E$15+1,1))</f>
        <v>326.29985515186428</v>
      </c>
      <c r="EP172" s="59">
        <f t="shared" si="154"/>
        <v>437.68177084535927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38.886585525732841</v>
      </c>
      <c r="EW172" s="21">
        <f>EXP(-LN(2)/25)*EW171+(1-EXP(-LN(2)/25))/(LN(2)/25)*Calculateur!ER172*Calculateur!ET172*VLOOKUP('Données projet'!$B$15,Paramètres!$A$1:$I$89,3,0)*0.475*44/12</f>
        <v>1.0719563408734645</v>
      </c>
      <c r="EX172" s="21">
        <f>EXP(-LN(2)/2)*EX171+(1-EXP(-LN(2)/2))/(LN(2)/2)*ER172*EU172*VLOOKUP('Données projet'!$B$15,Paramètres!$A$1:$I$89,3,0)*0.475*44/12</f>
        <v>8.8634005943819451E-22</v>
      </c>
      <c r="EY172" s="22">
        <f t="shared" si="181"/>
        <v>39.958541866606303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1.7053025658242404E-13</v>
      </c>
      <c r="FF172" s="17">
        <f>FE172*VLOOKUP('Données projet'!$B$16,Paramètres!$A$1:$I$89,3,0)*VLOOKUP('Données projet'!$B$16,Paramètres!$A$1:$I$89,5,0)</f>
        <v>9.7631982498569413E-14</v>
      </c>
      <c r="FG172" s="13">
        <f t="shared" si="182"/>
        <v>1.4708068762530911E-12</v>
      </c>
      <c r="FH172" s="20">
        <f t="shared" si="183"/>
        <v>2.7316976789924749E-12</v>
      </c>
      <c r="FI172" s="59">
        <f t="shared" si="131"/>
        <v>293.33333333333604</v>
      </c>
      <c r="FJ172" s="59">
        <f ca="1">AVERAGE(OFFSET($FI$3,0,0,'Données projet'!$E$16+1,1))-AVERAGE(OFFSET($H$3,0,0,'Données projet'!$E$16+1,1))</f>
        <v>211.14768428403215</v>
      </c>
      <c r="FK172" s="59">
        <f t="shared" si="156"/>
        <v>350.7800157534798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5.2945789432620147</v>
      </c>
      <c r="FR172" s="21">
        <f>EXP(-LN(2)/25)*FR171+(1-EXP(-LN(2)/25))/(LN(2)/25)*Calculateur!FM172*Calculateur!FO172*VLOOKUP('Données projet'!$B$16,Paramètres!$A$1:$I$89,3,0)*0.475*44/12</f>
        <v>0.45603369481460448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5.7506126380766194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148.51200000000009</v>
      </c>
      <c r="D173" s="11">
        <f t="shared" si="140"/>
        <v>38.240236326053541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1441.5962102362037</v>
      </c>
      <c r="H173" s="66">
        <f t="shared" si="110"/>
        <v>618.59347826787666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259.99999999999983</v>
      </c>
      <c r="O173" s="13">
        <f>N173*VLOOKUP('Données projet'!$B$9,Paramètres!$A$1:$I$89,3,0)*VLOOKUP('Données projet'!$B$9,Paramètres!$A$1:$I$89,5,0)</f>
        <v>227.13599999999985</v>
      </c>
      <c r="P173" s="13">
        <f t="shared" si="141"/>
        <v>55.662966886685133</v>
      </c>
      <c r="Q173" s="20">
        <f t="shared" si="162"/>
        <v>492.5415339943097</v>
      </c>
      <c r="R173" s="59">
        <f t="shared" si="109"/>
        <v>785.87486732764296</v>
      </c>
      <c r="S173" s="59">
        <f ca="1">AVERAGE(OFFSET($R$3,0,0,'Données projet'!$E$9+1,1))-AVERAGE(OFFSET($H$3,0,0,'Données projet'!$E$9+1,1))</f>
        <v>252.49539407921907</v>
      </c>
      <c r="T173" s="59">
        <f t="shared" si="142"/>
        <v>263.36387286233929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15.995085983981911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15.995085983981911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19.8100000000004</v>
      </c>
      <c r="AJ173" s="13">
        <f>AI173*VLOOKUP('Données projet'!$B$10,Paramètres!$A$1:$I$89,3,0)*VLOOKUP('Données projet'!$B$10,Paramètres!$A$1:$I$89,5,0)</f>
        <v>17.924088000000364</v>
      </c>
      <c r="AK173" s="13">
        <f t="shared" si="164"/>
        <v>5.9032212091029486</v>
      </c>
      <c r="AL173" s="20">
        <f t="shared" si="165"/>
        <v>41.499230205854936</v>
      </c>
      <c r="AM173" s="59">
        <f t="shared" si="113"/>
        <v>334.83256353918824</v>
      </c>
      <c r="AN173" s="59">
        <f ca="1">AVERAGE(OFFSET($AM$3,0,0,'Données projet'!$E$10+1,1))-AVERAGE(OFFSET($H$3,0,0,'Données projet'!$E$10+1,1))</f>
        <v>370.05613271587413</v>
      </c>
      <c r="AO173" s="59">
        <f t="shared" si="144"/>
        <v>183.24480056442525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127.99005888968337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127.99005888968337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19.8100000000004</v>
      </c>
      <c r="BE173" s="13">
        <f>BD173*VLOOKUP('Données projet'!$B$11,Paramètres!$A$1:$I$89,3,0)*VLOOKUP('Données projet'!$B$11,Paramètres!$A$1:$I$89,5,0)</f>
        <v>20.08734000000041</v>
      </c>
      <c r="BF173" s="13">
        <f t="shared" si="167"/>
        <v>6.5285137703520215</v>
      </c>
      <c r="BG173" s="20">
        <f t="shared" si="168"/>
        <v>46.355945316697152</v>
      </c>
      <c r="BH173" s="59">
        <f t="shared" si="116"/>
        <v>339.68927865003047</v>
      </c>
      <c r="BI173" s="59">
        <f ca="1">AVERAGE(OFFSET($BH$3,0,0,'Données projet'!$E$11+1,1))-AVERAGE(OFFSET($H$3,0,0,'Données projet'!$E$11+1,1))</f>
        <v>428.72181435671394</v>
      </c>
      <c r="BJ173" s="59">
        <f t="shared" si="146"/>
        <v>211.84936043087572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143.43713496257621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143.43713496257621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367.99999999999972</v>
      </c>
      <c r="BZ173" s="13">
        <f>BY173*VLOOKUP('Données projet'!$B$12,Paramètres!$A$1:$I$89,3,0)*VLOOKUP('Données projet'!$B$12,Paramètres!$A$1:$I$89,5,0)</f>
        <v>292.78079999999977</v>
      </c>
      <c r="CA173" s="13">
        <f t="shared" si="170"/>
        <v>69.660903052386217</v>
      </c>
      <c r="CB173" s="20">
        <f t="shared" si="171"/>
        <v>631.25263281623893</v>
      </c>
      <c r="CC173" s="59">
        <f t="shared" si="119"/>
        <v>924.58596614957219</v>
      </c>
      <c r="CD173" s="59">
        <f ca="1">AVERAGE(OFFSET($CC$3,0,0,'Données projet'!$E$12+1,1))-AVERAGE(OFFSET($H$3,0,0,'Données projet'!$E$12+1,1))</f>
        <v>296.737543892524</v>
      </c>
      <c r="CE173" s="59">
        <f t="shared" si="148"/>
        <v>296.38358650317099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10.368931024737007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10.368931024737007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474.99999999999994</v>
      </c>
      <c r="CU173" s="17">
        <f>CT173*VLOOKUP('Données projet'!$B$13,Paramètres!$A$1:$I$89,3,0)*VLOOKUP('Données projet'!$B$13,Paramètres!$A$1:$I$89,5,0)</f>
        <v>407.55</v>
      </c>
      <c r="CV173" s="13">
        <f t="shared" si="173"/>
        <v>93.305642095357683</v>
      </c>
      <c r="CW173" s="20">
        <f t="shared" si="174"/>
        <v>872.32357664941446</v>
      </c>
      <c r="CX173" s="59">
        <f t="shared" si="122"/>
        <v>1165.6569099827477</v>
      </c>
      <c r="CY173" s="59">
        <f ca="1">AVERAGE(OFFSET($CX$3,0,0,'Données projet'!$E$13+1,1))-AVERAGE(OFFSET($H$3,0,0,'Données projet'!$E$13+1,1))</f>
        <v>391.93999504334352</v>
      </c>
      <c r="CZ173" s="59">
        <f t="shared" si="150"/>
        <v>215.4484906985528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45.405160084609172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45.405160084609172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367.99999999999972</v>
      </c>
      <c r="DP173" s="17">
        <f>DO173*VLOOKUP('Données projet'!$B$14,Paramètres!$A$1:$I$89,3,0)*VLOOKUP('Données projet'!$B$14,Paramètres!$A$1:$I$89,5,0)</f>
        <v>269.8175999999998</v>
      </c>
      <c r="DQ173" s="13">
        <f t="shared" si="176"/>
        <v>64.810557882019467</v>
      </c>
      <c r="DR173" s="20">
        <f t="shared" si="177"/>
        <v>582.81070831118348</v>
      </c>
      <c r="DS173" s="59">
        <f t="shared" si="125"/>
        <v>876.14404164451685</v>
      </c>
      <c r="DT173" s="59">
        <f ca="1">AVERAGE(OFFSET($DS$3,0,0,'Données projet'!$E$14+1,1))-AVERAGE(OFFSET($H$3,0,0,'Données projet'!$E$14+1,1))</f>
        <v>267.92147257573157</v>
      </c>
      <c r="DU173" s="59">
        <f t="shared" si="152"/>
        <v>269.06662611892438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7.7527227528647771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7.7527227528647771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0.8600000000003547</v>
      </c>
      <c r="EK173" s="17">
        <f>EJ173*VLOOKUP('Données projet'!$B$15,Paramètres!$A$1:$I$89,3,0)*VLOOKUP('Données projet'!$B$15,Paramètres!$A$1:$I$89,5,0)</f>
        <v>0.48074000000019829</v>
      </c>
      <c r="EL173" s="13">
        <f t="shared" si="179"/>
        <v>0.24126147010950588</v>
      </c>
      <c r="EM173" s="20">
        <f t="shared" si="180"/>
        <v>1.2574858937744013</v>
      </c>
      <c r="EN173" s="59">
        <f t="shared" si="128"/>
        <v>294.59081922710772</v>
      </c>
      <c r="EO173" s="59">
        <f ca="1">AVERAGE(OFFSET($EN$3,0,0,'Données projet'!$E$15+1,1))-AVERAGE(OFFSET($H$3,0,0,'Données projet'!$E$15+1,1))</f>
        <v>326.29985515186428</v>
      </c>
      <c r="EP173" s="59">
        <f t="shared" si="154"/>
        <v>437.68177084535927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38.124043302048385</v>
      </c>
      <c r="EW173" s="21">
        <f>EXP(-LN(2)/25)*EW172+(1-EXP(-LN(2)/25))/(LN(2)/25)*Calculateur!ER173*Calculateur!ET173*VLOOKUP('Données projet'!$B$15,Paramètres!$A$1:$I$89,3,0)*0.475*44/12</f>
        <v>1.0426436383605455</v>
      </c>
      <c r="EX173" s="21">
        <f>EXP(-LN(2)/2)*EX172+(1-EXP(-LN(2)/2))/(LN(2)/2)*ER173*EU173*VLOOKUP('Données projet'!$B$15,Paramètres!$A$1:$I$89,3,0)*0.475*44/12</f>
        <v>6.2673706646603495E-22</v>
      </c>
      <c r="EY173" s="22">
        <f t="shared" si="181"/>
        <v>39.16668694040893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1.7053025658242404E-13</v>
      </c>
      <c r="FF173" s="17">
        <f>FE173*VLOOKUP('Données projet'!$B$16,Paramètres!$A$1:$I$89,3,0)*VLOOKUP('Données projet'!$B$16,Paramètres!$A$1:$I$89,5,0)</f>
        <v>9.7631982498569413E-14</v>
      </c>
      <c r="FG173" s="13">
        <f t="shared" si="182"/>
        <v>1.4708068762530911E-12</v>
      </c>
      <c r="FH173" s="20">
        <f t="shared" si="183"/>
        <v>2.7316976789924749E-12</v>
      </c>
      <c r="FI173" s="59">
        <f t="shared" si="131"/>
        <v>293.33333333333604</v>
      </c>
      <c r="FJ173" s="59">
        <f ca="1">AVERAGE(OFFSET($FI$3,0,0,'Données projet'!$E$16+1,1))-AVERAGE(OFFSET($H$3,0,0,'Données projet'!$E$16+1,1))</f>
        <v>211.14768428403215</v>
      </c>
      <c r="FK173" s="59">
        <f t="shared" si="156"/>
        <v>350.7800157534798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5.1907554795589279</v>
      </c>
      <c r="FR173" s="21">
        <f>EXP(-LN(2)/25)*FR172+(1-EXP(-LN(2)/25))/(LN(2)/25)*Calculateur!FM173*Calculateur!FO173*VLOOKUP('Données projet'!$B$16,Paramètres!$A$1:$I$89,3,0)*0.475*44/12</f>
        <v>0.44356342944812938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5.6343189090070576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149.3856000000001</v>
      </c>
      <c r="D174" s="11">
        <f t="shared" si="140"/>
        <v>38.438927680599626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1449.8735470081381</v>
      </c>
      <c r="H174" s="66">
        <f t="shared" si="110"/>
        <v>620.46105237704444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259.99999999999983</v>
      </c>
      <c r="O174" s="13">
        <f>N174*VLOOKUP('Données projet'!$B$9,Paramètres!$A$1:$I$89,3,0)*VLOOKUP('Données projet'!$B$9,Paramètres!$A$1:$I$89,5,0)</f>
        <v>227.13599999999985</v>
      </c>
      <c r="P174" s="13">
        <f t="shared" si="141"/>
        <v>55.662966886685133</v>
      </c>
      <c r="Q174" s="20">
        <f t="shared" si="162"/>
        <v>492.5415339943097</v>
      </c>
      <c r="R174" s="59">
        <f t="shared" si="109"/>
        <v>785.87486732764296</v>
      </c>
      <c r="S174" s="59">
        <f ca="1">AVERAGE(OFFSET($R$3,0,0,'Données projet'!$E$9+1,1))-AVERAGE(OFFSET($H$3,0,0,'Données projet'!$E$9+1,1))</f>
        <v>252.49539407921907</v>
      </c>
      <c r="T174" s="59">
        <f t="shared" si="142"/>
        <v>263.36387286233929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15.681432103875146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15.681432103875146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19.8100000000004</v>
      </c>
      <c r="AJ174" s="13">
        <f>AI174*VLOOKUP('Données projet'!$B$10,Paramètres!$A$1:$I$89,3,0)*VLOOKUP('Données projet'!$B$10,Paramètres!$A$1:$I$89,5,0)</f>
        <v>17.924088000000364</v>
      </c>
      <c r="AK174" s="13">
        <f t="shared" si="164"/>
        <v>5.9032212091029486</v>
      </c>
      <c r="AL174" s="20">
        <f t="shared" si="165"/>
        <v>41.499230205854936</v>
      </c>
      <c r="AM174" s="59">
        <f t="shared" si="113"/>
        <v>334.83256353918824</v>
      </c>
      <c r="AN174" s="59">
        <f ca="1">AVERAGE(OFFSET($AM$3,0,0,'Données projet'!$E$10+1,1))-AVERAGE(OFFSET($H$3,0,0,'Données projet'!$E$10+1,1))</f>
        <v>370.05613271587413</v>
      </c>
      <c r="AO174" s="59">
        <f t="shared" si="144"/>
        <v>183.24480056442525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125.4802519010842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125.4802519010842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19.8100000000004</v>
      </c>
      <c r="BE174" s="13">
        <f>BD174*VLOOKUP('Données projet'!$B$11,Paramètres!$A$1:$I$89,3,0)*VLOOKUP('Données projet'!$B$11,Paramètres!$A$1:$I$89,5,0)</f>
        <v>20.08734000000041</v>
      </c>
      <c r="BF174" s="13">
        <f t="shared" si="167"/>
        <v>6.5285137703520215</v>
      </c>
      <c r="BG174" s="20">
        <f t="shared" si="168"/>
        <v>46.355945316697152</v>
      </c>
      <c r="BH174" s="59">
        <f t="shared" si="116"/>
        <v>339.68927865003047</v>
      </c>
      <c r="BI174" s="59">
        <f ca="1">AVERAGE(OFFSET($BH$3,0,0,'Données projet'!$E$11+1,1))-AVERAGE(OFFSET($H$3,0,0,'Données projet'!$E$11+1,1))</f>
        <v>428.72181435671394</v>
      </c>
      <c r="BJ174" s="59">
        <f t="shared" si="146"/>
        <v>211.84936043087572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140.62442023397369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140.62442023397369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367.99999999999972</v>
      </c>
      <c r="BZ174" s="13">
        <f>BY174*VLOOKUP('Données projet'!$B$12,Paramètres!$A$1:$I$89,3,0)*VLOOKUP('Données projet'!$B$12,Paramètres!$A$1:$I$89,5,0)</f>
        <v>292.78079999999977</v>
      </c>
      <c r="CA174" s="13">
        <f t="shared" si="170"/>
        <v>69.660903052386217</v>
      </c>
      <c r="CB174" s="20">
        <f t="shared" si="171"/>
        <v>631.25263281623893</v>
      </c>
      <c r="CC174" s="59">
        <f t="shared" si="119"/>
        <v>924.58596614957219</v>
      </c>
      <c r="CD174" s="59">
        <f ca="1">AVERAGE(OFFSET($CC$3,0,0,'Données projet'!$E$12+1,1))-AVERAGE(OFFSET($H$3,0,0,'Données projet'!$E$12+1,1))</f>
        <v>296.737543892524</v>
      </c>
      <c r="CE174" s="59">
        <f t="shared" si="148"/>
        <v>296.38358650317099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10.165602611765355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10.165602611765355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474.99999999999994</v>
      </c>
      <c r="CU174" s="17">
        <f>CT174*VLOOKUP('Données projet'!$B$13,Paramètres!$A$1:$I$89,3,0)*VLOOKUP('Données projet'!$B$13,Paramètres!$A$1:$I$89,5,0)</f>
        <v>407.55</v>
      </c>
      <c r="CV174" s="13">
        <f t="shared" si="173"/>
        <v>93.305642095357683</v>
      </c>
      <c r="CW174" s="20">
        <f t="shared" si="174"/>
        <v>872.32357664941446</v>
      </c>
      <c r="CX174" s="59">
        <f t="shared" si="122"/>
        <v>1165.6569099827477</v>
      </c>
      <c r="CY174" s="59">
        <f ca="1">AVERAGE(OFFSET($CX$3,0,0,'Données projet'!$E$13+1,1))-AVERAGE(OFFSET($H$3,0,0,'Données projet'!$E$13+1,1))</f>
        <v>391.93999504334352</v>
      </c>
      <c r="CZ174" s="59">
        <f t="shared" si="150"/>
        <v>215.4484906985528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44.51479258976304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44.51479258976304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367.99999999999972</v>
      </c>
      <c r="DP174" s="17">
        <f>DO174*VLOOKUP('Données projet'!$B$14,Paramètres!$A$1:$I$89,3,0)*VLOOKUP('Données projet'!$B$14,Paramètres!$A$1:$I$89,5,0)</f>
        <v>269.8175999999998</v>
      </c>
      <c r="DQ174" s="13">
        <f t="shared" si="176"/>
        <v>64.810557882019467</v>
      </c>
      <c r="DR174" s="20">
        <f t="shared" si="177"/>
        <v>582.81070831118348</v>
      </c>
      <c r="DS174" s="59">
        <f t="shared" si="125"/>
        <v>876.14404164451685</v>
      </c>
      <c r="DT174" s="59">
        <f ca="1">AVERAGE(OFFSET($DS$3,0,0,'Données projet'!$E$14+1,1))-AVERAGE(OFFSET($H$3,0,0,'Données projet'!$E$14+1,1))</f>
        <v>267.92147257573157</v>
      </c>
      <c r="DU174" s="59">
        <f t="shared" si="152"/>
        <v>269.06662611892438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7.6006965883750581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7.6006965883750581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0.8600000000003547</v>
      </c>
      <c r="EK174" s="17">
        <f>EJ174*VLOOKUP('Données projet'!$B$15,Paramètres!$A$1:$I$89,3,0)*VLOOKUP('Données projet'!$B$15,Paramètres!$A$1:$I$89,5,0)</f>
        <v>0.48074000000019829</v>
      </c>
      <c r="EL174" s="13">
        <f t="shared" si="179"/>
        <v>0.24126147010950588</v>
      </c>
      <c r="EM174" s="20">
        <f t="shared" si="180"/>
        <v>1.2574858937744013</v>
      </c>
      <c r="EN174" s="59">
        <f t="shared" si="128"/>
        <v>294.59081922710772</v>
      </c>
      <c r="EO174" s="59">
        <f ca="1">AVERAGE(OFFSET($EN$3,0,0,'Données projet'!$E$15+1,1))-AVERAGE(OFFSET($H$3,0,0,'Données projet'!$E$15+1,1))</f>
        <v>326.29985515186428</v>
      </c>
      <c r="EP174" s="59">
        <f t="shared" si="154"/>
        <v>437.68177084535927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37.376454066265552</v>
      </c>
      <c r="EW174" s="21">
        <f>EXP(-LN(2)/25)*EW173+(1-EXP(-LN(2)/25))/(LN(2)/25)*Calculateur!ER174*Calculateur!ET174*VLOOKUP('Données projet'!$B$15,Paramètres!$A$1:$I$89,3,0)*0.475*44/12</f>
        <v>1.0141324932393305</v>
      </c>
      <c r="EX174" s="21">
        <f>EXP(-LN(2)/2)*EX173+(1-EXP(-LN(2)/2))/(LN(2)/2)*ER174*EU174*VLOOKUP('Données projet'!$B$15,Paramètres!$A$1:$I$89,3,0)*0.475*44/12</f>
        <v>4.4317002971909726E-22</v>
      </c>
      <c r="EY174" s="22">
        <f t="shared" si="181"/>
        <v>38.390586559504882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1.7053025658242404E-13</v>
      </c>
      <c r="FF174" s="17">
        <f>FE174*VLOOKUP('Données projet'!$B$16,Paramètres!$A$1:$I$89,3,0)*VLOOKUP('Données projet'!$B$16,Paramètres!$A$1:$I$89,5,0)</f>
        <v>9.7631982498569413E-14</v>
      </c>
      <c r="FG174" s="13">
        <f t="shared" si="182"/>
        <v>1.4708068762530911E-12</v>
      </c>
      <c r="FH174" s="20">
        <f t="shared" si="183"/>
        <v>2.7316976789924749E-12</v>
      </c>
      <c r="FI174" s="59">
        <f t="shared" si="131"/>
        <v>293.33333333333604</v>
      </c>
      <c r="FJ174" s="59">
        <f ca="1">AVERAGE(OFFSET($FI$3,0,0,'Données projet'!$E$16+1,1))-AVERAGE(OFFSET($H$3,0,0,'Données projet'!$E$16+1,1))</f>
        <v>211.14768428403215</v>
      </c>
      <c r="FK174" s="59">
        <f t="shared" si="156"/>
        <v>350.7800157534798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5.0889679306529985</v>
      </c>
      <c r="FR174" s="21">
        <f>EXP(-LN(2)/25)*FR173+(1-EXP(-LN(2)/25))/(LN(2)/25)*Calculateur!FM174*Calculateur!FO174*VLOOKUP('Données projet'!$B$16,Paramètres!$A$1:$I$89,3,0)*0.475*44/12</f>
        <v>0.4314341641438833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5.5204020947968822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150.25920000000011</v>
      </c>
      <c r="D175" s="11">
        <f t="shared" si="140"/>
        <v>38.637483830798757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1458.1498400973944</v>
      </c>
      <c r="H175" s="66">
        <f t="shared" si="110"/>
        <v>622.32839100530805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259.99999999999983</v>
      </c>
      <c r="O175" s="13">
        <f>N175*VLOOKUP('Données projet'!$B$9,Paramètres!$A$1:$I$89,3,0)*VLOOKUP('Données projet'!$B$9,Paramètres!$A$1:$I$89,5,0)</f>
        <v>227.13599999999985</v>
      </c>
      <c r="P175" s="13">
        <f t="shared" si="141"/>
        <v>55.662966886685133</v>
      </c>
      <c r="Q175" s="20">
        <f t="shared" si="162"/>
        <v>492.5415339943097</v>
      </c>
      <c r="R175" s="59">
        <f t="shared" si="109"/>
        <v>785.87486732764296</v>
      </c>
      <c r="S175" s="59">
        <f ca="1">AVERAGE(OFFSET($R$3,0,0,'Données projet'!$E$9+1,1))-AVERAGE(OFFSET($H$3,0,0,'Données projet'!$E$9+1,1))</f>
        <v>252.49539407921907</v>
      </c>
      <c r="T175" s="59">
        <f t="shared" si="142"/>
        <v>263.36387286233929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15.373928785047299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15.373928785047299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19.8100000000004</v>
      </c>
      <c r="AJ175" s="13">
        <f>AI175*VLOOKUP('Données projet'!$B$10,Paramètres!$A$1:$I$89,3,0)*VLOOKUP('Données projet'!$B$10,Paramètres!$A$1:$I$89,5,0)</f>
        <v>17.924088000000364</v>
      </c>
      <c r="AK175" s="13">
        <f t="shared" si="164"/>
        <v>5.9032212091029486</v>
      </c>
      <c r="AL175" s="20">
        <f t="shared" si="165"/>
        <v>41.499230205854936</v>
      </c>
      <c r="AM175" s="59">
        <f t="shared" si="113"/>
        <v>334.83256353918824</v>
      </c>
      <c r="AN175" s="59">
        <f ca="1">AVERAGE(OFFSET($AM$3,0,0,'Données projet'!$E$10+1,1))-AVERAGE(OFFSET($H$3,0,0,'Données projet'!$E$10+1,1))</f>
        <v>370.05613271587413</v>
      </c>
      <c r="AO175" s="59">
        <f t="shared" si="144"/>
        <v>183.24480056442525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123.01966069670036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123.01966069670036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19.8100000000004</v>
      </c>
      <c r="BE175" s="13">
        <f>BD175*VLOOKUP('Données projet'!$B$11,Paramètres!$A$1:$I$89,3,0)*VLOOKUP('Données projet'!$B$11,Paramètres!$A$1:$I$89,5,0)</f>
        <v>20.08734000000041</v>
      </c>
      <c r="BF175" s="13">
        <f t="shared" si="167"/>
        <v>6.5285137703520215</v>
      </c>
      <c r="BG175" s="20">
        <f t="shared" si="168"/>
        <v>46.355945316697152</v>
      </c>
      <c r="BH175" s="59">
        <f t="shared" si="116"/>
        <v>339.68927865003047</v>
      </c>
      <c r="BI175" s="59">
        <f ca="1">AVERAGE(OFFSET($BH$3,0,0,'Données projet'!$E$11+1,1))-AVERAGE(OFFSET($H$3,0,0,'Données projet'!$E$11+1,1))</f>
        <v>428.72181435671394</v>
      </c>
      <c r="BJ175" s="59">
        <f t="shared" si="146"/>
        <v>211.84936043087572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137.8668611256125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137.8668611256125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367.99999999999972</v>
      </c>
      <c r="BZ175" s="13">
        <f>BY175*VLOOKUP('Données projet'!$B$12,Paramètres!$A$1:$I$89,3,0)*VLOOKUP('Données projet'!$B$12,Paramètres!$A$1:$I$89,5,0)</f>
        <v>292.78079999999977</v>
      </c>
      <c r="CA175" s="13">
        <f t="shared" si="170"/>
        <v>69.660903052386217</v>
      </c>
      <c r="CB175" s="20">
        <f t="shared" si="171"/>
        <v>631.25263281623893</v>
      </c>
      <c r="CC175" s="59">
        <f t="shared" si="119"/>
        <v>924.58596614957219</v>
      </c>
      <c r="CD175" s="59">
        <f ca="1">AVERAGE(OFFSET($CC$3,0,0,'Données projet'!$E$12+1,1))-AVERAGE(OFFSET($H$3,0,0,'Données projet'!$E$12+1,1))</f>
        <v>296.737543892524</v>
      </c>
      <c r="CE175" s="59">
        <f t="shared" si="148"/>
        <v>296.38358650317099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9.9662613449539901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9.9662613449539901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474.99999999999994</v>
      </c>
      <c r="CU175" s="17">
        <f>CT175*VLOOKUP('Données projet'!$B$13,Paramètres!$A$1:$I$89,3,0)*VLOOKUP('Données projet'!$B$13,Paramètres!$A$1:$I$89,5,0)</f>
        <v>407.55</v>
      </c>
      <c r="CV175" s="13">
        <f t="shared" si="173"/>
        <v>93.305642095357683</v>
      </c>
      <c r="CW175" s="20">
        <f t="shared" si="174"/>
        <v>872.32357664941446</v>
      </c>
      <c r="CX175" s="59">
        <f t="shared" si="122"/>
        <v>1165.6569099827477</v>
      </c>
      <c r="CY175" s="59">
        <f ca="1">AVERAGE(OFFSET($CX$3,0,0,'Données projet'!$E$13+1,1))-AVERAGE(OFFSET($H$3,0,0,'Données projet'!$E$13+1,1))</f>
        <v>391.93999504334352</v>
      </c>
      <c r="CZ175" s="59">
        <f t="shared" si="150"/>
        <v>215.4484906985528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43.641884658420295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43.641884658420295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367.99999999999972</v>
      </c>
      <c r="DP175" s="17">
        <f>DO175*VLOOKUP('Données projet'!$B$14,Paramètres!$A$1:$I$89,3,0)*VLOOKUP('Données projet'!$B$14,Paramètres!$A$1:$I$89,5,0)</f>
        <v>269.8175999999998</v>
      </c>
      <c r="DQ175" s="13">
        <f t="shared" si="176"/>
        <v>64.810557882019467</v>
      </c>
      <c r="DR175" s="20">
        <f t="shared" si="177"/>
        <v>582.81070831118348</v>
      </c>
      <c r="DS175" s="59">
        <f t="shared" si="125"/>
        <v>876.14404164451685</v>
      </c>
      <c r="DT175" s="59">
        <f ca="1">AVERAGE(OFFSET($DS$3,0,0,'Données projet'!$E$14+1,1))-AVERAGE(OFFSET($H$3,0,0,'Données projet'!$E$14+1,1))</f>
        <v>267.92147257573157</v>
      </c>
      <c r="DU175" s="59">
        <f t="shared" si="152"/>
        <v>269.06662611892438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7.4516515642441785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7.4516515642441785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0.8600000000003547</v>
      </c>
      <c r="EK175" s="17">
        <f>EJ175*VLOOKUP('Données projet'!$B$15,Paramètres!$A$1:$I$89,3,0)*VLOOKUP('Données projet'!$B$15,Paramètres!$A$1:$I$89,5,0)</f>
        <v>0.48074000000019829</v>
      </c>
      <c r="EL175" s="13">
        <f t="shared" si="179"/>
        <v>0.24126147010950588</v>
      </c>
      <c r="EM175" s="20">
        <f t="shared" si="180"/>
        <v>1.2574858937744013</v>
      </c>
      <c r="EN175" s="59">
        <f t="shared" si="128"/>
        <v>294.59081922710772</v>
      </c>
      <c r="EO175" s="59">
        <f ca="1">AVERAGE(OFFSET($EN$3,0,0,'Données projet'!$E$15+1,1))-AVERAGE(OFFSET($H$3,0,0,'Données projet'!$E$15+1,1))</f>
        <v>326.29985515186428</v>
      </c>
      <c r="EP175" s="59">
        <f t="shared" si="154"/>
        <v>437.68177084535927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36.643524599412011</v>
      </c>
      <c r="EW175" s="21">
        <f>EXP(-LN(2)/25)*EW174+(1-EXP(-LN(2)/25))/(LN(2)/25)*Calculateur!ER175*Calculateur!ET175*VLOOKUP('Données projet'!$B$15,Paramètres!$A$1:$I$89,3,0)*0.475*44/12</f>
        <v>0.98640098688079103</v>
      </c>
      <c r="EX175" s="21">
        <f>EXP(-LN(2)/2)*EX174+(1-EXP(-LN(2)/2))/(LN(2)/2)*ER175*EU175*VLOOKUP('Données projet'!$B$15,Paramètres!$A$1:$I$89,3,0)*0.475*44/12</f>
        <v>3.1336853323301748E-22</v>
      </c>
      <c r="EY175" s="22">
        <f t="shared" si="181"/>
        <v>37.629925586292799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1.7053025658242404E-13</v>
      </c>
      <c r="FF175" s="17">
        <f>FE175*VLOOKUP('Données projet'!$B$16,Paramètres!$A$1:$I$89,3,0)*VLOOKUP('Données projet'!$B$16,Paramètres!$A$1:$I$89,5,0)</f>
        <v>9.7631982498569413E-14</v>
      </c>
      <c r="FG175" s="13">
        <f t="shared" si="182"/>
        <v>1.4708068762530911E-12</v>
      </c>
      <c r="FH175" s="20">
        <f t="shared" si="183"/>
        <v>2.7316976789924749E-12</v>
      </c>
      <c r="FI175" s="59">
        <f t="shared" si="131"/>
        <v>293.33333333333604</v>
      </c>
      <c r="FJ175" s="59">
        <f ca="1">AVERAGE(OFFSET($FI$3,0,0,'Données projet'!$E$16+1,1))-AVERAGE(OFFSET($H$3,0,0,'Données projet'!$E$16+1,1))</f>
        <v>211.14768428403215</v>
      </c>
      <c r="FK175" s="59">
        <f t="shared" si="156"/>
        <v>350.7800157534798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4.9891763734968402</v>
      </c>
      <c r="FR175" s="21">
        <f>EXP(-LN(2)/25)*FR174+(1-EXP(-LN(2)/25))/(LN(2)/25)*Calculateur!FM175*Calculateur!FO175*VLOOKUP('Données projet'!$B$16,Paramètres!$A$1:$I$89,3,0)*0.475*44/12</f>
        <v>0.41963657423723216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5.4088129477340727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151.13280000000012</v>
      </c>
      <c r="D176" s="11">
        <f t="shared" si="140"/>
        <v>38.835905653934461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1466.4250962759863</v>
      </c>
      <c r="H176" s="66">
        <f t="shared" si="110"/>
        <v>624.19549568060279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259.99999999999983</v>
      </c>
      <c r="O176" s="13">
        <f>N176*VLOOKUP('Données projet'!$B$9,Paramètres!$A$1:$I$89,3,0)*VLOOKUP('Données projet'!$B$9,Paramètres!$A$1:$I$89,5,0)</f>
        <v>227.13599999999985</v>
      </c>
      <c r="P176" s="13">
        <f t="shared" si="141"/>
        <v>55.662966886685133</v>
      </c>
      <c r="Q176" s="20">
        <f t="shared" si="162"/>
        <v>492.5415339943097</v>
      </c>
      <c r="R176" s="59">
        <f t="shared" si="109"/>
        <v>785.87486732764296</v>
      </c>
      <c r="S176" s="59">
        <f ca="1">AVERAGE(OFFSET($R$3,0,0,'Données projet'!$E$9+1,1))-AVERAGE(OFFSET($H$3,0,0,'Données projet'!$E$9+1,1))</f>
        <v>252.49539407921907</v>
      </c>
      <c r="T176" s="59">
        <f t="shared" si="142"/>
        <v>263.36387286233929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15.072455418743163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15.072455418743163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19.8100000000004</v>
      </c>
      <c r="AJ176" s="13">
        <f>AI176*VLOOKUP('Données projet'!$B$10,Paramètres!$A$1:$I$89,3,0)*VLOOKUP('Données projet'!$B$10,Paramètres!$A$1:$I$89,5,0)</f>
        <v>17.924088000000364</v>
      </c>
      <c r="AK176" s="13">
        <f t="shared" si="164"/>
        <v>5.9032212091029486</v>
      </c>
      <c r="AL176" s="20">
        <f t="shared" si="165"/>
        <v>41.499230205854936</v>
      </c>
      <c r="AM176" s="59">
        <f t="shared" si="113"/>
        <v>334.83256353918824</v>
      </c>
      <c r="AN176" s="59">
        <f ca="1">AVERAGE(OFFSET($AM$3,0,0,'Données projet'!$E$10+1,1))-AVERAGE(OFFSET($H$3,0,0,'Données projet'!$E$10+1,1))</f>
        <v>370.05613271587413</v>
      </c>
      <c r="AO176" s="59">
        <f t="shared" si="144"/>
        <v>183.24480056442525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120.60732018502203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120.60732018502203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19.8100000000004</v>
      </c>
      <c r="BE176" s="13">
        <f>BD176*VLOOKUP('Données projet'!$B$11,Paramètres!$A$1:$I$89,3,0)*VLOOKUP('Données projet'!$B$11,Paramètres!$A$1:$I$89,5,0)</f>
        <v>20.08734000000041</v>
      </c>
      <c r="BF176" s="13">
        <f t="shared" si="167"/>
        <v>6.5285137703520215</v>
      </c>
      <c r="BG176" s="20">
        <f t="shared" si="168"/>
        <v>46.355945316697152</v>
      </c>
      <c r="BH176" s="59">
        <f t="shared" si="116"/>
        <v>339.68927865003047</v>
      </c>
      <c r="BI176" s="59">
        <f ca="1">AVERAGE(OFFSET($BH$3,0,0,'Données projet'!$E$11+1,1))-AVERAGE(OFFSET($H$3,0,0,'Données projet'!$E$11+1,1))</f>
        <v>428.72181435671394</v>
      </c>
      <c r="BJ176" s="59">
        <f t="shared" si="146"/>
        <v>211.84936043087572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135.16337606942128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135.16337606942128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367.99999999999972</v>
      </c>
      <c r="BZ176" s="13">
        <f>BY176*VLOOKUP('Données projet'!$B$12,Paramètres!$A$1:$I$89,3,0)*VLOOKUP('Données projet'!$B$12,Paramètres!$A$1:$I$89,5,0)</f>
        <v>292.78079999999977</v>
      </c>
      <c r="CA176" s="13">
        <f t="shared" si="170"/>
        <v>69.660903052386217</v>
      </c>
      <c r="CB176" s="20">
        <f t="shared" si="171"/>
        <v>631.25263281623893</v>
      </c>
      <c r="CC176" s="59">
        <f t="shared" si="119"/>
        <v>924.58596614957219</v>
      </c>
      <c r="CD176" s="59">
        <f ca="1">AVERAGE(OFFSET($CC$3,0,0,'Données projet'!$E$12+1,1))-AVERAGE(OFFSET($H$3,0,0,'Données projet'!$E$12+1,1))</f>
        <v>296.737543892524</v>
      </c>
      <c r="CE176" s="59">
        <f t="shared" si="148"/>
        <v>296.38358650317099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9.7708290387986292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9.7708290387986292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474.99999999999994</v>
      </c>
      <c r="CU176" s="17">
        <f>CT176*VLOOKUP('Données projet'!$B$13,Paramètres!$A$1:$I$89,3,0)*VLOOKUP('Données projet'!$B$13,Paramètres!$A$1:$I$89,5,0)</f>
        <v>407.55</v>
      </c>
      <c r="CV176" s="13">
        <f t="shared" si="173"/>
        <v>93.305642095357683</v>
      </c>
      <c r="CW176" s="20">
        <f t="shared" si="174"/>
        <v>872.32357664941446</v>
      </c>
      <c r="CX176" s="59">
        <f t="shared" si="122"/>
        <v>1165.6569099827477</v>
      </c>
      <c r="CY176" s="59">
        <f ca="1">AVERAGE(OFFSET($CX$3,0,0,'Données projet'!$E$13+1,1))-AVERAGE(OFFSET($H$3,0,0,'Données projet'!$E$13+1,1))</f>
        <v>391.93999504334352</v>
      </c>
      <c r="CZ176" s="59">
        <f t="shared" si="150"/>
        <v>215.4484906985528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42.786093919189916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42.786093919189916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367.99999999999972</v>
      </c>
      <c r="DP176" s="17">
        <f>DO176*VLOOKUP('Données projet'!$B$14,Paramètres!$A$1:$I$89,3,0)*VLOOKUP('Données projet'!$B$14,Paramètres!$A$1:$I$89,5,0)</f>
        <v>269.8175999999998</v>
      </c>
      <c r="DQ176" s="13">
        <f t="shared" si="176"/>
        <v>64.810557882019467</v>
      </c>
      <c r="DR176" s="20">
        <f t="shared" si="177"/>
        <v>582.81070831118348</v>
      </c>
      <c r="DS176" s="59">
        <f t="shared" si="125"/>
        <v>876.14404164451685</v>
      </c>
      <c r="DT176" s="59">
        <f ca="1">AVERAGE(OFFSET($DS$3,0,0,'Données projet'!$E$14+1,1))-AVERAGE(OFFSET($H$3,0,0,'Données projet'!$E$14+1,1))</f>
        <v>267.92147257573157</v>
      </c>
      <c r="DU176" s="59">
        <f t="shared" si="152"/>
        <v>269.06662611892438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7.3055292221280173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7.3055292221280173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0.8600000000003547</v>
      </c>
      <c r="EK176" s="17">
        <f>EJ176*VLOOKUP('Données projet'!$B$15,Paramètres!$A$1:$I$89,3,0)*VLOOKUP('Données projet'!$B$15,Paramètres!$A$1:$I$89,5,0)</f>
        <v>0.48074000000019829</v>
      </c>
      <c r="EL176" s="13">
        <f t="shared" si="179"/>
        <v>0.24126147010950588</v>
      </c>
      <c r="EM176" s="20">
        <f t="shared" si="180"/>
        <v>1.2574858937744013</v>
      </c>
      <c r="EN176" s="59">
        <f t="shared" si="128"/>
        <v>294.59081922710772</v>
      </c>
      <c r="EO176" s="59">
        <f ca="1">AVERAGE(OFFSET($EN$3,0,0,'Données projet'!$E$15+1,1))-AVERAGE(OFFSET($H$3,0,0,'Données projet'!$E$15+1,1))</f>
        <v>326.29985515186428</v>
      </c>
      <c r="EP176" s="59">
        <f t="shared" si="154"/>
        <v>437.68177084535927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35.924967432360631</v>
      </c>
      <c r="EW176" s="21">
        <f>EXP(-LN(2)/25)*EW175+(1-EXP(-LN(2)/25))/(LN(2)/25)*Calculateur!ER176*Calculateur!ET176*VLOOKUP('Données projet'!$B$15,Paramètres!$A$1:$I$89,3,0)*0.475*44/12</f>
        <v>0.95942780002196237</v>
      </c>
      <c r="EX176" s="21">
        <f>EXP(-LN(2)/2)*EX175+(1-EXP(-LN(2)/2))/(LN(2)/2)*ER176*EU176*VLOOKUP('Données projet'!$B$15,Paramètres!$A$1:$I$89,3,0)*0.475*44/12</f>
        <v>2.2158501485954863E-22</v>
      </c>
      <c r="EY176" s="22">
        <f t="shared" si="181"/>
        <v>36.884395232382595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1.7053025658242404E-13</v>
      </c>
      <c r="FF176" s="17">
        <f>FE176*VLOOKUP('Données projet'!$B$16,Paramètres!$A$1:$I$89,3,0)*VLOOKUP('Données projet'!$B$16,Paramètres!$A$1:$I$89,5,0)</f>
        <v>9.7631982498569413E-14</v>
      </c>
      <c r="FG176" s="13">
        <f t="shared" si="182"/>
        <v>1.4708068762530911E-12</v>
      </c>
      <c r="FH176" s="20">
        <f t="shared" si="183"/>
        <v>2.7316976789924749E-12</v>
      </c>
      <c r="FI176" s="59">
        <f t="shared" si="131"/>
        <v>293.33333333333604</v>
      </c>
      <c r="FJ176" s="59">
        <f ca="1">AVERAGE(OFFSET($FI$3,0,0,'Données projet'!$E$16+1,1))-AVERAGE(OFFSET($H$3,0,0,'Données projet'!$E$16+1,1))</f>
        <v>211.14768428403215</v>
      </c>
      <c r="FK176" s="59">
        <f t="shared" si="156"/>
        <v>350.7800157534798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4.891341667909674</v>
      </c>
      <c r="FR176" s="21">
        <f>EXP(-LN(2)/25)*FR175+(1-EXP(-LN(2)/25))/(LN(2)/25)*Calculateur!FM176*Calculateur!FO176*VLOOKUP('Données projet'!$B$16,Paramètres!$A$1:$I$89,3,0)*0.475*44/12</f>
        <v>0.40816159004698671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5.299503257956661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152.00640000000013</v>
      </c>
      <c r="D177" s="11">
        <f t="shared" si="140"/>
        <v>39.034194016561486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1474.6993222331073</v>
      </c>
      <c r="H177" s="66">
        <f t="shared" si="110"/>
        <v>626.06236791217816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259.99999999999983</v>
      </c>
      <c r="O177" s="13">
        <f>N177*VLOOKUP('Données projet'!$B$9,Paramètres!$A$1:$I$89,3,0)*VLOOKUP('Données projet'!$B$9,Paramètres!$A$1:$I$89,5,0)</f>
        <v>227.13599999999985</v>
      </c>
      <c r="P177" s="13">
        <f t="shared" si="141"/>
        <v>55.662966886685133</v>
      </c>
      <c r="Q177" s="20">
        <f t="shared" si="162"/>
        <v>492.5415339943097</v>
      </c>
      <c r="R177" s="59">
        <f t="shared" si="109"/>
        <v>785.87486732764296</v>
      </c>
      <c r="S177" s="59">
        <f ca="1">AVERAGE(OFFSET($R$3,0,0,'Données projet'!$E$9+1,1))-AVERAGE(OFFSET($H$3,0,0,'Données projet'!$E$9+1,1))</f>
        <v>252.49539407921907</v>
      </c>
      <c r="T177" s="59">
        <f t="shared" si="142"/>
        <v>263.36387286233929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14.776893761271653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14.776893761271653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19.8100000000004</v>
      </c>
      <c r="AJ177" s="13">
        <f>AI177*VLOOKUP('Données projet'!$B$10,Paramètres!$A$1:$I$89,3,0)*VLOOKUP('Données projet'!$B$10,Paramètres!$A$1:$I$89,5,0)</f>
        <v>17.924088000000364</v>
      </c>
      <c r="AK177" s="13">
        <f t="shared" si="164"/>
        <v>5.9032212091029486</v>
      </c>
      <c r="AL177" s="20">
        <f t="shared" si="165"/>
        <v>41.499230205854936</v>
      </c>
      <c r="AM177" s="59">
        <f t="shared" si="113"/>
        <v>334.83256353918824</v>
      </c>
      <c r="AN177" s="59">
        <f ca="1">AVERAGE(OFFSET($AM$3,0,0,'Données projet'!$E$10+1,1))-AVERAGE(OFFSET($H$3,0,0,'Données projet'!$E$10+1,1))</f>
        <v>370.05613271587413</v>
      </c>
      <c r="AO177" s="59">
        <f t="shared" si="144"/>
        <v>183.24480056442525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118.2422841993953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118.2422841993953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19.8100000000004</v>
      </c>
      <c r="BE177" s="13">
        <f>BD177*VLOOKUP('Données projet'!$B$11,Paramètres!$A$1:$I$89,3,0)*VLOOKUP('Données projet'!$B$11,Paramètres!$A$1:$I$89,5,0)</f>
        <v>20.08734000000041</v>
      </c>
      <c r="BF177" s="13">
        <f t="shared" si="167"/>
        <v>6.5285137703520215</v>
      </c>
      <c r="BG177" s="20">
        <f t="shared" si="168"/>
        <v>46.355945316697152</v>
      </c>
      <c r="BH177" s="59">
        <f t="shared" si="116"/>
        <v>339.68927865003047</v>
      </c>
      <c r="BI177" s="59">
        <f ca="1">AVERAGE(OFFSET($BH$3,0,0,'Données projet'!$E$11+1,1))-AVERAGE(OFFSET($H$3,0,0,'Données projet'!$E$11+1,1))</f>
        <v>428.72181435671394</v>
      </c>
      <c r="BJ177" s="59">
        <f t="shared" si="146"/>
        <v>211.84936043087572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132.5129047062189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132.5129047062189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367.99999999999972</v>
      </c>
      <c r="BZ177" s="13">
        <f>BY177*VLOOKUP('Données projet'!$B$12,Paramètres!$A$1:$I$89,3,0)*VLOOKUP('Données projet'!$B$12,Paramètres!$A$1:$I$89,5,0)</f>
        <v>292.78079999999977</v>
      </c>
      <c r="CA177" s="13">
        <f t="shared" si="170"/>
        <v>69.660903052386217</v>
      </c>
      <c r="CB177" s="20">
        <f t="shared" si="171"/>
        <v>631.25263281623893</v>
      </c>
      <c r="CC177" s="59">
        <f t="shared" si="119"/>
        <v>924.58596614957219</v>
      </c>
      <c r="CD177" s="59">
        <f ca="1">AVERAGE(OFFSET($CC$3,0,0,'Données projet'!$E$12+1,1))-AVERAGE(OFFSET($H$3,0,0,'Données projet'!$E$12+1,1))</f>
        <v>296.737543892524</v>
      </c>
      <c r="CE177" s="59">
        <f t="shared" si="148"/>
        <v>296.38358650317099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9.5792290409650391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9.5792290409650391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474.99999999999994</v>
      </c>
      <c r="CU177" s="17">
        <f>CT177*VLOOKUP('Données projet'!$B$13,Paramètres!$A$1:$I$89,3,0)*VLOOKUP('Données projet'!$B$13,Paramètres!$A$1:$I$89,5,0)</f>
        <v>407.55</v>
      </c>
      <c r="CV177" s="13">
        <f t="shared" si="173"/>
        <v>93.305642095357683</v>
      </c>
      <c r="CW177" s="20">
        <f t="shared" si="174"/>
        <v>872.32357664941446</v>
      </c>
      <c r="CX177" s="59">
        <f t="shared" si="122"/>
        <v>1165.6569099827477</v>
      </c>
      <c r="CY177" s="59">
        <f ca="1">AVERAGE(OFFSET($CX$3,0,0,'Données projet'!$E$13+1,1))-AVERAGE(OFFSET($H$3,0,0,'Données projet'!$E$13+1,1))</f>
        <v>391.93999504334352</v>
      </c>
      <c r="CZ177" s="59">
        <f t="shared" si="150"/>
        <v>215.4484906985528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41.947084714375031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41.947084714375031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367.99999999999972</v>
      </c>
      <c r="DP177" s="17">
        <f>DO177*VLOOKUP('Données projet'!$B$14,Paramètres!$A$1:$I$89,3,0)*VLOOKUP('Données projet'!$B$14,Paramètres!$A$1:$I$89,5,0)</f>
        <v>269.8175999999998</v>
      </c>
      <c r="DQ177" s="13">
        <f t="shared" si="176"/>
        <v>64.810557882019467</v>
      </c>
      <c r="DR177" s="20">
        <f t="shared" si="177"/>
        <v>582.81070831118348</v>
      </c>
      <c r="DS177" s="59">
        <f t="shared" si="125"/>
        <v>876.14404164451685</v>
      </c>
      <c r="DT177" s="59">
        <f ca="1">AVERAGE(OFFSET($DS$3,0,0,'Données projet'!$E$14+1,1))-AVERAGE(OFFSET($H$3,0,0,'Données projet'!$E$14+1,1))</f>
        <v>267.92147257573157</v>
      </c>
      <c r="DU177" s="59">
        <f t="shared" si="152"/>
        <v>269.06662611892438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7.1622722500149258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7.1622722500149258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0.8600000000003547</v>
      </c>
      <c r="EK177" s="17">
        <f>EJ177*VLOOKUP('Données projet'!$B$15,Paramètres!$A$1:$I$89,3,0)*VLOOKUP('Données projet'!$B$15,Paramètres!$A$1:$I$89,5,0)</f>
        <v>0.48074000000019829</v>
      </c>
      <c r="EL177" s="13">
        <f t="shared" si="179"/>
        <v>0.24126147010950588</v>
      </c>
      <c r="EM177" s="20">
        <f t="shared" si="180"/>
        <v>1.2574858937744013</v>
      </c>
      <c r="EN177" s="59">
        <f t="shared" si="128"/>
        <v>294.59081922710772</v>
      </c>
      <c r="EO177" s="59">
        <f ca="1">AVERAGE(OFFSET($EN$3,0,0,'Données projet'!$E$15+1,1))-AVERAGE(OFFSET($H$3,0,0,'Données projet'!$E$15+1,1))</f>
        <v>326.29985515186428</v>
      </c>
      <c r="EP177" s="59">
        <f t="shared" si="154"/>
        <v>437.68177084535927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35.220500733078538</v>
      </c>
      <c r="EW177" s="21">
        <f>EXP(-LN(2)/25)*EW176+(1-EXP(-LN(2)/25))/(LN(2)/25)*Calculateur!ER177*Calculateur!ET177*VLOOKUP('Données projet'!$B$15,Paramètres!$A$1:$I$89,3,0)*0.475*44/12</f>
        <v>0.93319219637624662</v>
      </c>
      <c r="EX177" s="21">
        <f>EXP(-LN(2)/2)*EX176+(1-EXP(-LN(2)/2))/(LN(2)/2)*ER177*EU177*VLOOKUP('Données projet'!$B$15,Paramètres!$A$1:$I$89,3,0)*0.475*44/12</f>
        <v>1.5668426661650874E-22</v>
      </c>
      <c r="EY177" s="22">
        <f t="shared" si="181"/>
        <v>36.153692929454785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1.7053025658242404E-13</v>
      </c>
      <c r="FF177" s="17">
        <f>FE177*VLOOKUP('Données projet'!$B$16,Paramètres!$A$1:$I$89,3,0)*VLOOKUP('Données projet'!$B$16,Paramètres!$A$1:$I$89,5,0)</f>
        <v>9.7631982498569413E-14</v>
      </c>
      <c r="FG177" s="13">
        <f t="shared" si="182"/>
        <v>1.4708068762530911E-12</v>
      </c>
      <c r="FH177" s="20">
        <f t="shared" si="183"/>
        <v>2.7316976789924749E-12</v>
      </c>
      <c r="FI177" s="59">
        <f t="shared" si="131"/>
        <v>293.33333333333604</v>
      </c>
      <c r="FJ177" s="59">
        <f ca="1">AVERAGE(OFFSET($FI$3,0,0,'Données projet'!$E$16+1,1))-AVERAGE(OFFSET($H$3,0,0,'Données projet'!$E$16+1,1))</f>
        <v>211.14768428403215</v>
      </c>
      <c r="FK177" s="59">
        <f t="shared" si="156"/>
        <v>350.7800157534798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4.7954254412257944</v>
      </c>
      <c r="FR177" s="21">
        <f>EXP(-LN(2)/25)*FR176+(1-EXP(-LN(2)/25))/(LN(2)/25)*Calculateur!FM177*Calculateur!FO177*VLOOKUP('Données projet'!$B$16,Paramètres!$A$1:$I$89,3,0)*0.475*44/12</f>
        <v>0.39700038990286668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5.1924258311286611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152.88000000000014</v>
      </c>
      <c r="D178" s="11">
        <f t="shared" si="140"/>
        <v>39.232349774697887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1482.9725245766165</v>
      </c>
      <c r="H178" s="66">
        <f t="shared" si="110"/>
        <v>627.92900919093245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259.99999999999983</v>
      </c>
      <c r="O178" s="13">
        <f>N178*VLOOKUP('Données projet'!$B$9,Paramètres!$A$1:$I$89,3,0)*VLOOKUP('Données projet'!$B$9,Paramètres!$A$1:$I$89,5,0)</f>
        <v>227.13599999999985</v>
      </c>
      <c r="P178" s="13">
        <f t="shared" si="141"/>
        <v>55.662966886685133</v>
      </c>
      <c r="Q178" s="20">
        <f t="shared" si="162"/>
        <v>492.5415339943097</v>
      </c>
      <c r="R178" s="59">
        <f t="shared" si="109"/>
        <v>785.87486732764296</v>
      </c>
      <c r="S178" s="59">
        <f ca="1">AVERAGE(OFFSET($R$3,0,0,'Données projet'!$E$9+1,1))-AVERAGE(OFFSET($H$3,0,0,'Données projet'!$E$9+1,1))</f>
        <v>252.49539407921907</v>
      </c>
      <c r="T178" s="59">
        <f t="shared" si="142"/>
        <v>263.36387286233929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14.487127887628349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14.487127887628349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19.8100000000004</v>
      </c>
      <c r="AJ178" s="13">
        <f>AI178*VLOOKUP('Données projet'!$B$10,Paramètres!$A$1:$I$89,3,0)*VLOOKUP('Données projet'!$B$10,Paramètres!$A$1:$I$89,5,0)</f>
        <v>17.924088000000364</v>
      </c>
      <c r="AK178" s="13">
        <f t="shared" si="164"/>
        <v>5.9032212091029486</v>
      </c>
      <c r="AL178" s="20">
        <f t="shared" si="165"/>
        <v>41.499230205854936</v>
      </c>
      <c r="AM178" s="59">
        <f t="shared" si="113"/>
        <v>334.83256353918824</v>
      </c>
      <c r="AN178" s="59">
        <f ca="1">AVERAGE(OFFSET($AM$3,0,0,'Données projet'!$E$10+1,1))-AVERAGE(OFFSET($H$3,0,0,'Données projet'!$E$10+1,1))</f>
        <v>370.05613271587413</v>
      </c>
      <c r="AO178" s="59">
        <f t="shared" si="144"/>
        <v>183.24480056442525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115.9236251269172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115.9236251269172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19.8100000000004</v>
      </c>
      <c r="BE178" s="13">
        <f>BD178*VLOOKUP('Données projet'!$B$11,Paramètres!$A$1:$I$89,3,0)*VLOOKUP('Données projet'!$B$11,Paramètres!$A$1:$I$89,5,0)</f>
        <v>20.08734000000041</v>
      </c>
      <c r="BF178" s="13">
        <f t="shared" si="167"/>
        <v>6.5285137703520215</v>
      </c>
      <c r="BG178" s="20">
        <f t="shared" si="168"/>
        <v>46.355945316697152</v>
      </c>
      <c r="BH178" s="59">
        <f t="shared" si="116"/>
        <v>339.68927865003047</v>
      </c>
      <c r="BI178" s="59">
        <f ca="1">AVERAGE(OFFSET($BH$3,0,0,'Données projet'!$E$11+1,1))-AVERAGE(OFFSET($H$3,0,0,'Données projet'!$E$11+1,1))</f>
        <v>428.72181435671394</v>
      </c>
      <c r="BJ178" s="59">
        <f t="shared" si="146"/>
        <v>211.84936043087572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129.91440746982101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129.91440746982101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367.99999999999972</v>
      </c>
      <c r="BZ178" s="13">
        <f>BY178*VLOOKUP('Données projet'!$B$12,Paramètres!$A$1:$I$89,3,0)*VLOOKUP('Données projet'!$B$12,Paramètres!$A$1:$I$89,5,0)</f>
        <v>292.78079999999977</v>
      </c>
      <c r="CA178" s="13">
        <f t="shared" si="170"/>
        <v>69.660903052386217</v>
      </c>
      <c r="CB178" s="20">
        <f t="shared" si="171"/>
        <v>631.25263281623893</v>
      </c>
      <c r="CC178" s="59">
        <f t="shared" si="119"/>
        <v>924.58596614957219</v>
      </c>
      <c r="CD178" s="59">
        <f ca="1">AVERAGE(OFFSET($CC$3,0,0,'Données projet'!$E$12+1,1))-AVERAGE(OFFSET($H$3,0,0,'Données projet'!$E$12+1,1))</f>
        <v>296.737543892524</v>
      </c>
      <c r="CE178" s="59">
        <f t="shared" si="148"/>
        <v>296.38358650317099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9.3913862022245063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9.3913862022245063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474.99999999999994</v>
      </c>
      <c r="CU178" s="17">
        <f>CT178*VLOOKUP('Données projet'!$B$13,Paramètres!$A$1:$I$89,3,0)*VLOOKUP('Données projet'!$B$13,Paramètres!$A$1:$I$89,5,0)</f>
        <v>407.55</v>
      </c>
      <c r="CV178" s="13">
        <f t="shared" si="173"/>
        <v>93.305642095357683</v>
      </c>
      <c r="CW178" s="20">
        <f t="shared" si="174"/>
        <v>872.32357664941446</v>
      </c>
      <c r="CX178" s="59">
        <f t="shared" si="122"/>
        <v>1165.6569099827477</v>
      </c>
      <c r="CY178" s="59">
        <f ca="1">AVERAGE(OFFSET($CX$3,0,0,'Données projet'!$E$13+1,1))-AVERAGE(OFFSET($H$3,0,0,'Données projet'!$E$13+1,1))</f>
        <v>391.93999504334352</v>
      </c>
      <c r="CZ178" s="59">
        <f t="shared" si="150"/>
        <v>215.4484906985528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41.12452796832148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41.12452796832148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367.99999999999972</v>
      </c>
      <c r="DP178" s="17">
        <f>DO178*VLOOKUP('Données projet'!$B$14,Paramètres!$A$1:$I$89,3,0)*VLOOKUP('Données projet'!$B$14,Paramètres!$A$1:$I$89,5,0)</f>
        <v>269.8175999999998</v>
      </c>
      <c r="DQ178" s="13">
        <f t="shared" si="176"/>
        <v>64.810557882019467</v>
      </c>
      <c r="DR178" s="20">
        <f t="shared" si="177"/>
        <v>582.81070831118348</v>
      </c>
      <c r="DS178" s="59">
        <f t="shared" si="125"/>
        <v>876.14404164451685</v>
      </c>
      <c r="DT178" s="59">
        <f ca="1">AVERAGE(OFFSET($DS$3,0,0,'Données projet'!$E$14+1,1))-AVERAGE(OFFSET($H$3,0,0,'Données projet'!$E$14+1,1))</f>
        <v>267.92147257573157</v>
      </c>
      <c r="DU178" s="59">
        <f t="shared" si="152"/>
        <v>269.06662611892438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7.0218244597468464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7.0218244597468464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0.8600000000003547</v>
      </c>
      <c r="EK178" s="17">
        <f>EJ178*VLOOKUP('Données projet'!$B$15,Paramètres!$A$1:$I$89,3,0)*VLOOKUP('Données projet'!$B$15,Paramètres!$A$1:$I$89,5,0)</f>
        <v>0.48074000000019829</v>
      </c>
      <c r="EL178" s="13">
        <f t="shared" si="179"/>
        <v>0.24126147010950588</v>
      </c>
      <c r="EM178" s="20">
        <f t="shared" si="180"/>
        <v>1.2574858937744013</v>
      </c>
      <c r="EN178" s="59">
        <f t="shared" si="128"/>
        <v>294.59081922710772</v>
      </c>
      <c r="EO178" s="59">
        <f ca="1">AVERAGE(OFFSET($EN$3,0,0,'Données projet'!$E$15+1,1))-AVERAGE(OFFSET($H$3,0,0,'Données projet'!$E$15+1,1))</f>
        <v>326.29985515186428</v>
      </c>
      <c r="EP178" s="59">
        <f t="shared" si="154"/>
        <v>437.68177084535927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34.529848196087109</v>
      </c>
      <c r="EW178" s="21">
        <f>EXP(-LN(2)/25)*EW177+(1-EXP(-LN(2)/25))/(LN(2)/25)*Calculateur!ER178*Calculateur!ET178*VLOOKUP('Données projet'!$B$15,Paramètres!$A$1:$I$89,3,0)*0.475*44/12</f>
        <v>0.90767400669189335</v>
      </c>
      <c r="EX178" s="21">
        <f>EXP(-LN(2)/2)*EX177+(1-EXP(-LN(2)/2))/(LN(2)/2)*ER178*EU178*VLOOKUP('Données projet'!$B$15,Paramètres!$A$1:$I$89,3,0)*0.475*44/12</f>
        <v>1.1079250742977431E-22</v>
      </c>
      <c r="EY178" s="22">
        <f t="shared" si="181"/>
        <v>35.437522202779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1.7053025658242404E-13</v>
      </c>
      <c r="FF178" s="17">
        <f>FE178*VLOOKUP('Données projet'!$B$16,Paramètres!$A$1:$I$89,3,0)*VLOOKUP('Données projet'!$B$16,Paramètres!$A$1:$I$89,5,0)</f>
        <v>9.7631982498569413E-14</v>
      </c>
      <c r="FG178" s="13">
        <f t="shared" si="182"/>
        <v>1.4708068762530911E-12</v>
      </c>
      <c r="FH178" s="20">
        <f t="shared" si="183"/>
        <v>2.7316976789924749E-12</v>
      </c>
      <c r="FI178" s="59">
        <f t="shared" si="131"/>
        <v>293.33333333333604</v>
      </c>
      <c r="FJ178" s="59">
        <f ca="1">AVERAGE(OFFSET($FI$3,0,0,'Données projet'!$E$16+1,1))-AVERAGE(OFFSET($H$3,0,0,'Données projet'!$E$16+1,1))</f>
        <v>211.14768428403215</v>
      </c>
      <c r="FK178" s="59">
        <f t="shared" si="156"/>
        <v>350.7800157534798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4.7013900732440641</v>
      </c>
      <c r="FR178" s="21">
        <f>EXP(-LN(2)/25)*FR177+(1-EXP(-LN(2)/25))/(LN(2)/25)*Calculateur!FM178*Calculateur!FO178*VLOOKUP('Données projet'!$B$16,Paramètres!$A$1:$I$89,3,0)*0.475*44/12</f>
        <v>0.38614439336362966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5.0875344666076936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153.75360000000015</v>
      </c>
      <c r="D179" s="11">
        <f t="shared" si="140"/>
        <v>39.430373774012395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1491.2447098344828</v>
      </c>
      <c r="H179" s="66">
        <f t="shared" si="110"/>
        <v>629.79542098973843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259.99999999999983</v>
      </c>
      <c r="O179" s="13">
        <f>N179*VLOOKUP('Données projet'!$B$9,Paramètres!$A$1:$I$89,3,0)*VLOOKUP('Données projet'!$B$9,Paramètres!$A$1:$I$89,5,0)</f>
        <v>227.13599999999985</v>
      </c>
      <c r="P179" s="13">
        <f t="shared" si="141"/>
        <v>55.662966886685133</v>
      </c>
      <c r="Q179" s="20">
        <f t="shared" si="162"/>
        <v>492.5415339943097</v>
      </c>
      <c r="R179" s="59">
        <f t="shared" si="109"/>
        <v>785.87486732764296</v>
      </c>
      <c r="S179" s="59">
        <f ca="1">AVERAGE(OFFSET($R$3,0,0,'Données projet'!$E$9+1,1))-AVERAGE(OFFSET($H$3,0,0,'Données projet'!$E$9+1,1))</f>
        <v>252.49539407921907</v>
      </c>
      <c r="T179" s="59">
        <f t="shared" si="142"/>
        <v>263.36387286233929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14.203044146027459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14.203044146027459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19.8100000000004</v>
      </c>
      <c r="AJ179" s="13">
        <f>AI179*VLOOKUP('Données projet'!$B$10,Paramètres!$A$1:$I$89,3,0)*VLOOKUP('Données projet'!$B$10,Paramètres!$A$1:$I$89,5,0)</f>
        <v>17.924088000000364</v>
      </c>
      <c r="AK179" s="13">
        <f t="shared" si="164"/>
        <v>5.9032212091029486</v>
      </c>
      <c r="AL179" s="20">
        <f t="shared" si="165"/>
        <v>41.499230205854936</v>
      </c>
      <c r="AM179" s="59">
        <f t="shared" si="113"/>
        <v>334.83256353918824</v>
      </c>
      <c r="AN179" s="59">
        <f ca="1">AVERAGE(OFFSET($AM$3,0,0,'Données projet'!$E$10+1,1))-AVERAGE(OFFSET($H$3,0,0,'Données projet'!$E$10+1,1))</f>
        <v>370.05613271587413</v>
      </c>
      <c r="AO179" s="59">
        <f t="shared" si="144"/>
        <v>183.24480056442525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113.65043354460801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113.65043354460801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19.8100000000004</v>
      </c>
      <c r="BE179" s="13">
        <f>BD179*VLOOKUP('Données projet'!$B$11,Paramètres!$A$1:$I$89,3,0)*VLOOKUP('Données projet'!$B$11,Paramètres!$A$1:$I$89,5,0)</f>
        <v>20.08734000000041</v>
      </c>
      <c r="BF179" s="13">
        <f t="shared" si="167"/>
        <v>6.5285137703520215</v>
      </c>
      <c r="BG179" s="20">
        <f t="shared" si="168"/>
        <v>46.355945316697152</v>
      </c>
      <c r="BH179" s="59">
        <f t="shared" si="116"/>
        <v>339.68927865003047</v>
      </c>
      <c r="BI179" s="59">
        <f ca="1">AVERAGE(OFFSET($BH$3,0,0,'Données projet'!$E$11+1,1))-AVERAGE(OFFSET($H$3,0,0,'Données projet'!$E$11+1,1))</f>
        <v>428.72181435671394</v>
      </c>
      <c r="BJ179" s="59">
        <f t="shared" si="146"/>
        <v>211.84936043087572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127.36686517930208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127.36686517930208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367.99999999999972</v>
      </c>
      <c r="BZ179" s="13">
        <f>BY179*VLOOKUP('Données projet'!$B$12,Paramètres!$A$1:$I$89,3,0)*VLOOKUP('Données projet'!$B$12,Paramètres!$A$1:$I$89,5,0)</f>
        <v>292.78079999999977</v>
      </c>
      <c r="CA179" s="13">
        <f t="shared" si="170"/>
        <v>69.660903052386217</v>
      </c>
      <c r="CB179" s="20">
        <f t="shared" si="171"/>
        <v>631.25263281623893</v>
      </c>
      <c r="CC179" s="59">
        <f t="shared" si="119"/>
        <v>924.58596614957219</v>
      </c>
      <c r="CD179" s="59">
        <f ca="1">AVERAGE(OFFSET($CC$3,0,0,'Données projet'!$E$12+1,1))-AVERAGE(OFFSET($H$3,0,0,'Données projet'!$E$12+1,1))</f>
        <v>296.737543892524</v>
      </c>
      <c r="CE179" s="59">
        <f t="shared" si="148"/>
        <v>296.38358650317099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9.2072268469788554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9.2072268469788554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474.99999999999994</v>
      </c>
      <c r="CU179" s="17">
        <f>CT179*VLOOKUP('Données projet'!$B$13,Paramètres!$A$1:$I$89,3,0)*VLOOKUP('Données projet'!$B$13,Paramètres!$A$1:$I$89,5,0)</f>
        <v>407.55</v>
      </c>
      <c r="CV179" s="13">
        <f t="shared" si="173"/>
        <v>93.305642095357683</v>
      </c>
      <c r="CW179" s="20">
        <f t="shared" si="174"/>
        <v>872.32357664941446</v>
      </c>
      <c r="CX179" s="59">
        <f t="shared" si="122"/>
        <v>1165.6569099827477</v>
      </c>
      <c r="CY179" s="59">
        <f ca="1">AVERAGE(OFFSET($CX$3,0,0,'Données projet'!$E$13+1,1))-AVERAGE(OFFSET($H$3,0,0,'Données projet'!$E$13+1,1))</f>
        <v>391.93999504334352</v>
      </c>
      <c r="CZ179" s="59">
        <f t="shared" si="150"/>
        <v>215.4484906985528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40.31810105834797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40.31810105834797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367.99999999999972</v>
      </c>
      <c r="DP179" s="17">
        <f>DO179*VLOOKUP('Données projet'!$B$14,Paramètres!$A$1:$I$89,3,0)*VLOOKUP('Données projet'!$B$14,Paramètres!$A$1:$I$89,5,0)</f>
        <v>269.8175999999998</v>
      </c>
      <c r="DQ179" s="13">
        <f t="shared" si="176"/>
        <v>64.810557882019467</v>
      </c>
      <c r="DR179" s="20">
        <f t="shared" si="177"/>
        <v>582.81070831118348</v>
      </c>
      <c r="DS179" s="59">
        <f t="shared" si="125"/>
        <v>876.14404164451685</v>
      </c>
      <c r="DT179" s="59">
        <f ca="1">AVERAGE(OFFSET($DS$3,0,0,'Données projet'!$E$14+1,1))-AVERAGE(OFFSET($H$3,0,0,'Données projet'!$E$14+1,1))</f>
        <v>267.92147257573157</v>
      </c>
      <c r="DU179" s="59">
        <f t="shared" si="152"/>
        <v>269.06662611892438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6.8841307649812311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6.8841307649812311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0.8600000000003547</v>
      </c>
      <c r="EK179" s="17">
        <f>EJ179*VLOOKUP('Données projet'!$B$15,Paramètres!$A$1:$I$89,3,0)*VLOOKUP('Données projet'!$B$15,Paramètres!$A$1:$I$89,5,0)</f>
        <v>0.48074000000019829</v>
      </c>
      <c r="EL179" s="13">
        <f t="shared" si="179"/>
        <v>0.24126147010950588</v>
      </c>
      <c r="EM179" s="20">
        <f t="shared" si="180"/>
        <v>1.2574858937744013</v>
      </c>
      <c r="EN179" s="59">
        <f t="shared" si="128"/>
        <v>294.59081922710772</v>
      </c>
      <c r="EO179" s="59">
        <f ca="1">AVERAGE(OFFSET($EN$3,0,0,'Données projet'!$E$15+1,1))-AVERAGE(OFFSET($H$3,0,0,'Données projet'!$E$15+1,1))</f>
        <v>326.29985515186428</v>
      </c>
      <c r="EP179" s="59">
        <f t="shared" si="154"/>
        <v>437.68177084535927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33.852738934089629</v>
      </c>
      <c r="EW179" s="21">
        <f>EXP(-LN(2)/25)*EW178+(1-EXP(-LN(2)/25))/(LN(2)/25)*Calculateur!ER179*Calculateur!ET179*VLOOKUP('Données projet'!$B$15,Paramètres!$A$1:$I$89,3,0)*0.475*44/12</f>
        <v>0.88285361324640199</v>
      </c>
      <c r="EX179" s="21">
        <f>EXP(-LN(2)/2)*EX178+(1-EXP(-LN(2)/2))/(LN(2)/2)*ER179*EU179*VLOOKUP('Données projet'!$B$15,Paramètres!$A$1:$I$89,3,0)*0.475*44/12</f>
        <v>7.8342133308254369E-23</v>
      </c>
      <c r="EY179" s="22">
        <f t="shared" si="181"/>
        <v>34.735592547336033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1.7053025658242404E-13</v>
      </c>
      <c r="FF179" s="17">
        <f>FE179*VLOOKUP('Données projet'!$B$16,Paramètres!$A$1:$I$89,3,0)*VLOOKUP('Données projet'!$B$16,Paramètres!$A$1:$I$89,5,0)</f>
        <v>9.7631982498569413E-14</v>
      </c>
      <c r="FG179" s="13">
        <f t="shared" si="182"/>
        <v>1.4708068762530911E-12</v>
      </c>
      <c r="FH179" s="20">
        <f t="shared" si="183"/>
        <v>2.7316976789924749E-12</v>
      </c>
      <c r="FI179" s="59">
        <f t="shared" si="131"/>
        <v>293.33333333333604</v>
      </c>
      <c r="FJ179" s="59">
        <f ca="1">AVERAGE(OFFSET($FI$3,0,0,'Données projet'!$E$16+1,1))-AVERAGE(OFFSET($H$3,0,0,'Données projet'!$E$16+1,1))</f>
        <v>211.14768428403215</v>
      </c>
      <c r="FK179" s="59">
        <f t="shared" si="156"/>
        <v>350.7800157534798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4.6091986814725443</v>
      </c>
      <c r="FR179" s="21">
        <f>EXP(-LN(2)/25)*FR178+(1-EXP(-LN(2)/25))/(LN(2)/25)*Calculateur!FM179*Calculateur!FO179*VLOOKUP('Données projet'!$B$16,Paramètres!$A$1:$I$89,3,0)*0.475*44/12</f>
        <v>0.37558525462065012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4.9847839360931943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154.62720000000016</v>
      </c>
      <c r="D180" s="11">
        <f t="shared" si="140"/>
        <v>39.628266850007975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1499.5158844562031</v>
      </c>
      <c r="H180" s="66">
        <f t="shared" si="110"/>
        <v>631.6616047637641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259.99999999999983</v>
      </c>
      <c r="O180" s="13">
        <f>N180*VLOOKUP('Données projet'!$B$9,Paramètres!$A$1:$I$89,3,0)*VLOOKUP('Données projet'!$B$9,Paramètres!$A$1:$I$89,5,0)</f>
        <v>227.13599999999985</v>
      </c>
      <c r="P180" s="13">
        <f t="shared" si="141"/>
        <v>55.662966886685133</v>
      </c>
      <c r="Q180" s="20">
        <f t="shared" si="162"/>
        <v>492.5415339943097</v>
      </c>
      <c r="R180" s="59">
        <f t="shared" si="109"/>
        <v>785.87486732764296</v>
      </c>
      <c r="S180" s="59">
        <f ca="1">AVERAGE(OFFSET($R$3,0,0,'Données projet'!$E$9+1,1))-AVERAGE(OFFSET($H$3,0,0,'Données projet'!$E$9+1,1))</f>
        <v>252.49539407921907</v>
      </c>
      <c r="T180" s="59">
        <f t="shared" si="142"/>
        <v>263.36387286233929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13.924531113325388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13.924531113325388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19.8100000000004</v>
      </c>
      <c r="AJ180" s="13">
        <f>AI180*VLOOKUP('Données projet'!$B$10,Paramètres!$A$1:$I$89,3,0)*VLOOKUP('Données projet'!$B$10,Paramètres!$A$1:$I$89,5,0)</f>
        <v>17.924088000000364</v>
      </c>
      <c r="AK180" s="13">
        <f t="shared" si="164"/>
        <v>5.9032212091029486</v>
      </c>
      <c r="AL180" s="20">
        <f t="shared" si="165"/>
        <v>41.499230205854936</v>
      </c>
      <c r="AM180" s="59">
        <f t="shared" si="113"/>
        <v>334.83256353918824</v>
      </c>
      <c r="AN180" s="59">
        <f ca="1">AVERAGE(OFFSET($AM$3,0,0,'Données projet'!$E$10+1,1))-AVERAGE(OFFSET($H$3,0,0,'Données projet'!$E$10+1,1))</f>
        <v>370.05613271587413</v>
      </c>
      <c r="AO180" s="59">
        <f t="shared" si="144"/>
        <v>183.24480056442525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111.42181786271793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111.42181786271793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19.8100000000004</v>
      </c>
      <c r="BE180" s="13">
        <f>BD180*VLOOKUP('Données projet'!$B$11,Paramètres!$A$1:$I$89,3,0)*VLOOKUP('Données projet'!$B$11,Paramètres!$A$1:$I$89,5,0)</f>
        <v>20.08734000000041</v>
      </c>
      <c r="BF180" s="13">
        <f t="shared" si="167"/>
        <v>6.5285137703520215</v>
      </c>
      <c r="BG180" s="20">
        <f t="shared" si="168"/>
        <v>46.355945316697152</v>
      </c>
      <c r="BH180" s="59">
        <f t="shared" si="116"/>
        <v>339.68927865003047</v>
      </c>
      <c r="BI180" s="59">
        <f ca="1">AVERAGE(OFFSET($BH$3,0,0,'Données projet'!$E$11+1,1))-AVERAGE(OFFSET($H$3,0,0,'Données projet'!$E$11+1,1))</f>
        <v>428.72181435671394</v>
      </c>
      <c r="BJ180" s="59">
        <f t="shared" si="146"/>
        <v>211.84936043087572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124.86927863925285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124.86927863925285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367.99999999999972</v>
      </c>
      <c r="BZ180" s="13">
        <f>BY180*VLOOKUP('Données projet'!$B$12,Paramètres!$A$1:$I$89,3,0)*VLOOKUP('Données projet'!$B$12,Paramètres!$A$1:$I$89,5,0)</f>
        <v>292.78079999999977</v>
      </c>
      <c r="CA180" s="13">
        <f t="shared" si="170"/>
        <v>69.660903052386217</v>
      </c>
      <c r="CB180" s="20">
        <f t="shared" si="171"/>
        <v>631.25263281623893</v>
      </c>
      <c r="CC180" s="59">
        <f t="shared" si="119"/>
        <v>924.58596614957219</v>
      </c>
      <c r="CD180" s="59">
        <f ca="1">AVERAGE(OFFSET($CC$3,0,0,'Données projet'!$E$12+1,1))-AVERAGE(OFFSET($H$3,0,0,'Données projet'!$E$12+1,1))</f>
        <v>296.737543892524</v>
      </c>
      <c r="CE180" s="59">
        <f t="shared" si="148"/>
        <v>296.38358650317099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9.0266787443634566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9.0266787443634566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474.99999999999994</v>
      </c>
      <c r="CU180" s="17">
        <f>CT180*VLOOKUP('Données projet'!$B$13,Paramètres!$A$1:$I$89,3,0)*VLOOKUP('Données projet'!$B$13,Paramètres!$A$1:$I$89,5,0)</f>
        <v>407.55</v>
      </c>
      <c r="CV180" s="13">
        <f t="shared" si="173"/>
        <v>93.305642095357683</v>
      </c>
      <c r="CW180" s="20">
        <f t="shared" si="174"/>
        <v>872.32357664941446</v>
      </c>
      <c r="CX180" s="59">
        <f t="shared" si="122"/>
        <v>1165.6569099827477</v>
      </c>
      <c r="CY180" s="59">
        <f ca="1">AVERAGE(OFFSET($CX$3,0,0,'Données projet'!$E$13+1,1))-AVERAGE(OFFSET($H$3,0,0,'Données projet'!$E$13+1,1))</f>
        <v>391.93999504334352</v>
      </c>
      <c r="CZ180" s="59">
        <f t="shared" si="150"/>
        <v>215.4484906985528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39.527487688207195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39.527487688207195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367.99999999999972</v>
      </c>
      <c r="DP180" s="17">
        <f>DO180*VLOOKUP('Données projet'!$B$14,Paramètres!$A$1:$I$89,3,0)*VLOOKUP('Données projet'!$B$14,Paramètres!$A$1:$I$89,5,0)</f>
        <v>269.8175999999998</v>
      </c>
      <c r="DQ180" s="13">
        <f t="shared" si="176"/>
        <v>64.810557882019467</v>
      </c>
      <c r="DR180" s="20">
        <f t="shared" si="177"/>
        <v>582.81070831118348</v>
      </c>
      <c r="DS180" s="59">
        <f t="shared" si="125"/>
        <v>876.14404164451685</v>
      </c>
      <c r="DT180" s="59">
        <f ca="1">AVERAGE(OFFSET($DS$3,0,0,'Données projet'!$E$14+1,1))-AVERAGE(OFFSET($H$3,0,0,'Données projet'!$E$14+1,1))</f>
        <v>267.92147257573157</v>
      </c>
      <c r="DU180" s="59">
        <f t="shared" si="152"/>
        <v>269.06662611892438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6.749137159585108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6.749137159585108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0.8600000000003547</v>
      </c>
      <c r="EK180" s="17">
        <f>EJ180*VLOOKUP('Données projet'!$B$15,Paramètres!$A$1:$I$89,3,0)*VLOOKUP('Données projet'!$B$15,Paramètres!$A$1:$I$89,5,0)</f>
        <v>0.48074000000019829</v>
      </c>
      <c r="EL180" s="13">
        <f t="shared" si="179"/>
        <v>0.24126147010950588</v>
      </c>
      <c r="EM180" s="20">
        <f t="shared" si="180"/>
        <v>1.2574858937744013</v>
      </c>
      <c r="EN180" s="59">
        <f t="shared" si="128"/>
        <v>294.59081922710772</v>
      </c>
      <c r="EO180" s="59">
        <f ca="1">AVERAGE(OFFSET($EN$3,0,0,'Données projet'!$E$15+1,1))-AVERAGE(OFFSET($H$3,0,0,'Données projet'!$E$15+1,1))</f>
        <v>326.29985515186428</v>
      </c>
      <c r="EP180" s="59">
        <f t="shared" si="154"/>
        <v>437.68177084535927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33.188907371724049</v>
      </c>
      <c r="EW180" s="21">
        <f>EXP(-LN(2)/25)*EW179+(1-EXP(-LN(2)/25))/(LN(2)/25)*Calculateur!ER180*Calculateur!ET180*VLOOKUP('Données projet'!$B$15,Paramètres!$A$1:$I$89,3,0)*0.475*44/12</f>
        <v>0.85871193476492536</v>
      </c>
      <c r="EX180" s="21">
        <f>EXP(-LN(2)/2)*EX179+(1-EXP(-LN(2)/2))/(LN(2)/2)*ER180*EU180*VLOOKUP('Données projet'!$B$15,Paramètres!$A$1:$I$89,3,0)*0.475*44/12</f>
        <v>5.5396253714887157E-23</v>
      </c>
      <c r="EY180" s="22">
        <f t="shared" si="181"/>
        <v>34.047619306488976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1.7053025658242404E-13</v>
      </c>
      <c r="FF180" s="17">
        <f>FE180*VLOOKUP('Données projet'!$B$16,Paramètres!$A$1:$I$89,3,0)*VLOOKUP('Données projet'!$B$16,Paramètres!$A$1:$I$89,5,0)</f>
        <v>9.7631982498569413E-14</v>
      </c>
      <c r="FG180" s="13">
        <f t="shared" si="182"/>
        <v>1.4708068762530911E-12</v>
      </c>
      <c r="FH180" s="20">
        <f t="shared" si="183"/>
        <v>2.7316976789924749E-12</v>
      </c>
      <c r="FI180" s="59">
        <f t="shared" si="131"/>
        <v>293.33333333333604</v>
      </c>
      <c r="FJ180" s="59">
        <f ca="1">AVERAGE(OFFSET($FI$3,0,0,'Données projet'!$E$16+1,1))-AVERAGE(OFFSET($H$3,0,0,'Données projet'!$E$16+1,1))</f>
        <v>211.14768428403215</v>
      </c>
      <c r="FK180" s="59">
        <f t="shared" si="156"/>
        <v>350.7800157534798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4.5188151066624673</v>
      </c>
      <c r="FR180" s="21">
        <f>EXP(-LN(2)/25)*FR179+(1-EXP(-LN(2)/25))/(LN(2)/25)*Calculateur!FM180*Calculateur!FO180*VLOOKUP('Données projet'!$B$16,Paramètres!$A$1:$I$89,3,0)*0.475*44/12</f>
        <v>0.3653148560818783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4.8841299627443453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155.50080000000017</v>
      </c>
      <c r="D181" s="11">
        <f t="shared" si="140"/>
        <v>39.826029828200369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1507.7860548141798</v>
      </c>
      <c r="H181" s="66">
        <f t="shared" si="110"/>
        <v>633.52756195078257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259.99999999999983</v>
      </c>
      <c r="O181" s="13">
        <f>N181*VLOOKUP('Données projet'!$B$9,Paramètres!$A$1:$I$89,3,0)*VLOOKUP('Données projet'!$B$9,Paramètres!$A$1:$I$89,5,0)</f>
        <v>227.13599999999985</v>
      </c>
      <c r="P181" s="13">
        <f t="shared" si="141"/>
        <v>55.662966886685133</v>
      </c>
      <c r="Q181" s="20">
        <f t="shared" si="162"/>
        <v>492.5415339943097</v>
      </c>
      <c r="R181" s="59">
        <f t="shared" si="109"/>
        <v>785.87486732764296</v>
      </c>
      <c r="S181" s="59">
        <f ca="1">AVERAGE(OFFSET($R$3,0,0,'Données projet'!$E$9+1,1))-AVERAGE(OFFSET($H$3,0,0,'Données projet'!$E$9+1,1))</f>
        <v>252.49539407921907</v>
      </c>
      <c r="T181" s="59">
        <f t="shared" si="142"/>
        <v>263.36387286233929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13.651479551318429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13.651479551318429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19.8100000000004</v>
      </c>
      <c r="AJ181" s="13">
        <f>AI181*VLOOKUP('Données projet'!$B$10,Paramètres!$A$1:$I$89,3,0)*VLOOKUP('Données projet'!$B$10,Paramètres!$A$1:$I$89,5,0)</f>
        <v>17.924088000000364</v>
      </c>
      <c r="AK181" s="13">
        <f t="shared" si="164"/>
        <v>5.9032212091029486</v>
      </c>
      <c r="AL181" s="20">
        <f t="shared" si="165"/>
        <v>41.499230205854936</v>
      </c>
      <c r="AM181" s="59">
        <f t="shared" si="113"/>
        <v>334.83256353918824</v>
      </c>
      <c r="AN181" s="59">
        <f ca="1">AVERAGE(OFFSET($AM$3,0,0,'Données projet'!$E$10+1,1))-AVERAGE(OFFSET($H$3,0,0,'Données projet'!$E$10+1,1))</f>
        <v>370.05613271587413</v>
      </c>
      <c r="AO181" s="59">
        <f t="shared" si="144"/>
        <v>183.24480056442525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109.23690397502837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109.23690397502837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19.8100000000004</v>
      </c>
      <c r="BE181" s="13">
        <f>BD181*VLOOKUP('Données projet'!$B$11,Paramètres!$A$1:$I$89,3,0)*VLOOKUP('Données projet'!$B$11,Paramètres!$A$1:$I$89,5,0)</f>
        <v>20.08734000000041</v>
      </c>
      <c r="BF181" s="13">
        <f t="shared" si="167"/>
        <v>6.5285137703520215</v>
      </c>
      <c r="BG181" s="20">
        <f t="shared" si="168"/>
        <v>46.355945316697152</v>
      </c>
      <c r="BH181" s="59">
        <f t="shared" si="116"/>
        <v>339.68927865003047</v>
      </c>
      <c r="BI181" s="59">
        <f ca="1">AVERAGE(OFFSET($BH$3,0,0,'Données projet'!$E$11+1,1))-AVERAGE(OFFSET($H$3,0,0,'Données projet'!$E$11+1,1))</f>
        <v>428.72181435671394</v>
      </c>
      <c r="BJ181" s="59">
        <f t="shared" si="146"/>
        <v>211.84936043087572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122.42066824787663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122.42066824787663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367.99999999999972</v>
      </c>
      <c r="BZ181" s="13">
        <f>BY181*VLOOKUP('Données projet'!$B$12,Paramètres!$A$1:$I$89,3,0)*VLOOKUP('Données projet'!$B$12,Paramètres!$A$1:$I$89,5,0)</f>
        <v>292.78079999999977</v>
      </c>
      <c r="CA181" s="13">
        <f t="shared" si="170"/>
        <v>69.660903052386217</v>
      </c>
      <c r="CB181" s="20">
        <f t="shared" si="171"/>
        <v>631.25263281623893</v>
      </c>
      <c r="CC181" s="59">
        <f t="shared" si="119"/>
        <v>924.58596614957219</v>
      </c>
      <c r="CD181" s="59">
        <f ca="1">AVERAGE(OFFSET($CC$3,0,0,'Données projet'!$E$12+1,1))-AVERAGE(OFFSET($H$3,0,0,'Données projet'!$E$12+1,1))</f>
        <v>296.737543892524</v>
      </c>
      <c r="CE181" s="59">
        <f t="shared" si="148"/>
        <v>296.38358650317099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8.8496710799168774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8.8496710799168774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474.99999999999994</v>
      </c>
      <c r="CU181" s="17">
        <f>CT181*VLOOKUP('Données projet'!$B$13,Paramètres!$A$1:$I$89,3,0)*VLOOKUP('Données projet'!$B$13,Paramètres!$A$1:$I$89,5,0)</f>
        <v>407.55</v>
      </c>
      <c r="CV181" s="13">
        <f t="shared" si="173"/>
        <v>93.305642095357683</v>
      </c>
      <c r="CW181" s="20">
        <f t="shared" si="174"/>
        <v>872.32357664941446</v>
      </c>
      <c r="CX181" s="59">
        <f t="shared" si="122"/>
        <v>1165.6569099827477</v>
      </c>
      <c r="CY181" s="59">
        <f ca="1">AVERAGE(OFFSET($CX$3,0,0,'Données projet'!$E$13+1,1))-AVERAGE(OFFSET($H$3,0,0,'Données projet'!$E$13+1,1))</f>
        <v>391.93999504334352</v>
      </c>
      <c r="CZ181" s="59">
        <f t="shared" si="150"/>
        <v>215.4484906985528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38.752377764028338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38.752377764028338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367.99999999999972</v>
      </c>
      <c r="DP181" s="17">
        <f>DO181*VLOOKUP('Données projet'!$B$14,Paramètres!$A$1:$I$89,3,0)*VLOOKUP('Données projet'!$B$14,Paramètres!$A$1:$I$89,5,0)</f>
        <v>269.8175999999998</v>
      </c>
      <c r="DQ181" s="13">
        <f t="shared" si="176"/>
        <v>64.810557882019467</v>
      </c>
      <c r="DR181" s="20">
        <f t="shared" si="177"/>
        <v>582.81070831118348</v>
      </c>
      <c r="DS181" s="59">
        <f t="shared" si="125"/>
        <v>876.14404164451685</v>
      </c>
      <c r="DT181" s="59">
        <f ca="1">AVERAGE(OFFSET($DS$3,0,0,'Données projet'!$E$14+1,1))-AVERAGE(OFFSET($H$3,0,0,'Données projet'!$E$14+1,1))</f>
        <v>267.92147257573157</v>
      </c>
      <c r="DU181" s="59">
        <f t="shared" si="152"/>
        <v>269.06662611892438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6.616790696452834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6.616790696452834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0.8600000000003547</v>
      </c>
      <c r="EK181" s="17">
        <f>EJ181*VLOOKUP('Données projet'!$B$15,Paramètres!$A$1:$I$89,3,0)*VLOOKUP('Données projet'!$B$15,Paramètres!$A$1:$I$89,5,0)</f>
        <v>0.48074000000019829</v>
      </c>
      <c r="EL181" s="13">
        <f t="shared" si="179"/>
        <v>0.24126147010950588</v>
      </c>
      <c r="EM181" s="20">
        <f t="shared" si="180"/>
        <v>1.2574858937744013</v>
      </c>
      <c r="EN181" s="59">
        <f t="shared" si="128"/>
        <v>294.59081922710772</v>
      </c>
      <c r="EO181" s="59">
        <f ca="1">AVERAGE(OFFSET($EN$3,0,0,'Données projet'!$E$15+1,1))-AVERAGE(OFFSET($H$3,0,0,'Données projet'!$E$15+1,1))</f>
        <v>326.29985515186428</v>
      </c>
      <c r="EP181" s="59">
        <f t="shared" si="154"/>
        <v>437.68177084535927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32.538093141399187</v>
      </c>
      <c r="EW181" s="21">
        <f>EXP(-LN(2)/25)*EW180+(1-EXP(-LN(2)/25))/(LN(2)/25)*Calculateur!ER181*Calculateur!ET181*VLOOKUP('Données projet'!$B$15,Paramètres!$A$1:$I$89,3,0)*0.475*44/12</f>
        <v>0.83523041175108048</v>
      </c>
      <c r="EX181" s="21">
        <f>EXP(-LN(2)/2)*EX180+(1-EXP(-LN(2)/2))/(LN(2)/2)*ER181*EU181*VLOOKUP('Données projet'!$B$15,Paramètres!$A$1:$I$89,3,0)*0.475*44/12</f>
        <v>3.9171066654127185E-23</v>
      </c>
      <c r="EY181" s="22">
        <f t="shared" si="181"/>
        <v>33.373323553150271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1.7053025658242404E-13</v>
      </c>
      <c r="FF181" s="17">
        <f>FE181*VLOOKUP('Données projet'!$B$16,Paramètres!$A$1:$I$89,3,0)*VLOOKUP('Données projet'!$B$16,Paramètres!$A$1:$I$89,5,0)</f>
        <v>9.7631982498569413E-14</v>
      </c>
      <c r="FG181" s="13">
        <f t="shared" si="182"/>
        <v>1.4708068762530911E-12</v>
      </c>
      <c r="FH181" s="20">
        <f t="shared" si="183"/>
        <v>2.7316976789924749E-12</v>
      </c>
      <c r="FI181" s="59">
        <f t="shared" si="131"/>
        <v>293.33333333333604</v>
      </c>
      <c r="FJ181" s="59">
        <f ca="1">AVERAGE(OFFSET($FI$3,0,0,'Données projet'!$E$16+1,1))-AVERAGE(OFFSET($H$3,0,0,'Données projet'!$E$16+1,1))</f>
        <v>211.14768428403215</v>
      </c>
      <c r="FK181" s="59">
        <f t="shared" si="156"/>
        <v>350.7800157534798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4.4302038986258792</v>
      </c>
      <c r="FR181" s="21">
        <f>EXP(-LN(2)/25)*FR180+(1-EXP(-LN(2)/25))/(LN(2)/25)*Calculateur!FM181*Calculateur!FO181*VLOOKUP('Données projet'!$B$16,Paramètres!$A$1:$I$89,3,0)*0.475*44/12</f>
        <v>0.35532530213124602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4.7855292007571251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156.37440000000018</v>
      </c>
      <c r="D182" s="11">
        <f t="shared" si="140"/>
        <v>40.023663524293241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1516.055227205072</v>
      </c>
      <c r="H182" s="66">
        <f t="shared" si="110"/>
        <v>635.39329397147765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259.99999999999983</v>
      </c>
      <c r="O182" s="13">
        <f>N182*VLOOKUP('Données projet'!$B$9,Paramètres!$A$1:$I$89,3,0)*VLOOKUP('Données projet'!$B$9,Paramètres!$A$1:$I$89,5,0)</f>
        <v>227.13599999999985</v>
      </c>
      <c r="P182" s="13">
        <f t="shared" si="141"/>
        <v>55.662966886685133</v>
      </c>
      <c r="Q182" s="20">
        <f t="shared" si="162"/>
        <v>492.5415339943097</v>
      </c>
      <c r="R182" s="59">
        <f t="shared" si="109"/>
        <v>785.87486732764296</v>
      </c>
      <c r="S182" s="59">
        <f ca="1">AVERAGE(OFFSET($R$3,0,0,'Données projet'!$E$9+1,1))-AVERAGE(OFFSET($H$3,0,0,'Données projet'!$E$9+1,1))</f>
        <v>252.49539407921907</v>
      </c>
      <c r="T182" s="59">
        <f t="shared" si="142"/>
        <v>263.36387286233929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13.383782363897419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13.383782363897419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19.8100000000004</v>
      </c>
      <c r="AJ182" s="13">
        <f>AI182*VLOOKUP('Données projet'!$B$10,Paramètres!$A$1:$I$89,3,0)*VLOOKUP('Données projet'!$B$10,Paramètres!$A$1:$I$89,5,0)</f>
        <v>17.924088000000364</v>
      </c>
      <c r="AK182" s="13">
        <f t="shared" si="164"/>
        <v>5.9032212091029486</v>
      </c>
      <c r="AL182" s="20">
        <f t="shared" si="165"/>
        <v>41.499230205854936</v>
      </c>
      <c r="AM182" s="59">
        <f t="shared" si="113"/>
        <v>334.83256353918824</v>
      </c>
      <c r="AN182" s="59">
        <f ca="1">AVERAGE(OFFSET($AM$3,0,0,'Données projet'!$E$10+1,1))-AVERAGE(OFFSET($H$3,0,0,'Données projet'!$E$10+1,1))</f>
        <v>370.05613271587413</v>
      </c>
      <c r="AO182" s="59">
        <f t="shared" si="144"/>
        <v>183.24480056442525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107.09483491601053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107.09483491601053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19.8100000000004</v>
      </c>
      <c r="BE182" s="13">
        <f>BD182*VLOOKUP('Données projet'!$B$11,Paramètres!$A$1:$I$89,3,0)*VLOOKUP('Données projet'!$B$11,Paramètres!$A$1:$I$89,5,0)</f>
        <v>20.08734000000041</v>
      </c>
      <c r="BF182" s="13">
        <f t="shared" si="167"/>
        <v>6.5285137703520215</v>
      </c>
      <c r="BG182" s="20">
        <f t="shared" si="168"/>
        <v>46.355945316697152</v>
      </c>
      <c r="BH182" s="59">
        <f t="shared" si="116"/>
        <v>339.68927865003047</v>
      </c>
      <c r="BI182" s="59">
        <f ca="1">AVERAGE(OFFSET($BH$3,0,0,'Données projet'!$E$11+1,1))-AVERAGE(OFFSET($H$3,0,0,'Données projet'!$E$11+1,1))</f>
        <v>428.72181435671394</v>
      </c>
      <c r="BJ182" s="59">
        <f t="shared" si="146"/>
        <v>211.84936043087572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120.02007361277043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120.02007361277043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367.99999999999972</v>
      </c>
      <c r="BZ182" s="13">
        <f>BY182*VLOOKUP('Données projet'!$B$12,Paramètres!$A$1:$I$89,3,0)*VLOOKUP('Données projet'!$B$12,Paramètres!$A$1:$I$89,5,0)</f>
        <v>292.78079999999977</v>
      </c>
      <c r="CA182" s="13">
        <f t="shared" si="170"/>
        <v>69.660903052386217</v>
      </c>
      <c r="CB182" s="20">
        <f t="shared" si="171"/>
        <v>631.25263281623893</v>
      </c>
      <c r="CC182" s="59">
        <f t="shared" si="119"/>
        <v>924.58596614957219</v>
      </c>
      <c r="CD182" s="59">
        <f ca="1">AVERAGE(OFFSET($CC$3,0,0,'Données projet'!$E$12+1,1))-AVERAGE(OFFSET($H$3,0,0,'Données projet'!$E$12+1,1))</f>
        <v>296.737543892524</v>
      </c>
      <c r="CE182" s="59">
        <f t="shared" si="148"/>
        <v>296.38358650317099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8.6761344278060815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8.6761344278060815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474.99999999999994</v>
      </c>
      <c r="CU182" s="17">
        <f>CT182*VLOOKUP('Données projet'!$B$13,Paramètres!$A$1:$I$89,3,0)*VLOOKUP('Données projet'!$B$13,Paramètres!$A$1:$I$89,5,0)</f>
        <v>407.55</v>
      </c>
      <c r="CV182" s="13">
        <f t="shared" si="173"/>
        <v>93.305642095357683</v>
      </c>
      <c r="CW182" s="20">
        <f t="shared" si="174"/>
        <v>872.32357664941446</v>
      </c>
      <c r="CX182" s="59">
        <f t="shared" si="122"/>
        <v>1165.6569099827477</v>
      </c>
      <c r="CY182" s="59">
        <f ca="1">AVERAGE(OFFSET($CX$3,0,0,'Données projet'!$E$13+1,1))-AVERAGE(OFFSET($H$3,0,0,'Données projet'!$E$13+1,1))</f>
        <v>391.93999504334352</v>
      </c>
      <c r="CZ182" s="59">
        <f t="shared" si="150"/>
        <v>215.4484906985528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37.992467272692259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37.992467272692259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367.99999999999972</v>
      </c>
      <c r="DP182" s="17">
        <f>DO182*VLOOKUP('Données projet'!$B$14,Paramètres!$A$1:$I$89,3,0)*VLOOKUP('Données projet'!$B$14,Paramètres!$A$1:$I$89,5,0)</f>
        <v>269.8175999999998</v>
      </c>
      <c r="DQ182" s="13">
        <f t="shared" si="176"/>
        <v>64.810557882019467</v>
      </c>
      <c r="DR182" s="20">
        <f t="shared" si="177"/>
        <v>582.81070831118348</v>
      </c>
      <c r="DS182" s="59">
        <f t="shared" si="125"/>
        <v>876.14404164451685</v>
      </c>
      <c r="DT182" s="59">
        <f ca="1">AVERAGE(OFFSET($DS$3,0,0,'Données projet'!$E$14+1,1))-AVERAGE(OFFSET($H$3,0,0,'Données projet'!$E$14+1,1))</f>
        <v>267.92147257573157</v>
      </c>
      <c r="DU182" s="59">
        <f t="shared" si="152"/>
        <v>269.06662611892438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6.4870394667392119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6.4870394667392119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0.8600000000003547</v>
      </c>
      <c r="EK182" s="17">
        <f>EJ182*VLOOKUP('Données projet'!$B$15,Paramètres!$A$1:$I$89,3,0)*VLOOKUP('Données projet'!$B$15,Paramètres!$A$1:$I$89,5,0)</f>
        <v>0.48074000000019829</v>
      </c>
      <c r="EL182" s="13">
        <f t="shared" si="179"/>
        <v>0.24126147010950588</v>
      </c>
      <c r="EM182" s="20">
        <f t="shared" si="180"/>
        <v>1.2574858937744013</v>
      </c>
      <c r="EN182" s="59">
        <f t="shared" si="128"/>
        <v>294.59081922710772</v>
      </c>
      <c r="EO182" s="59">
        <f ca="1">AVERAGE(OFFSET($EN$3,0,0,'Données projet'!$E$15+1,1))-AVERAGE(OFFSET($H$3,0,0,'Données projet'!$E$15+1,1))</f>
        <v>326.29985515186428</v>
      </c>
      <c r="EP182" s="59">
        <f t="shared" si="154"/>
        <v>437.68177084535927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31.900040981173508</v>
      </c>
      <c r="EW182" s="21">
        <f>EXP(-LN(2)/25)*EW181+(1-EXP(-LN(2)/25))/(LN(2)/25)*Calculateur!ER182*Calculateur!ET182*VLOOKUP('Données projet'!$B$15,Paramètres!$A$1:$I$89,3,0)*0.475*44/12</f>
        <v>0.81239099221888877</v>
      </c>
      <c r="EX182" s="21">
        <f>EXP(-LN(2)/2)*EX181+(1-EXP(-LN(2)/2))/(LN(2)/2)*ER182*EU182*VLOOKUP('Données projet'!$B$15,Paramètres!$A$1:$I$89,3,0)*0.475*44/12</f>
        <v>2.7698126857443579E-23</v>
      </c>
      <c r="EY182" s="22">
        <f t="shared" si="181"/>
        <v>32.712431973392398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1.7053025658242404E-13</v>
      </c>
      <c r="FF182" s="17">
        <f>FE182*VLOOKUP('Données projet'!$B$16,Paramètres!$A$1:$I$89,3,0)*VLOOKUP('Données projet'!$B$16,Paramètres!$A$1:$I$89,5,0)</f>
        <v>9.7631982498569413E-14</v>
      </c>
      <c r="FG182" s="13">
        <f t="shared" si="182"/>
        <v>1.4708068762530911E-12</v>
      </c>
      <c r="FH182" s="20">
        <f t="shared" si="183"/>
        <v>2.7316976789924749E-12</v>
      </c>
      <c r="FI182" s="59">
        <f t="shared" si="131"/>
        <v>293.33333333333604</v>
      </c>
      <c r="FJ182" s="59">
        <f ca="1">AVERAGE(OFFSET($FI$3,0,0,'Données projet'!$E$16+1,1))-AVERAGE(OFFSET($H$3,0,0,'Données projet'!$E$16+1,1))</f>
        <v>211.14768428403215</v>
      </c>
      <c r="FK182" s="59">
        <f t="shared" si="156"/>
        <v>350.7800157534798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4.3433303023313883</v>
      </c>
      <c r="FR182" s="21">
        <f>EXP(-LN(2)/25)*FR181+(1-EXP(-LN(2)/25))/(LN(2)/25)*Calculateur!FM182*Calculateur!FO182*VLOOKUP('Données projet'!$B$16,Paramètres!$A$1:$I$89,3,0)*0.475*44/12</f>
        <v>0.34560891305872155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4.6889392153901097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157.24800000000019</v>
      </c>
      <c r="D183" s="11">
        <f t="shared" si="140"/>
        <v>40.221168744348681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1524.3234078511143</v>
      </c>
      <c r="H183" s="66">
        <f t="shared" si="110"/>
        <v>637.25880222974092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259.99999999999983</v>
      </c>
      <c r="O183" s="13">
        <f>N183*VLOOKUP('Données projet'!$B$9,Paramètres!$A$1:$I$89,3,0)*VLOOKUP('Données projet'!$B$9,Paramètres!$A$1:$I$89,5,0)</f>
        <v>227.13599999999985</v>
      </c>
      <c r="P183" s="13">
        <f t="shared" si="141"/>
        <v>55.662966886685133</v>
      </c>
      <c r="Q183" s="20">
        <f t="shared" si="162"/>
        <v>492.5415339943097</v>
      </c>
      <c r="R183" s="59">
        <f t="shared" si="109"/>
        <v>785.87486732764296</v>
      </c>
      <c r="S183" s="59">
        <f ca="1">AVERAGE(OFFSET($R$3,0,0,'Données projet'!$E$9+1,1))-AVERAGE(OFFSET($H$3,0,0,'Données projet'!$E$9+1,1))</f>
        <v>252.49539407921907</v>
      </c>
      <c r="T183" s="59">
        <f t="shared" si="142"/>
        <v>263.36387286233929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13.121334555042573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13.121334555042573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19.8100000000004</v>
      </c>
      <c r="AJ183" s="13">
        <f>AI183*VLOOKUP('Données projet'!$B$10,Paramètres!$A$1:$I$89,3,0)*VLOOKUP('Données projet'!$B$10,Paramètres!$A$1:$I$89,5,0)</f>
        <v>17.924088000000364</v>
      </c>
      <c r="AK183" s="13">
        <f t="shared" si="164"/>
        <v>5.9032212091029486</v>
      </c>
      <c r="AL183" s="20">
        <f t="shared" si="165"/>
        <v>41.499230205854936</v>
      </c>
      <c r="AM183" s="59">
        <f t="shared" si="113"/>
        <v>334.83256353918824</v>
      </c>
      <c r="AN183" s="59">
        <f ca="1">AVERAGE(OFFSET($AM$3,0,0,'Données projet'!$E$10+1,1))-AVERAGE(OFFSET($H$3,0,0,'Données projet'!$E$10+1,1))</f>
        <v>370.05613271587413</v>
      </c>
      <c r="AO183" s="59">
        <f t="shared" si="144"/>
        <v>183.24480056442525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104.99477052470691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104.99477052470691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19.8100000000004</v>
      </c>
      <c r="BE183" s="13">
        <f>BD183*VLOOKUP('Données projet'!$B$11,Paramètres!$A$1:$I$89,3,0)*VLOOKUP('Données projet'!$B$11,Paramètres!$A$1:$I$89,5,0)</f>
        <v>20.08734000000041</v>
      </c>
      <c r="BF183" s="13">
        <f t="shared" si="167"/>
        <v>6.5285137703520215</v>
      </c>
      <c r="BG183" s="20">
        <f t="shared" si="168"/>
        <v>46.355945316697152</v>
      </c>
      <c r="BH183" s="59">
        <f t="shared" si="116"/>
        <v>339.68927865003047</v>
      </c>
      <c r="BI183" s="59">
        <f ca="1">AVERAGE(OFFSET($BH$3,0,0,'Données projet'!$E$11+1,1))-AVERAGE(OFFSET($H$3,0,0,'Données projet'!$E$11+1,1))</f>
        <v>428.72181435671394</v>
      </c>
      <c r="BJ183" s="59">
        <f t="shared" si="146"/>
        <v>211.84936043087572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117.66655317424052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117.66655317424052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367.99999999999972</v>
      </c>
      <c r="BZ183" s="13">
        <f>BY183*VLOOKUP('Données projet'!$B$12,Paramètres!$A$1:$I$89,3,0)*VLOOKUP('Données projet'!$B$12,Paramètres!$A$1:$I$89,5,0)</f>
        <v>292.78079999999977</v>
      </c>
      <c r="CA183" s="13">
        <f t="shared" si="170"/>
        <v>69.660903052386217</v>
      </c>
      <c r="CB183" s="20">
        <f t="shared" si="171"/>
        <v>631.25263281623893</v>
      </c>
      <c r="CC183" s="59">
        <f t="shared" si="119"/>
        <v>924.58596614957219</v>
      </c>
      <c r="CD183" s="59">
        <f ca="1">AVERAGE(OFFSET($CC$3,0,0,'Données projet'!$E$12+1,1))-AVERAGE(OFFSET($H$3,0,0,'Données projet'!$E$12+1,1))</f>
        <v>296.737543892524</v>
      </c>
      <c r="CE183" s="59">
        <f t="shared" si="148"/>
        <v>296.38358650317099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8.5060007235962711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8.5060007235962711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474.99999999999994</v>
      </c>
      <c r="CU183" s="17">
        <f>CT183*VLOOKUP('Données projet'!$B$13,Paramètres!$A$1:$I$89,3,0)*VLOOKUP('Données projet'!$B$13,Paramètres!$A$1:$I$89,5,0)</f>
        <v>407.55</v>
      </c>
      <c r="CV183" s="13">
        <f t="shared" si="173"/>
        <v>93.305642095357683</v>
      </c>
      <c r="CW183" s="20">
        <f t="shared" si="174"/>
        <v>872.32357664941446</v>
      </c>
      <c r="CX183" s="59">
        <f t="shared" si="122"/>
        <v>1165.6569099827477</v>
      </c>
      <c r="CY183" s="59">
        <f ca="1">AVERAGE(OFFSET($CX$3,0,0,'Données projet'!$E$13+1,1))-AVERAGE(OFFSET($H$3,0,0,'Données projet'!$E$13+1,1))</f>
        <v>391.93999504334352</v>
      </c>
      <c r="CZ183" s="59">
        <f t="shared" si="150"/>
        <v>215.4484906985528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37.247458162591649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37.247458162591649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367.99999999999972</v>
      </c>
      <c r="DP183" s="17">
        <f>DO183*VLOOKUP('Données projet'!$B$14,Paramètres!$A$1:$I$89,3,0)*VLOOKUP('Données projet'!$B$14,Paramètres!$A$1:$I$89,5,0)</f>
        <v>269.8175999999998</v>
      </c>
      <c r="DQ183" s="13">
        <f t="shared" si="176"/>
        <v>64.810557882019467</v>
      </c>
      <c r="DR183" s="20">
        <f t="shared" si="177"/>
        <v>582.81070831118348</v>
      </c>
      <c r="DS183" s="59">
        <f t="shared" si="125"/>
        <v>876.14404164451685</v>
      </c>
      <c r="DT183" s="59">
        <f ca="1">AVERAGE(OFFSET($DS$3,0,0,'Données projet'!$E$14+1,1))-AVERAGE(OFFSET($H$3,0,0,'Données projet'!$E$14+1,1))</f>
        <v>267.92147257573157</v>
      </c>
      <c r="DU183" s="59">
        <f t="shared" si="152"/>
        <v>269.06662611892438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6.3598325794998383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6.3598325794998383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0.8600000000003547</v>
      </c>
      <c r="EK183" s="17">
        <f>EJ183*VLOOKUP('Données projet'!$B$15,Paramètres!$A$1:$I$89,3,0)*VLOOKUP('Données projet'!$B$15,Paramètres!$A$1:$I$89,5,0)</f>
        <v>0.48074000000019829</v>
      </c>
      <c r="EL183" s="13">
        <f t="shared" si="179"/>
        <v>0.24126147010950588</v>
      </c>
      <c r="EM183" s="20">
        <f t="shared" si="180"/>
        <v>1.2574858937744013</v>
      </c>
      <c r="EN183" s="59">
        <f t="shared" si="128"/>
        <v>294.59081922710772</v>
      </c>
      <c r="EO183" s="59">
        <f ca="1">AVERAGE(OFFSET($EN$3,0,0,'Données projet'!$E$15+1,1))-AVERAGE(OFFSET($H$3,0,0,'Données projet'!$E$15+1,1))</f>
        <v>326.29985515186428</v>
      </c>
      <c r="EP183" s="59">
        <f t="shared" si="154"/>
        <v>437.68177084535927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31.274500634636464</v>
      </c>
      <c r="EW183" s="21">
        <f>EXP(-LN(2)/25)*EW182+(1-EXP(-LN(2)/25))/(LN(2)/25)*Calculateur!ER183*Calculateur!ET183*VLOOKUP('Données projet'!$B$15,Paramètres!$A$1:$I$89,3,0)*0.475*44/12</f>
        <v>0.79017611781487773</v>
      </c>
      <c r="EX183" s="21">
        <f>EXP(-LN(2)/2)*EX182+(1-EXP(-LN(2)/2))/(LN(2)/2)*ER183*EU183*VLOOKUP('Données projet'!$B$15,Paramètres!$A$1:$I$89,3,0)*0.475*44/12</f>
        <v>1.9585533327063592E-23</v>
      </c>
      <c r="EY183" s="22">
        <f t="shared" si="181"/>
        <v>32.064676752451341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1.7053025658242404E-13</v>
      </c>
      <c r="FF183" s="17">
        <f>FE183*VLOOKUP('Données projet'!$B$16,Paramètres!$A$1:$I$89,3,0)*VLOOKUP('Données projet'!$B$16,Paramètres!$A$1:$I$89,5,0)</f>
        <v>9.7631982498569413E-14</v>
      </c>
      <c r="FG183" s="13">
        <f t="shared" si="182"/>
        <v>1.4708068762530911E-12</v>
      </c>
      <c r="FH183" s="20">
        <f t="shared" si="183"/>
        <v>2.7316976789924749E-12</v>
      </c>
      <c r="FI183" s="59">
        <f t="shared" si="131"/>
        <v>293.33333333333604</v>
      </c>
      <c r="FJ183" s="59">
        <f ca="1">AVERAGE(OFFSET($FI$3,0,0,'Données projet'!$E$16+1,1))-AVERAGE(OFFSET($H$3,0,0,'Données projet'!$E$16+1,1))</f>
        <v>211.14768428403215</v>
      </c>
      <c r="FK183" s="59">
        <f t="shared" si="156"/>
        <v>350.7800157534798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4.2581602442725703</v>
      </c>
      <c r="FR183" s="21">
        <f>EXP(-LN(2)/25)*FR182+(1-EXP(-LN(2)/25))/(LN(2)/25)*Calculateur!FM183*Calculateur!FO183*VLOOKUP('Données projet'!$B$16,Paramètres!$A$1:$I$89,3,0)*0.475*44/12</f>
        <v>0.33615821915634797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4.5943184634289187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158.1216000000002</v>
      </c>
      <c r="D184" s="11">
        <f t="shared" si="140"/>
        <v>40.418546284954282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1532.5906029014031</v>
      </c>
      <c r="H184" s="66">
        <f t="shared" si="110"/>
        <v>639.12408811296234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259.99999999999983</v>
      </c>
      <c r="O184" s="13">
        <f>N184*VLOOKUP('Données projet'!$B$9,Paramètres!$A$1:$I$89,3,0)*VLOOKUP('Données projet'!$B$9,Paramètres!$A$1:$I$89,5,0)</f>
        <v>227.13599999999985</v>
      </c>
      <c r="P184" s="13">
        <f t="shared" si="141"/>
        <v>55.662966886685133</v>
      </c>
      <c r="Q184" s="20">
        <f t="shared" si="162"/>
        <v>492.5415339943097</v>
      </c>
      <c r="R184" s="59">
        <f t="shared" si="109"/>
        <v>785.87486732764296</v>
      </c>
      <c r="S184" s="59">
        <f ca="1">AVERAGE(OFFSET($R$3,0,0,'Données projet'!$E$9+1,1))-AVERAGE(OFFSET($H$3,0,0,'Données projet'!$E$9+1,1))</f>
        <v>252.49539407921907</v>
      </c>
      <c r="T184" s="59">
        <f t="shared" si="142"/>
        <v>263.36387286233929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12.864033187642013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12.864033187642013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19.8100000000004</v>
      </c>
      <c r="AJ184" s="13">
        <f>AI184*VLOOKUP('Données projet'!$B$10,Paramètres!$A$1:$I$89,3,0)*VLOOKUP('Données projet'!$B$10,Paramètres!$A$1:$I$89,5,0)</f>
        <v>17.924088000000364</v>
      </c>
      <c r="AK184" s="13">
        <f t="shared" si="164"/>
        <v>5.9032212091029486</v>
      </c>
      <c r="AL184" s="20">
        <f t="shared" si="165"/>
        <v>41.499230205854936</v>
      </c>
      <c r="AM184" s="59">
        <f t="shared" si="113"/>
        <v>334.83256353918824</v>
      </c>
      <c r="AN184" s="59">
        <f ca="1">AVERAGE(OFFSET($AM$3,0,0,'Données projet'!$E$10+1,1))-AVERAGE(OFFSET($H$3,0,0,'Données projet'!$E$10+1,1))</f>
        <v>370.05613271587413</v>
      </c>
      <c r="AO184" s="59">
        <f t="shared" si="144"/>
        <v>183.24480056442525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102.93588711520395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102.93588711520395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19.8100000000004</v>
      </c>
      <c r="BE184" s="13">
        <f>BD184*VLOOKUP('Données projet'!$B$11,Paramètres!$A$1:$I$89,3,0)*VLOOKUP('Données projet'!$B$11,Paramètres!$A$1:$I$89,5,0)</f>
        <v>20.08734000000041</v>
      </c>
      <c r="BF184" s="13">
        <f t="shared" si="167"/>
        <v>6.5285137703520215</v>
      </c>
      <c r="BG184" s="20">
        <f t="shared" si="168"/>
        <v>46.355945316697152</v>
      </c>
      <c r="BH184" s="59">
        <f t="shared" si="116"/>
        <v>339.68927865003047</v>
      </c>
      <c r="BI184" s="59">
        <f ca="1">AVERAGE(OFFSET($BH$3,0,0,'Données projet'!$E$11+1,1))-AVERAGE(OFFSET($H$3,0,0,'Données projet'!$E$11+1,1))</f>
        <v>428.72181435671394</v>
      </c>
      <c r="BJ184" s="59">
        <f t="shared" si="146"/>
        <v>211.84936043087572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115.35918383600445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115.35918383600445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367.99999999999972</v>
      </c>
      <c r="BZ184" s="13">
        <f>BY184*VLOOKUP('Données projet'!$B$12,Paramètres!$A$1:$I$89,3,0)*VLOOKUP('Données projet'!$B$12,Paramètres!$A$1:$I$89,5,0)</f>
        <v>292.78079999999977</v>
      </c>
      <c r="CA184" s="13">
        <f t="shared" si="170"/>
        <v>69.660903052386217</v>
      </c>
      <c r="CB184" s="20">
        <f t="shared" si="171"/>
        <v>631.25263281623893</v>
      </c>
      <c r="CC184" s="59">
        <f t="shared" si="119"/>
        <v>924.58596614957219</v>
      </c>
      <c r="CD184" s="59">
        <f ca="1">AVERAGE(OFFSET($CC$3,0,0,'Données projet'!$E$12+1,1))-AVERAGE(OFFSET($H$3,0,0,'Données projet'!$E$12+1,1))</f>
        <v>296.737543892524</v>
      </c>
      <c r="CE184" s="59">
        <f t="shared" si="148"/>
        <v>296.38358650317099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8.3392032375547025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8.3392032375547025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474.99999999999994</v>
      </c>
      <c r="CU184" s="17">
        <f>CT184*VLOOKUP('Données projet'!$B$13,Paramètres!$A$1:$I$89,3,0)*VLOOKUP('Données projet'!$B$13,Paramètres!$A$1:$I$89,5,0)</f>
        <v>407.55</v>
      </c>
      <c r="CV184" s="13">
        <f t="shared" si="173"/>
        <v>93.305642095357683</v>
      </c>
      <c r="CW184" s="20">
        <f t="shared" si="174"/>
        <v>872.32357664941446</v>
      </c>
      <c r="CX184" s="59">
        <f t="shared" si="122"/>
        <v>1165.6569099827477</v>
      </c>
      <c r="CY184" s="59">
        <f ca="1">AVERAGE(OFFSET($CX$3,0,0,'Données projet'!$E$13+1,1))-AVERAGE(OFFSET($H$3,0,0,'Données projet'!$E$13+1,1))</f>
        <v>391.93999504334352</v>
      </c>
      <c r="CZ184" s="59">
        <f t="shared" si="150"/>
        <v>215.4484906985528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36.517058226729418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36.517058226729418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367.99999999999972</v>
      </c>
      <c r="DP184" s="17">
        <f>DO184*VLOOKUP('Données projet'!$B$14,Paramètres!$A$1:$I$89,3,0)*VLOOKUP('Données projet'!$B$14,Paramètres!$A$1:$I$89,5,0)</f>
        <v>269.8175999999998</v>
      </c>
      <c r="DQ184" s="13">
        <f t="shared" si="176"/>
        <v>64.810557882019467</v>
      </c>
      <c r="DR184" s="20">
        <f t="shared" si="177"/>
        <v>582.81070831118348</v>
      </c>
      <c r="DS184" s="59">
        <f t="shared" si="125"/>
        <v>876.14404164451685</v>
      </c>
      <c r="DT184" s="59">
        <f ca="1">AVERAGE(OFFSET($DS$3,0,0,'Données projet'!$E$14+1,1))-AVERAGE(OFFSET($H$3,0,0,'Données projet'!$E$14+1,1))</f>
        <v>267.92147257573157</v>
      </c>
      <c r="DU184" s="59">
        <f t="shared" si="152"/>
        <v>269.06662611892438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6.2351201417306887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6.2351201417306887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0.8600000000003547</v>
      </c>
      <c r="EK184" s="17">
        <f>EJ184*VLOOKUP('Données projet'!$B$15,Paramètres!$A$1:$I$89,3,0)*VLOOKUP('Données projet'!$B$15,Paramètres!$A$1:$I$89,5,0)</f>
        <v>0.48074000000019829</v>
      </c>
      <c r="EL184" s="13">
        <f t="shared" si="179"/>
        <v>0.24126147010950588</v>
      </c>
      <c r="EM184" s="20">
        <f t="shared" si="180"/>
        <v>1.2574858937744013</v>
      </c>
      <c r="EN184" s="59">
        <f t="shared" si="128"/>
        <v>294.59081922710772</v>
      </c>
      <c r="EO184" s="59">
        <f ca="1">AVERAGE(OFFSET($EN$3,0,0,'Données projet'!$E$15+1,1))-AVERAGE(OFFSET($H$3,0,0,'Données projet'!$E$15+1,1))</f>
        <v>326.29985515186428</v>
      </c>
      <c r="EP184" s="59">
        <f t="shared" si="154"/>
        <v>437.68177084535927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30.661226752753073</v>
      </c>
      <c r="EW184" s="21">
        <f>EXP(-LN(2)/25)*EW183+(1-EXP(-LN(2)/25))/(LN(2)/25)*Calculateur!ER184*Calculateur!ET184*VLOOKUP('Données projet'!$B$15,Paramètres!$A$1:$I$89,3,0)*0.475*44/12</f>
        <v>0.76856871031967389</v>
      </c>
      <c r="EX184" s="21">
        <f>EXP(-LN(2)/2)*EX183+(1-EXP(-LN(2)/2))/(LN(2)/2)*ER184*EU184*VLOOKUP('Données projet'!$B$15,Paramètres!$A$1:$I$89,3,0)*0.475*44/12</f>
        <v>1.3849063428721789E-23</v>
      </c>
      <c r="EY184" s="22">
        <f t="shared" si="181"/>
        <v>31.429795463072747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1.7053025658242404E-13</v>
      </c>
      <c r="FF184" s="17">
        <f>FE184*VLOOKUP('Données projet'!$B$16,Paramètres!$A$1:$I$89,3,0)*VLOOKUP('Données projet'!$B$16,Paramètres!$A$1:$I$89,5,0)</f>
        <v>9.7631982498569413E-14</v>
      </c>
      <c r="FG184" s="13">
        <f t="shared" si="182"/>
        <v>1.4708068762530911E-12</v>
      </c>
      <c r="FH184" s="20">
        <f t="shared" si="183"/>
        <v>2.7316976789924749E-12</v>
      </c>
      <c r="FI184" s="59">
        <f t="shared" si="131"/>
        <v>293.33333333333604</v>
      </c>
      <c r="FJ184" s="59">
        <f ca="1">AVERAGE(OFFSET($FI$3,0,0,'Données projet'!$E$16+1,1))-AVERAGE(OFFSET($H$3,0,0,'Données projet'!$E$16+1,1))</f>
        <v>211.14768428403215</v>
      </c>
      <c r="FK184" s="59">
        <f t="shared" si="156"/>
        <v>350.7800157534798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4.1746603191036797</v>
      </c>
      <c r="FR184" s="21">
        <f>EXP(-LN(2)/25)*FR183+(1-EXP(-LN(2)/25))/(LN(2)/25)*Calculateur!FM184*Calculateur!FO184*VLOOKUP('Données projet'!$B$16,Paramètres!$A$1:$I$89,3,0)*0.475*44/12</f>
        <v>0.32696595497572517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4.5016262740794053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158.99520000000021</v>
      </c>
      <c r="D185" s="11">
        <f t="shared" si="140"/>
        <v>40.615796933386079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1540.8568184331573</v>
      </c>
      <c r="H185" s="66">
        <f t="shared" si="110"/>
        <v>640.9891529923143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259.99999999999983</v>
      </c>
      <c r="O185" s="13">
        <f>N185*VLOOKUP('Données projet'!$B$9,Paramètres!$A$1:$I$89,3,0)*VLOOKUP('Données projet'!$B$9,Paramètres!$A$1:$I$89,5,0)</f>
        <v>227.13599999999985</v>
      </c>
      <c r="P185" s="13">
        <f t="shared" si="141"/>
        <v>55.662966886685133</v>
      </c>
      <c r="Q185" s="20">
        <f t="shared" si="162"/>
        <v>492.5415339943097</v>
      </c>
      <c r="R185" s="59">
        <f t="shared" si="109"/>
        <v>785.87486732764296</v>
      </c>
      <c r="S185" s="59">
        <f ca="1">AVERAGE(OFFSET($R$3,0,0,'Données projet'!$E$9+1,1))-AVERAGE(OFFSET($H$3,0,0,'Données projet'!$E$9+1,1))</f>
        <v>252.49539407921907</v>
      </c>
      <c r="T185" s="59">
        <f t="shared" si="142"/>
        <v>263.36387286233929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12.611777343117842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12.611777343117842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19.8100000000004</v>
      </c>
      <c r="AJ185" s="13">
        <f>AI185*VLOOKUP('Données projet'!$B$10,Paramètres!$A$1:$I$89,3,0)*VLOOKUP('Données projet'!$B$10,Paramètres!$A$1:$I$89,5,0)</f>
        <v>17.924088000000364</v>
      </c>
      <c r="AK185" s="13">
        <f t="shared" si="164"/>
        <v>5.9032212091029486</v>
      </c>
      <c r="AL185" s="20">
        <f t="shared" si="165"/>
        <v>41.499230205854936</v>
      </c>
      <c r="AM185" s="59">
        <f t="shared" si="113"/>
        <v>334.83256353918824</v>
      </c>
      <c r="AN185" s="59">
        <f ca="1">AVERAGE(OFFSET($AM$3,0,0,'Données projet'!$E$10+1,1))-AVERAGE(OFFSET($H$3,0,0,'Données projet'!$E$10+1,1))</f>
        <v>370.05613271587413</v>
      </c>
      <c r="AO185" s="59">
        <f t="shared" si="144"/>
        <v>183.24480056442525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100.91737715356648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100.91737715356648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19.8100000000004</v>
      </c>
      <c r="BE185" s="13">
        <f>BD185*VLOOKUP('Données projet'!$B$11,Paramètres!$A$1:$I$89,3,0)*VLOOKUP('Données projet'!$B$11,Paramètres!$A$1:$I$89,5,0)</f>
        <v>20.08734000000041</v>
      </c>
      <c r="BF185" s="13">
        <f t="shared" si="167"/>
        <v>6.5285137703520215</v>
      </c>
      <c r="BG185" s="20">
        <f t="shared" si="168"/>
        <v>46.355945316697152</v>
      </c>
      <c r="BH185" s="59">
        <f t="shared" si="116"/>
        <v>339.68927865003047</v>
      </c>
      <c r="BI185" s="59">
        <f ca="1">AVERAGE(OFFSET($BH$3,0,0,'Données projet'!$E$11+1,1))-AVERAGE(OFFSET($H$3,0,0,'Données projet'!$E$11+1,1))</f>
        <v>428.72181435671394</v>
      </c>
      <c r="BJ185" s="59">
        <f t="shared" si="146"/>
        <v>211.84936043087572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113.09706060313485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113.09706060313485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367.99999999999972</v>
      </c>
      <c r="BZ185" s="13">
        <f>BY185*VLOOKUP('Données projet'!$B$12,Paramètres!$A$1:$I$89,3,0)*VLOOKUP('Données projet'!$B$12,Paramètres!$A$1:$I$89,5,0)</f>
        <v>292.78079999999977</v>
      </c>
      <c r="CA185" s="13">
        <f t="shared" si="170"/>
        <v>69.660903052386217</v>
      </c>
      <c r="CB185" s="20">
        <f t="shared" si="171"/>
        <v>631.25263281623893</v>
      </c>
      <c r="CC185" s="59">
        <f t="shared" si="119"/>
        <v>924.58596614957219</v>
      </c>
      <c r="CD185" s="59">
        <f ca="1">AVERAGE(OFFSET($CC$3,0,0,'Données projet'!$E$12+1,1))-AVERAGE(OFFSET($H$3,0,0,'Données projet'!$E$12+1,1))</f>
        <v>296.737543892524</v>
      </c>
      <c r="CE185" s="59">
        <f t="shared" si="148"/>
        <v>296.38358650317099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8.1756765484779876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8.1756765484779876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474.99999999999994</v>
      </c>
      <c r="CU185" s="17">
        <f>CT185*VLOOKUP('Données projet'!$B$13,Paramètres!$A$1:$I$89,3,0)*VLOOKUP('Données projet'!$B$13,Paramètres!$A$1:$I$89,5,0)</f>
        <v>407.55</v>
      </c>
      <c r="CV185" s="13">
        <f t="shared" si="173"/>
        <v>93.305642095357683</v>
      </c>
      <c r="CW185" s="20">
        <f t="shared" si="174"/>
        <v>872.32357664941446</v>
      </c>
      <c r="CX185" s="59">
        <f t="shared" si="122"/>
        <v>1165.6569099827477</v>
      </c>
      <c r="CY185" s="59">
        <f ca="1">AVERAGE(OFFSET($CX$3,0,0,'Données projet'!$E$13+1,1))-AVERAGE(OFFSET($H$3,0,0,'Données projet'!$E$13+1,1))</f>
        <v>391.93999504334352</v>
      </c>
      <c r="CZ185" s="59">
        <f t="shared" si="150"/>
        <v>215.4484906985528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35.800980988109472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35.800980988109472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367.99999999999972</v>
      </c>
      <c r="DP185" s="17">
        <f>DO185*VLOOKUP('Données projet'!$B$14,Paramètres!$A$1:$I$89,3,0)*VLOOKUP('Données projet'!$B$14,Paramètres!$A$1:$I$89,5,0)</f>
        <v>269.8175999999998</v>
      </c>
      <c r="DQ185" s="13">
        <f t="shared" si="176"/>
        <v>64.810557882019467</v>
      </c>
      <c r="DR185" s="20">
        <f t="shared" si="177"/>
        <v>582.81070831118348</v>
      </c>
      <c r="DS185" s="59">
        <f t="shared" si="125"/>
        <v>876.14404164451685</v>
      </c>
      <c r="DT185" s="59">
        <f ca="1">AVERAGE(OFFSET($DS$3,0,0,'Données projet'!$E$14+1,1))-AVERAGE(OFFSET($H$3,0,0,'Données projet'!$E$14+1,1))</f>
        <v>267.92147257573157</v>
      </c>
      <c r="DU185" s="59">
        <f t="shared" si="152"/>
        <v>269.06662611892438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6.1128532387991168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6.1128532387991168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0.8600000000003547</v>
      </c>
      <c r="EK185" s="17">
        <f>EJ185*VLOOKUP('Données projet'!$B$15,Paramètres!$A$1:$I$89,3,0)*VLOOKUP('Données projet'!$B$15,Paramètres!$A$1:$I$89,5,0)</f>
        <v>0.48074000000019829</v>
      </c>
      <c r="EL185" s="13">
        <f t="shared" si="179"/>
        <v>0.24126147010950588</v>
      </c>
      <c r="EM185" s="20">
        <f t="shared" si="180"/>
        <v>1.2574858937744013</v>
      </c>
      <c r="EN185" s="59">
        <f t="shared" si="128"/>
        <v>294.59081922710772</v>
      </c>
      <c r="EO185" s="59">
        <f ca="1">AVERAGE(OFFSET($EN$3,0,0,'Données projet'!$E$15+1,1))-AVERAGE(OFFSET($H$3,0,0,'Données projet'!$E$15+1,1))</f>
        <v>326.29985515186428</v>
      </c>
      <c r="EP185" s="59">
        <f t="shared" si="154"/>
        <v>437.68177084535927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30.059978797633285</v>
      </c>
      <c r="EW185" s="21">
        <f>EXP(-LN(2)/25)*EW184+(1-EXP(-LN(2)/25))/(LN(2)/25)*Calculateur!ER185*Calculateur!ET185*VLOOKUP('Données projet'!$B$15,Paramètres!$A$1:$I$89,3,0)*0.475*44/12</f>
        <v>0.74755215851871049</v>
      </c>
      <c r="EX185" s="21">
        <f>EXP(-LN(2)/2)*EX184+(1-EXP(-LN(2)/2))/(LN(2)/2)*ER185*EU185*VLOOKUP('Données projet'!$B$15,Paramètres!$A$1:$I$89,3,0)*0.475*44/12</f>
        <v>9.7927666635317962E-24</v>
      </c>
      <c r="EY185" s="22">
        <f t="shared" si="181"/>
        <v>30.807530956151997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1.7053025658242404E-13</v>
      </c>
      <c r="FF185" s="17">
        <f>FE185*VLOOKUP('Données projet'!$B$16,Paramètres!$A$1:$I$89,3,0)*VLOOKUP('Données projet'!$B$16,Paramètres!$A$1:$I$89,5,0)</f>
        <v>9.7631982498569413E-14</v>
      </c>
      <c r="FG185" s="13">
        <f t="shared" si="182"/>
        <v>1.4708068762530911E-12</v>
      </c>
      <c r="FH185" s="20">
        <f t="shared" si="183"/>
        <v>2.7316976789924749E-12</v>
      </c>
      <c r="FI185" s="59">
        <f t="shared" si="131"/>
        <v>293.33333333333604</v>
      </c>
      <c r="FJ185" s="59">
        <f ca="1">AVERAGE(OFFSET($FI$3,0,0,'Données projet'!$E$16+1,1))-AVERAGE(OFFSET($H$3,0,0,'Données projet'!$E$16+1,1))</f>
        <v>211.14768428403215</v>
      </c>
      <c r="FK185" s="59">
        <f t="shared" si="156"/>
        <v>350.7800157534798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4.0927977765374255</v>
      </c>
      <c r="FR185" s="21">
        <f>EXP(-LN(2)/25)*FR184+(1-EXP(-LN(2)/25))/(LN(2)/25)*Calculateur!FM185*Calculateur!FO185*VLOOKUP('Données projet'!$B$16,Paramètres!$A$1:$I$89,3,0)*0.475*44/12</f>
        <v>0.31802505374252166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4.4108228302799475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159.86880000000022</v>
      </c>
      <c r="D186" s="11">
        <f t="shared" si="140"/>
        <v>40.812921467768071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1549.1220604529483</v>
      </c>
      <c r="H186" s="66">
        <f t="shared" si="110"/>
        <v>642.85399822302975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259.99999999999983</v>
      </c>
      <c r="O186" s="13">
        <f>N186*VLOOKUP('Données projet'!$B$9,Paramètres!$A$1:$I$89,3,0)*VLOOKUP('Données projet'!$B$9,Paramètres!$A$1:$I$89,5,0)</f>
        <v>227.13599999999985</v>
      </c>
      <c r="P186" s="13">
        <f t="shared" si="141"/>
        <v>55.662966886685133</v>
      </c>
      <c r="Q186" s="20">
        <f t="shared" si="162"/>
        <v>492.5415339943097</v>
      </c>
      <c r="R186" s="59">
        <f t="shared" si="109"/>
        <v>785.87486732764296</v>
      </c>
      <c r="S186" s="59">
        <f ca="1">AVERAGE(OFFSET($R$3,0,0,'Données projet'!$E$9+1,1))-AVERAGE(OFFSET($H$3,0,0,'Données projet'!$E$9+1,1))</f>
        <v>252.49539407921907</v>
      </c>
      <c r="T186" s="59">
        <f t="shared" si="142"/>
        <v>263.36387286233929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12.364468081843917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12.364468081843917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19.8100000000004</v>
      </c>
      <c r="AJ186" s="13">
        <f>AI186*VLOOKUP('Données projet'!$B$10,Paramètres!$A$1:$I$89,3,0)*VLOOKUP('Données projet'!$B$10,Paramètres!$A$1:$I$89,5,0)</f>
        <v>17.924088000000364</v>
      </c>
      <c r="AK186" s="13">
        <f t="shared" si="164"/>
        <v>5.9032212091029486</v>
      </c>
      <c r="AL186" s="20">
        <f t="shared" si="165"/>
        <v>41.499230205854936</v>
      </c>
      <c r="AM186" s="59">
        <f t="shared" si="113"/>
        <v>334.83256353918824</v>
      </c>
      <c r="AN186" s="59">
        <f ca="1">AVERAGE(OFFSET($AM$3,0,0,'Données projet'!$E$10+1,1))-AVERAGE(OFFSET($H$3,0,0,'Données projet'!$E$10+1,1))</f>
        <v>370.05613271587413</v>
      </c>
      <c r="AO186" s="59">
        <f t="shared" si="144"/>
        <v>183.24480056442525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98.938448941107197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98.938448941107197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19.8100000000004</v>
      </c>
      <c r="BE186" s="13">
        <f>BD186*VLOOKUP('Données projet'!$B$11,Paramètres!$A$1:$I$89,3,0)*VLOOKUP('Données projet'!$B$11,Paramètres!$A$1:$I$89,5,0)</f>
        <v>20.08734000000041</v>
      </c>
      <c r="BF186" s="13">
        <f t="shared" si="167"/>
        <v>6.5285137703520215</v>
      </c>
      <c r="BG186" s="20">
        <f t="shared" si="168"/>
        <v>46.355945316697152</v>
      </c>
      <c r="BH186" s="59">
        <f t="shared" si="116"/>
        <v>339.68927865003047</v>
      </c>
      <c r="BI186" s="59">
        <f ca="1">AVERAGE(OFFSET($BH$3,0,0,'Données projet'!$E$11+1,1))-AVERAGE(OFFSET($H$3,0,0,'Données projet'!$E$11+1,1))</f>
        <v>428.72181435671394</v>
      </c>
      <c r="BJ186" s="59">
        <f t="shared" si="146"/>
        <v>211.84936043087572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110.8792962271029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110.8792962271029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367.99999999999972</v>
      </c>
      <c r="BZ186" s="13">
        <f>BY186*VLOOKUP('Données projet'!$B$12,Paramètres!$A$1:$I$89,3,0)*VLOOKUP('Données projet'!$B$12,Paramètres!$A$1:$I$89,5,0)</f>
        <v>292.78079999999977</v>
      </c>
      <c r="CA186" s="13">
        <f t="shared" si="170"/>
        <v>69.660903052386217</v>
      </c>
      <c r="CB186" s="20">
        <f t="shared" si="171"/>
        <v>631.25263281623893</v>
      </c>
      <c r="CC186" s="59">
        <f t="shared" si="119"/>
        <v>924.58596614957219</v>
      </c>
      <c r="CD186" s="59">
        <f ca="1">AVERAGE(OFFSET($CC$3,0,0,'Données projet'!$E$12+1,1))-AVERAGE(OFFSET($H$3,0,0,'Données projet'!$E$12+1,1))</f>
        <v>296.737543892524</v>
      </c>
      <c r="CE186" s="59">
        <f t="shared" si="148"/>
        <v>296.38358650317099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8.015356518032636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8.015356518032636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474.99999999999994</v>
      </c>
      <c r="CU186" s="17">
        <f>CT186*VLOOKUP('Données projet'!$B$13,Paramètres!$A$1:$I$89,3,0)*VLOOKUP('Données projet'!$B$13,Paramètres!$A$1:$I$89,5,0)</f>
        <v>407.55</v>
      </c>
      <c r="CV186" s="13">
        <f t="shared" si="173"/>
        <v>93.305642095357683</v>
      </c>
      <c r="CW186" s="20">
        <f t="shared" si="174"/>
        <v>872.32357664941446</v>
      </c>
      <c r="CX186" s="59">
        <f t="shared" si="122"/>
        <v>1165.6569099827477</v>
      </c>
      <c r="CY186" s="59">
        <f ca="1">AVERAGE(OFFSET($CX$3,0,0,'Données projet'!$E$13+1,1))-AVERAGE(OFFSET($H$3,0,0,'Données projet'!$E$13+1,1))</f>
        <v>391.93999504334352</v>
      </c>
      <c r="CZ186" s="59">
        <f t="shared" si="150"/>
        <v>215.4484906985528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35.098945587374878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35.098945587374878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367.99999999999972</v>
      </c>
      <c r="DP186" s="17">
        <f>DO186*VLOOKUP('Données projet'!$B$14,Paramètres!$A$1:$I$89,3,0)*VLOOKUP('Données projet'!$B$14,Paramètres!$A$1:$I$89,5,0)</f>
        <v>269.8175999999998</v>
      </c>
      <c r="DQ186" s="13">
        <f t="shared" si="176"/>
        <v>64.810557882019467</v>
      </c>
      <c r="DR186" s="20">
        <f t="shared" si="177"/>
        <v>582.81070831118348</v>
      </c>
      <c r="DS186" s="59">
        <f t="shared" si="125"/>
        <v>876.14404164451685</v>
      </c>
      <c r="DT186" s="59">
        <f ca="1">AVERAGE(OFFSET($DS$3,0,0,'Données projet'!$E$14+1,1))-AVERAGE(OFFSET($H$3,0,0,'Données projet'!$E$14+1,1))</f>
        <v>267.92147257573157</v>
      </c>
      <c r="DU186" s="59">
        <f t="shared" si="152"/>
        <v>269.06662611892438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5.992983915258586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5.992983915258586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0.8600000000003547</v>
      </c>
      <c r="EK186" s="17">
        <f>EJ186*VLOOKUP('Données projet'!$B$15,Paramètres!$A$1:$I$89,3,0)*VLOOKUP('Données projet'!$B$15,Paramètres!$A$1:$I$89,5,0)</f>
        <v>0.48074000000019829</v>
      </c>
      <c r="EL186" s="13">
        <f t="shared" si="179"/>
        <v>0.24126147010950588</v>
      </c>
      <c r="EM186" s="20">
        <f t="shared" si="180"/>
        <v>1.2574858937744013</v>
      </c>
      <c r="EN186" s="59">
        <f t="shared" si="128"/>
        <v>294.59081922710772</v>
      </c>
      <c r="EO186" s="59">
        <f ca="1">AVERAGE(OFFSET($EN$3,0,0,'Données projet'!$E$15+1,1))-AVERAGE(OFFSET($H$3,0,0,'Données projet'!$E$15+1,1))</f>
        <v>326.29985515186428</v>
      </c>
      <c r="EP186" s="59">
        <f t="shared" si="154"/>
        <v>437.68177084535927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29.470520948188355</v>
      </c>
      <c r="EW186" s="21">
        <f>EXP(-LN(2)/25)*EW185+(1-EXP(-LN(2)/25))/(LN(2)/25)*Calculateur!ER186*Calculateur!ET186*VLOOKUP('Données projet'!$B$15,Paramètres!$A$1:$I$89,3,0)*0.475*44/12</f>
        <v>0.72711030543195687</v>
      </c>
      <c r="EX186" s="21">
        <f>EXP(-LN(2)/2)*EX185+(1-EXP(-LN(2)/2))/(LN(2)/2)*ER186*EU186*VLOOKUP('Données projet'!$B$15,Paramètres!$A$1:$I$89,3,0)*0.475*44/12</f>
        <v>6.9245317143608946E-24</v>
      </c>
      <c r="EY186" s="22">
        <f t="shared" si="181"/>
        <v>30.197631253620312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1.7053025658242404E-13</v>
      </c>
      <c r="FF186" s="17">
        <f>FE186*VLOOKUP('Données projet'!$B$16,Paramètres!$A$1:$I$89,3,0)*VLOOKUP('Données projet'!$B$16,Paramètres!$A$1:$I$89,5,0)</f>
        <v>9.7631982498569413E-14</v>
      </c>
      <c r="FG186" s="13">
        <f t="shared" si="182"/>
        <v>1.4708068762530911E-12</v>
      </c>
      <c r="FH186" s="20">
        <f t="shared" si="183"/>
        <v>2.7316976789924749E-12</v>
      </c>
      <c r="FI186" s="59">
        <f t="shared" si="131"/>
        <v>293.33333333333604</v>
      </c>
      <c r="FJ186" s="59">
        <f ca="1">AVERAGE(OFFSET($FI$3,0,0,'Données projet'!$E$16+1,1))-AVERAGE(OFFSET($H$3,0,0,'Données projet'!$E$16+1,1))</f>
        <v>211.14768428403215</v>
      </c>
      <c r="FK186" s="59">
        <f t="shared" si="156"/>
        <v>350.7800157534798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4.0125405084996748</v>
      </c>
      <c r="FR186" s="21">
        <f>EXP(-LN(2)/25)*FR185+(1-EXP(-LN(2)/25))/(LN(2)/25)*Calculateur!FM186*Calculateur!FO186*VLOOKUP('Données projet'!$B$16,Paramètres!$A$1:$I$89,3,0)*0.475*44/12</f>
        <v>0.30932864192372167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4.3218691504233968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160.74240000000023</v>
      </c>
      <c r="D187" s="11">
        <f t="shared" si="140"/>
        <v>41.00992065722788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1557.3863348979012</v>
      </c>
      <c r="H187" s="66">
        <f t="shared" si="110"/>
        <v>644.71862514467216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259.99999999999983</v>
      </c>
      <c r="O187" s="13">
        <f>N187*VLOOKUP('Données projet'!$B$9,Paramètres!$A$1:$I$89,3,0)*VLOOKUP('Données projet'!$B$9,Paramètres!$A$1:$I$89,5,0)</f>
        <v>227.13599999999985</v>
      </c>
      <c r="P187" s="13">
        <f t="shared" si="141"/>
        <v>55.662966886685133</v>
      </c>
      <c r="Q187" s="20">
        <f t="shared" si="162"/>
        <v>492.5415339943097</v>
      </c>
      <c r="R187" s="59">
        <f t="shared" si="109"/>
        <v>785.87486732764296</v>
      </c>
      <c r="S187" s="59">
        <f ca="1">AVERAGE(OFFSET($R$3,0,0,'Données projet'!$E$9+1,1))-AVERAGE(OFFSET($H$3,0,0,'Données projet'!$E$9+1,1))</f>
        <v>252.49539407921907</v>
      </c>
      <c r="T187" s="59">
        <f t="shared" si="142"/>
        <v>263.36387286233929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12.122008404339818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12.122008404339818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19.8100000000004</v>
      </c>
      <c r="AJ187" s="13">
        <f>AI187*VLOOKUP('Données projet'!$B$10,Paramètres!$A$1:$I$89,3,0)*VLOOKUP('Données projet'!$B$10,Paramètres!$A$1:$I$89,5,0)</f>
        <v>17.924088000000364</v>
      </c>
      <c r="AK187" s="13">
        <f t="shared" si="164"/>
        <v>5.9032212091029486</v>
      </c>
      <c r="AL187" s="20">
        <f t="shared" si="165"/>
        <v>41.499230205854936</v>
      </c>
      <c r="AM187" s="59">
        <f t="shared" si="113"/>
        <v>334.83256353918824</v>
      </c>
      <c r="AN187" s="59">
        <f ca="1">AVERAGE(OFFSET($AM$3,0,0,'Données projet'!$E$10+1,1))-AVERAGE(OFFSET($H$3,0,0,'Données projet'!$E$10+1,1))</f>
        <v>370.05613271587413</v>
      </c>
      <c r="AO187" s="59">
        <f t="shared" si="144"/>
        <v>183.24480056442525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96.998326303867216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96.998326303867216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19.8100000000004</v>
      </c>
      <c r="BE187" s="13">
        <f>BD187*VLOOKUP('Données projet'!$B$11,Paramètres!$A$1:$I$89,3,0)*VLOOKUP('Données projet'!$B$11,Paramètres!$A$1:$I$89,5,0)</f>
        <v>20.08734000000041</v>
      </c>
      <c r="BF187" s="13">
        <f t="shared" si="167"/>
        <v>6.5285137703520215</v>
      </c>
      <c r="BG187" s="20">
        <f t="shared" si="168"/>
        <v>46.355945316697152</v>
      </c>
      <c r="BH187" s="59">
        <f t="shared" si="116"/>
        <v>339.68927865003047</v>
      </c>
      <c r="BI187" s="59">
        <f ca="1">AVERAGE(OFFSET($BH$3,0,0,'Données projet'!$E$11+1,1))-AVERAGE(OFFSET($H$3,0,0,'Données projet'!$E$11+1,1))</f>
        <v>428.72181435671394</v>
      </c>
      <c r="BJ187" s="59">
        <f t="shared" si="146"/>
        <v>211.84936043087572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108.70502085778223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108.70502085778223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367.99999999999972</v>
      </c>
      <c r="BZ187" s="13">
        <f>BY187*VLOOKUP('Données projet'!$B$12,Paramètres!$A$1:$I$89,3,0)*VLOOKUP('Données projet'!$B$12,Paramètres!$A$1:$I$89,5,0)</f>
        <v>292.78079999999977</v>
      </c>
      <c r="CA187" s="13">
        <f t="shared" si="170"/>
        <v>69.660903052386217</v>
      </c>
      <c r="CB187" s="20">
        <f t="shared" si="171"/>
        <v>631.25263281623893</v>
      </c>
      <c r="CC187" s="59">
        <f t="shared" si="119"/>
        <v>924.58596614957219</v>
      </c>
      <c r="CD187" s="59">
        <f ca="1">AVERAGE(OFFSET($CC$3,0,0,'Données projet'!$E$12+1,1))-AVERAGE(OFFSET($H$3,0,0,'Données projet'!$E$12+1,1))</f>
        <v>296.737543892524</v>
      </c>
      <c r="CE187" s="59">
        <f t="shared" si="148"/>
        <v>296.38358650317099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7.8581802655987545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7.8581802655987545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474.99999999999994</v>
      </c>
      <c r="CU187" s="17">
        <f>CT187*VLOOKUP('Données projet'!$B$13,Paramètres!$A$1:$I$89,3,0)*VLOOKUP('Données projet'!$B$13,Paramètres!$A$1:$I$89,5,0)</f>
        <v>407.55</v>
      </c>
      <c r="CV187" s="13">
        <f t="shared" si="173"/>
        <v>93.305642095357683</v>
      </c>
      <c r="CW187" s="20">
        <f t="shared" si="174"/>
        <v>872.32357664941446</v>
      </c>
      <c r="CX187" s="59">
        <f t="shared" si="122"/>
        <v>1165.6569099827477</v>
      </c>
      <c r="CY187" s="59">
        <f ca="1">AVERAGE(OFFSET($CX$3,0,0,'Données projet'!$E$13+1,1))-AVERAGE(OFFSET($H$3,0,0,'Données projet'!$E$13+1,1))</f>
        <v>391.93999504334352</v>
      </c>
      <c r="CZ187" s="59">
        <f t="shared" si="150"/>
        <v>215.4484906985528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34.410676672649373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34.410676672649373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367.99999999999972</v>
      </c>
      <c r="DP187" s="17">
        <f>DO187*VLOOKUP('Données projet'!$B$14,Paramètres!$A$1:$I$89,3,0)*VLOOKUP('Données projet'!$B$14,Paramètres!$A$1:$I$89,5,0)</f>
        <v>269.8175999999998</v>
      </c>
      <c r="DQ187" s="13">
        <f t="shared" si="176"/>
        <v>64.810557882019467</v>
      </c>
      <c r="DR187" s="20">
        <f t="shared" si="177"/>
        <v>582.81070831118348</v>
      </c>
      <c r="DS187" s="59">
        <f t="shared" si="125"/>
        <v>876.14404164451685</v>
      </c>
      <c r="DT187" s="59">
        <f ca="1">AVERAGE(OFFSET($DS$3,0,0,'Données projet'!$E$14+1,1))-AVERAGE(OFFSET($H$3,0,0,'Données projet'!$E$14+1,1))</f>
        <v>267.92147257573157</v>
      </c>
      <c r="DU187" s="59">
        <f t="shared" si="152"/>
        <v>269.06662611892438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5.8754651560396169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5.8754651560396169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0.8600000000003547</v>
      </c>
      <c r="EK187" s="17">
        <f>EJ187*VLOOKUP('Données projet'!$B$15,Paramètres!$A$1:$I$89,3,0)*VLOOKUP('Données projet'!$B$15,Paramètres!$A$1:$I$89,5,0)</f>
        <v>0.48074000000019829</v>
      </c>
      <c r="EL187" s="13">
        <f t="shared" si="179"/>
        <v>0.24126147010950588</v>
      </c>
      <c r="EM187" s="20">
        <f t="shared" si="180"/>
        <v>1.2574858937744013</v>
      </c>
      <c r="EN187" s="59">
        <f t="shared" si="128"/>
        <v>294.59081922710772</v>
      </c>
      <c r="EO187" s="59">
        <f ca="1">AVERAGE(OFFSET($EN$3,0,0,'Données projet'!$E$15+1,1))-AVERAGE(OFFSET($H$3,0,0,'Données projet'!$E$15+1,1))</f>
        <v>326.29985515186428</v>
      </c>
      <c r="EP187" s="59">
        <f t="shared" si="154"/>
        <v>437.68177084535927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28.89262200763725</v>
      </c>
      <c r="EW187" s="21">
        <f>EXP(-LN(2)/25)*EW186+(1-EXP(-LN(2)/25))/(LN(2)/25)*Calculateur!ER187*Calculateur!ET187*VLOOKUP('Données projet'!$B$15,Paramètres!$A$1:$I$89,3,0)*0.475*44/12</f>
        <v>0.70722743589285086</v>
      </c>
      <c r="EX187" s="21">
        <f>EXP(-LN(2)/2)*EX186+(1-EXP(-LN(2)/2))/(LN(2)/2)*ER187*EU187*VLOOKUP('Données projet'!$B$15,Paramètres!$A$1:$I$89,3,0)*0.475*44/12</f>
        <v>4.8963833317658981E-24</v>
      </c>
      <c r="EY187" s="22">
        <f t="shared" si="181"/>
        <v>29.599849443530101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1.7053025658242404E-13</v>
      </c>
      <c r="FF187" s="17">
        <f>FE187*VLOOKUP('Données projet'!$B$16,Paramètres!$A$1:$I$89,3,0)*VLOOKUP('Données projet'!$B$16,Paramètres!$A$1:$I$89,5,0)</f>
        <v>9.7631982498569413E-14</v>
      </c>
      <c r="FG187" s="13">
        <f t="shared" si="182"/>
        <v>1.4708068762530911E-12</v>
      </c>
      <c r="FH187" s="20">
        <f t="shared" si="183"/>
        <v>2.7316976789924749E-12</v>
      </c>
      <c r="FI187" s="59">
        <f t="shared" si="131"/>
        <v>293.33333333333604</v>
      </c>
      <c r="FJ187" s="59">
        <f ca="1">AVERAGE(OFFSET($FI$3,0,0,'Données projet'!$E$16+1,1))-AVERAGE(OFFSET($H$3,0,0,'Données projet'!$E$16+1,1))</f>
        <v>211.14768428403215</v>
      </c>
      <c r="FK187" s="59">
        <f t="shared" si="156"/>
        <v>350.7800157534798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3.933857036536045</v>
      </c>
      <c r="FR187" s="21">
        <f>EXP(-LN(2)/25)*FR186+(1-EXP(-LN(2)/25))/(LN(2)/25)*Calculateur!FM187*Calculateur!FO187*VLOOKUP('Données projet'!$B$16,Paramètres!$A$1:$I$89,3,0)*0.475*44/12</f>
        <v>0.3008700339434312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4.2347270704794759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161.61600000000024</v>
      </c>
      <c r="D188" s="11">
        <f t="shared" si="140"/>
        <v>41.206795262049248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1565.6496476368732</v>
      </c>
      <c r="H188" s="66">
        <f t="shared" si="110"/>
        <v>646.58303508140284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259.99999999999983</v>
      </c>
      <c r="O188" s="13">
        <f>N188*VLOOKUP('Données projet'!$B$9,Paramètres!$A$1:$I$89,3,0)*VLOOKUP('Données projet'!$B$9,Paramètres!$A$1:$I$89,5,0)</f>
        <v>227.13599999999985</v>
      </c>
      <c r="P188" s="13">
        <f t="shared" si="141"/>
        <v>55.662966886685133</v>
      </c>
      <c r="Q188" s="20">
        <f t="shared" si="162"/>
        <v>492.5415339943097</v>
      </c>
      <c r="R188" s="59">
        <f t="shared" si="109"/>
        <v>785.87486732764296</v>
      </c>
      <c r="S188" s="59">
        <f ca="1">AVERAGE(OFFSET($R$3,0,0,'Données projet'!$E$9+1,1))-AVERAGE(OFFSET($H$3,0,0,'Données projet'!$E$9+1,1))</f>
        <v>252.49539407921907</v>
      </c>
      <c r="T188" s="59">
        <f t="shared" si="142"/>
        <v>263.36387286233929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11.884303213225774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11.884303213225774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19.8100000000004</v>
      </c>
      <c r="AJ188" s="13">
        <f>AI188*VLOOKUP('Données projet'!$B$10,Paramètres!$A$1:$I$89,3,0)*VLOOKUP('Données projet'!$B$10,Paramètres!$A$1:$I$89,5,0)</f>
        <v>17.924088000000364</v>
      </c>
      <c r="AK188" s="13">
        <f t="shared" si="164"/>
        <v>5.9032212091029486</v>
      </c>
      <c r="AL188" s="20">
        <f t="shared" si="165"/>
        <v>41.499230205854936</v>
      </c>
      <c r="AM188" s="59">
        <f t="shared" si="113"/>
        <v>334.83256353918824</v>
      </c>
      <c r="AN188" s="59">
        <f ca="1">AVERAGE(OFFSET($AM$3,0,0,'Données projet'!$E$10+1,1))-AVERAGE(OFFSET($H$3,0,0,'Données projet'!$E$10+1,1))</f>
        <v>370.05613271587413</v>
      </c>
      <c r="AO188" s="59">
        <f t="shared" si="144"/>
        <v>183.24480056442525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95.096248288185549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95.096248288185549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19.8100000000004</v>
      </c>
      <c r="BE188" s="13">
        <f>BD188*VLOOKUP('Données projet'!$B$11,Paramètres!$A$1:$I$89,3,0)*VLOOKUP('Données projet'!$B$11,Paramètres!$A$1:$I$89,5,0)</f>
        <v>20.08734000000041</v>
      </c>
      <c r="BF188" s="13">
        <f t="shared" si="167"/>
        <v>6.5285137703520215</v>
      </c>
      <c r="BG188" s="20">
        <f t="shared" si="168"/>
        <v>46.355945316697152</v>
      </c>
      <c r="BH188" s="59">
        <f t="shared" si="116"/>
        <v>339.68927865003047</v>
      </c>
      <c r="BI188" s="59">
        <f ca="1">AVERAGE(OFFSET($BH$3,0,0,'Données projet'!$E$11+1,1))-AVERAGE(OFFSET($H$3,0,0,'Données projet'!$E$11+1,1))</f>
        <v>428.72181435671394</v>
      </c>
      <c r="BJ188" s="59">
        <f t="shared" si="146"/>
        <v>211.84936043087572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106.57338170227692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106.57338170227692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367.99999999999972</v>
      </c>
      <c r="BZ188" s="13">
        <f>BY188*VLOOKUP('Données projet'!$B$12,Paramètres!$A$1:$I$89,3,0)*VLOOKUP('Données projet'!$B$12,Paramètres!$A$1:$I$89,5,0)</f>
        <v>292.78079999999977</v>
      </c>
      <c r="CA188" s="13">
        <f t="shared" si="170"/>
        <v>69.660903052386217</v>
      </c>
      <c r="CB188" s="20">
        <f t="shared" si="171"/>
        <v>631.25263281623893</v>
      </c>
      <c r="CC188" s="59">
        <f t="shared" si="119"/>
        <v>924.58596614957219</v>
      </c>
      <c r="CD188" s="59">
        <f ca="1">AVERAGE(OFFSET($CC$3,0,0,'Données projet'!$E$12+1,1))-AVERAGE(OFFSET($H$3,0,0,'Données projet'!$E$12+1,1))</f>
        <v>296.737543892524</v>
      </c>
      <c r="CE188" s="59">
        <f t="shared" si="148"/>
        <v>296.38358650317099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7.7040861436070536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7.7040861436070536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474.99999999999994</v>
      </c>
      <c r="CU188" s="17">
        <f>CT188*VLOOKUP('Données projet'!$B$13,Paramètres!$A$1:$I$89,3,0)*VLOOKUP('Données projet'!$B$13,Paramètres!$A$1:$I$89,5,0)</f>
        <v>407.55</v>
      </c>
      <c r="CV188" s="13">
        <f t="shared" si="173"/>
        <v>93.305642095357683</v>
      </c>
      <c r="CW188" s="20">
        <f t="shared" si="174"/>
        <v>872.32357664941446</v>
      </c>
      <c r="CX188" s="59">
        <f t="shared" si="122"/>
        <v>1165.6569099827477</v>
      </c>
      <c r="CY188" s="59">
        <f ca="1">AVERAGE(OFFSET($CX$3,0,0,'Données projet'!$E$13+1,1))-AVERAGE(OFFSET($H$3,0,0,'Données projet'!$E$13+1,1))</f>
        <v>391.93999504334352</v>
      </c>
      <c r="CZ188" s="59">
        <f t="shared" si="150"/>
        <v>215.4484906985528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33.73590429153905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33.73590429153905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367.99999999999972</v>
      </c>
      <c r="DP188" s="17">
        <f>DO188*VLOOKUP('Données projet'!$B$14,Paramètres!$A$1:$I$89,3,0)*VLOOKUP('Données projet'!$B$14,Paramètres!$A$1:$I$89,5,0)</f>
        <v>269.8175999999998</v>
      </c>
      <c r="DQ188" s="13">
        <f t="shared" si="176"/>
        <v>64.810557882019467</v>
      </c>
      <c r="DR188" s="20">
        <f t="shared" si="177"/>
        <v>582.81070831118348</v>
      </c>
      <c r="DS188" s="59">
        <f t="shared" si="125"/>
        <v>876.14404164451685</v>
      </c>
      <c r="DT188" s="59">
        <f ca="1">AVERAGE(OFFSET($DS$3,0,0,'Données projet'!$E$14+1,1))-AVERAGE(OFFSET($H$3,0,0,'Données projet'!$E$14+1,1))</f>
        <v>267.92147257573157</v>
      </c>
      <c r="DU188" s="59">
        <f t="shared" si="152"/>
        <v>269.06662611892438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5.7602508680095665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5.7602508680095665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0.8600000000003547</v>
      </c>
      <c r="EK188" s="17">
        <f>EJ188*VLOOKUP('Données projet'!$B$15,Paramètres!$A$1:$I$89,3,0)*VLOOKUP('Données projet'!$B$15,Paramètres!$A$1:$I$89,5,0)</f>
        <v>0.48074000000019829</v>
      </c>
      <c r="EL188" s="13">
        <f t="shared" si="179"/>
        <v>0.24126147010950588</v>
      </c>
      <c r="EM188" s="20">
        <f t="shared" si="180"/>
        <v>1.2574858937744013</v>
      </c>
      <c r="EN188" s="59">
        <f t="shared" si="128"/>
        <v>294.59081922710772</v>
      </c>
      <c r="EO188" s="59">
        <f ca="1">AVERAGE(OFFSET($EN$3,0,0,'Données projet'!$E$15+1,1))-AVERAGE(OFFSET($H$3,0,0,'Données projet'!$E$15+1,1))</f>
        <v>326.29985515186428</v>
      </c>
      <c r="EP188" s="59">
        <f t="shared" si="154"/>
        <v>437.68177084535927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28.326055312826806</v>
      </c>
      <c r="EW188" s="21">
        <f>EXP(-LN(2)/25)*EW187+(1-EXP(-LN(2)/25))/(LN(2)/25)*Calculateur!ER188*Calculateur!ET188*VLOOKUP('Données projet'!$B$15,Paramètres!$A$1:$I$89,3,0)*0.475*44/12</f>
        <v>0.68788826446688645</v>
      </c>
      <c r="EX188" s="21">
        <f>EXP(-LN(2)/2)*EX187+(1-EXP(-LN(2)/2))/(LN(2)/2)*ER188*EU188*VLOOKUP('Données projet'!$B$15,Paramètres!$A$1:$I$89,3,0)*0.475*44/12</f>
        <v>3.4622658571804473E-24</v>
      </c>
      <c r="EY188" s="22">
        <f t="shared" si="181"/>
        <v>29.013943577293691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1.7053025658242404E-13</v>
      </c>
      <c r="FF188" s="17">
        <f>FE188*VLOOKUP('Données projet'!$B$16,Paramètres!$A$1:$I$89,3,0)*VLOOKUP('Données projet'!$B$16,Paramètres!$A$1:$I$89,5,0)</f>
        <v>9.7631982498569413E-14</v>
      </c>
      <c r="FG188" s="13">
        <f t="shared" si="182"/>
        <v>1.4708068762530911E-12</v>
      </c>
      <c r="FH188" s="20">
        <f t="shared" si="183"/>
        <v>2.7316976789924749E-12</v>
      </c>
      <c r="FI188" s="59">
        <f t="shared" si="131"/>
        <v>293.33333333333604</v>
      </c>
      <c r="FJ188" s="59">
        <f ca="1">AVERAGE(OFFSET($FI$3,0,0,'Données projet'!$E$16+1,1))-AVERAGE(OFFSET($H$3,0,0,'Données projet'!$E$16+1,1))</f>
        <v>211.14768428403215</v>
      </c>
      <c r="FK188" s="59">
        <f t="shared" si="156"/>
        <v>350.7800157534798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3.8567164994654428</v>
      </c>
      <c r="FR188" s="21">
        <f>EXP(-LN(2)/25)*FR187+(1-EXP(-LN(2)/25))/(LN(2)/25)*Calculateur!FM188*Calculateur!FO188*VLOOKUP('Données projet'!$B$16,Paramètres!$A$1:$I$89,3,0)*0.475*44/12</f>
        <v>0.29264272704318062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4.1493592265086239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162.48960000000025</v>
      </c>
      <c r="D189" s="11">
        <f t="shared" si="140"/>
        <v>41.403546033820732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1573.9120044716008</v>
      </c>
      <c r="H189" s="66">
        <f t="shared" si="110"/>
        <v>648.44722934223819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259.99999999999983</v>
      </c>
      <c r="O189" s="13">
        <f>N189*VLOOKUP('Données projet'!$B$9,Paramètres!$A$1:$I$89,3,0)*VLOOKUP('Données projet'!$B$9,Paramètres!$A$1:$I$89,5,0)</f>
        <v>227.13599999999985</v>
      </c>
      <c r="P189" s="13">
        <f t="shared" si="141"/>
        <v>55.662966886685133</v>
      </c>
      <c r="Q189" s="20">
        <f t="shared" si="162"/>
        <v>492.5415339943097</v>
      </c>
      <c r="R189" s="59">
        <f t="shared" si="109"/>
        <v>785.87486732764296</v>
      </c>
      <c r="S189" s="59">
        <f ca="1">AVERAGE(OFFSET($R$3,0,0,'Données projet'!$E$9+1,1))-AVERAGE(OFFSET($H$3,0,0,'Données projet'!$E$9+1,1))</f>
        <v>252.49539407921907</v>
      </c>
      <c r="T189" s="59">
        <f t="shared" si="142"/>
        <v>263.36387286233929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11.651259275923627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11.651259275923627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19.8100000000004</v>
      </c>
      <c r="AJ189" s="13">
        <f>AI189*VLOOKUP('Données projet'!$B$10,Paramètres!$A$1:$I$89,3,0)*VLOOKUP('Données projet'!$B$10,Paramètres!$A$1:$I$89,5,0)</f>
        <v>17.924088000000364</v>
      </c>
      <c r="AK189" s="13">
        <f t="shared" si="164"/>
        <v>5.9032212091029486</v>
      </c>
      <c r="AL189" s="20">
        <f t="shared" si="165"/>
        <v>41.499230205854936</v>
      </c>
      <c r="AM189" s="59">
        <f t="shared" si="113"/>
        <v>334.83256353918824</v>
      </c>
      <c r="AN189" s="59">
        <f ca="1">AVERAGE(OFFSET($AM$3,0,0,'Données projet'!$E$10+1,1))-AVERAGE(OFFSET($H$3,0,0,'Données projet'!$E$10+1,1))</f>
        <v>370.05613271587413</v>
      </c>
      <c r="AO189" s="59">
        <f t="shared" si="144"/>
        <v>183.24480056442525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93.231468862238373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93.231468862238373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19.8100000000004</v>
      </c>
      <c r="BE189" s="13">
        <f>BD189*VLOOKUP('Données projet'!$B$11,Paramètres!$A$1:$I$89,3,0)*VLOOKUP('Données projet'!$B$11,Paramètres!$A$1:$I$89,5,0)</f>
        <v>20.08734000000041</v>
      </c>
      <c r="BF189" s="13">
        <f t="shared" si="167"/>
        <v>6.5285137703520215</v>
      </c>
      <c r="BG189" s="20">
        <f t="shared" si="168"/>
        <v>46.355945316697152</v>
      </c>
      <c r="BH189" s="59">
        <f t="shared" si="116"/>
        <v>339.68927865003047</v>
      </c>
      <c r="BI189" s="59">
        <f ca="1">AVERAGE(OFFSET($BH$3,0,0,'Données projet'!$E$11+1,1))-AVERAGE(OFFSET($H$3,0,0,'Données projet'!$E$11+1,1))</f>
        <v>428.72181435671394</v>
      </c>
      <c r="BJ189" s="59">
        <f t="shared" si="146"/>
        <v>211.84936043087572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104.48354269043956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104.48354269043956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367.99999999999972</v>
      </c>
      <c r="BZ189" s="13">
        <f>BY189*VLOOKUP('Données projet'!$B$12,Paramètres!$A$1:$I$89,3,0)*VLOOKUP('Données projet'!$B$12,Paramètres!$A$1:$I$89,5,0)</f>
        <v>292.78079999999977</v>
      </c>
      <c r="CA189" s="13">
        <f t="shared" si="170"/>
        <v>69.660903052386217</v>
      </c>
      <c r="CB189" s="20">
        <f t="shared" si="171"/>
        <v>631.25263281623893</v>
      </c>
      <c r="CC189" s="59">
        <f t="shared" si="119"/>
        <v>924.58596614957219</v>
      </c>
      <c r="CD189" s="59">
        <f ca="1">AVERAGE(OFFSET($CC$3,0,0,'Données projet'!$E$12+1,1))-AVERAGE(OFFSET($H$3,0,0,'Données projet'!$E$12+1,1))</f>
        <v>296.737543892524</v>
      </c>
      <c r="CE189" s="59">
        <f t="shared" si="148"/>
        <v>296.38358650317099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7.5530137133594764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7.5530137133594764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474.99999999999994</v>
      </c>
      <c r="CU189" s="17">
        <f>CT189*VLOOKUP('Données projet'!$B$13,Paramètres!$A$1:$I$89,3,0)*VLOOKUP('Données projet'!$B$13,Paramètres!$A$1:$I$89,5,0)</f>
        <v>407.55</v>
      </c>
      <c r="CV189" s="13">
        <f t="shared" si="173"/>
        <v>93.305642095357683</v>
      </c>
      <c r="CW189" s="20">
        <f t="shared" si="174"/>
        <v>872.32357664941446</v>
      </c>
      <c r="CX189" s="59">
        <f t="shared" si="122"/>
        <v>1165.6569099827477</v>
      </c>
      <c r="CY189" s="59">
        <f ca="1">AVERAGE(OFFSET($CX$3,0,0,'Données projet'!$E$13+1,1))-AVERAGE(OFFSET($H$3,0,0,'Données projet'!$E$13+1,1))</f>
        <v>391.93999504334352</v>
      </c>
      <c r="CZ189" s="59">
        <f t="shared" si="150"/>
        <v>215.4484906985528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33.074363785251791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33.074363785251791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367.99999999999972</v>
      </c>
      <c r="DP189" s="17">
        <f>DO189*VLOOKUP('Données projet'!$B$14,Paramètres!$A$1:$I$89,3,0)*VLOOKUP('Données projet'!$B$14,Paramètres!$A$1:$I$89,5,0)</f>
        <v>269.8175999999998</v>
      </c>
      <c r="DQ189" s="13">
        <f t="shared" si="176"/>
        <v>64.810557882019467</v>
      </c>
      <c r="DR189" s="20">
        <f t="shared" si="177"/>
        <v>582.81070831118348</v>
      </c>
      <c r="DS189" s="59">
        <f t="shared" si="125"/>
        <v>876.14404164451685</v>
      </c>
      <c r="DT189" s="59">
        <f ca="1">AVERAGE(OFFSET($DS$3,0,0,'Données projet'!$E$14+1,1))-AVERAGE(OFFSET($H$3,0,0,'Données projet'!$E$14+1,1))</f>
        <v>267.92147257573157</v>
      </c>
      <c r="DU189" s="59">
        <f t="shared" si="152"/>
        <v>269.06662611892438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5.6472958618940083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5.6472958618940083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0.8600000000003547</v>
      </c>
      <c r="EK189" s="17">
        <f>EJ189*VLOOKUP('Données projet'!$B$15,Paramètres!$A$1:$I$89,3,0)*VLOOKUP('Données projet'!$B$15,Paramètres!$A$1:$I$89,5,0)</f>
        <v>0.48074000000019829</v>
      </c>
      <c r="EL189" s="13">
        <f t="shared" si="179"/>
        <v>0.24126147010950588</v>
      </c>
      <c r="EM189" s="20">
        <f t="shared" si="180"/>
        <v>1.2574858937744013</v>
      </c>
      <c r="EN189" s="59">
        <f t="shared" si="128"/>
        <v>294.59081922710772</v>
      </c>
      <c r="EO189" s="59">
        <f ca="1">AVERAGE(OFFSET($EN$3,0,0,'Données projet'!$E$15+1,1))-AVERAGE(OFFSET($H$3,0,0,'Données projet'!$E$15+1,1))</f>
        <v>326.29985515186428</v>
      </c>
      <c r="EP189" s="59">
        <f t="shared" si="154"/>
        <v>437.68177084535927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27.770598645330033</v>
      </c>
      <c r="EW189" s="21">
        <f>EXP(-LN(2)/25)*EW188+(1-EXP(-LN(2)/25))/(LN(2)/25)*Calculateur!ER189*Calculateur!ET189*VLOOKUP('Données projet'!$B$15,Paramètres!$A$1:$I$89,3,0)*0.475*44/12</f>
        <v>0.66907792370056784</v>
      </c>
      <c r="EX189" s="21">
        <f>EXP(-LN(2)/2)*EX188+(1-EXP(-LN(2)/2))/(LN(2)/2)*ER189*EU189*VLOOKUP('Données projet'!$B$15,Paramètres!$A$1:$I$89,3,0)*0.475*44/12</f>
        <v>2.448191665882949E-24</v>
      </c>
      <c r="EY189" s="22">
        <f t="shared" si="181"/>
        <v>28.439676569030599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1.7053025658242404E-13</v>
      </c>
      <c r="FF189" s="17">
        <f>FE189*VLOOKUP('Données projet'!$B$16,Paramètres!$A$1:$I$89,3,0)*VLOOKUP('Données projet'!$B$16,Paramètres!$A$1:$I$89,5,0)</f>
        <v>9.7631982498569413E-14</v>
      </c>
      <c r="FG189" s="13">
        <f t="shared" si="182"/>
        <v>1.4708068762530911E-12</v>
      </c>
      <c r="FH189" s="20">
        <f t="shared" si="183"/>
        <v>2.7316976789924749E-12</v>
      </c>
      <c r="FI189" s="59">
        <f t="shared" si="131"/>
        <v>293.33333333333604</v>
      </c>
      <c r="FJ189" s="59">
        <f ca="1">AVERAGE(OFFSET($FI$3,0,0,'Données projet'!$E$16+1,1))-AVERAGE(OFFSET($H$3,0,0,'Données projet'!$E$16+1,1))</f>
        <v>211.14768428403215</v>
      </c>
      <c r="FK189" s="59">
        <f t="shared" si="156"/>
        <v>350.7800157534798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3.7810886412757134</v>
      </c>
      <c r="FR189" s="21">
        <f>EXP(-LN(2)/25)*FR188+(1-EXP(-LN(2)/25))/(LN(2)/25)*Calculateur!FM189*Calculateur!FO189*VLOOKUP('Données projet'!$B$16,Paramètres!$A$1:$I$89,3,0)*0.475*44/12</f>
        <v>0.28464039628277266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4.0657290375584862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163.36320000000026</v>
      </c>
      <c r="D190" s="11">
        <f t="shared" si="140"/>
        <v>41.600173715581704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1582.1734111378257</v>
      </c>
      <c r="H190" s="66">
        <f t="shared" si="110"/>
        <v>650.31120922130515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259.99999999999983</v>
      </c>
      <c r="O190" s="13">
        <f>N190*VLOOKUP('Données projet'!$B$9,Paramètres!$A$1:$I$89,3,0)*VLOOKUP('Données projet'!$B$9,Paramètres!$A$1:$I$89,5,0)</f>
        <v>227.13599999999985</v>
      </c>
      <c r="P190" s="13">
        <f t="shared" si="141"/>
        <v>55.662966886685133</v>
      </c>
      <c r="Q190" s="20">
        <f t="shared" si="162"/>
        <v>492.5415339943097</v>
      </c>
      <c r="R190" s="59">
        <f t="shared" si="109"/>
        <v>785.87486732764296</v>
      </c>
      <c r="S190" s="59">
        <f ca="1">AVERAGE(OFFSET($R$3,0,0,'Données projet'!$E$9+1,1))-AVERAGE(OFFSET($H$3,0,0,'Données projet'!$E$9+1,1))</f>
        <v>252.49539407921907</v>
      </c>
      <c r="T190" s="59">
        <f t="shared" si="142"/>
        <v>263.36387286233929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11.422785188089208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11.422785188089208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19.8100000000004</v>
      </c>
      <c r="AJ190" s="13">
        <f>AI190*VLOOKUP('Données projet'!$B$10,Paramètres!$A$1:$I$89,3,0)*VLOOKUP('Données projet'!$B$10,Paramètres!$A$1:$I$89,5,0)</f>
        <v>17.924088000000364</v>
      </c>
      <c r="AK190" s="13">
        <f t="shared" si="164"/>
        <v>5.9032212091029486</v>
      </c>
      <c r="AL190" s="20">
        <f t="shared" si="165"/>
        <v>41.499230205854936</v>
      </c>
      <c r="AM190" s="59">
        <f t="shared" si="113"/>
        <v>334.83256353918824</v>
      </c>
      <c r="AN190" s="59">
        <f ca="1">AVERAGE(OFFSET($AM$3,0,0,'Données projet'!$E$10+1,1))-AVERAGE(OFFSET($H$3,0,0,'Données projet'!$E$10+1,1))</f>
        <v>370.05613271587413</v>
      </c>
      <c r="AO190" s="59">
        <f t="shared" si="144"/>
        <v>183.24480056442525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91.403256623430877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91.403256623430877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19.8100000000004</v>
      </c>
      <c r="BE190" s="13">
        <f>BD190*VLOOKUP('Données projet'!$B$11,Paramètres!$A$1:$I$89,3,0)*VLOOKUP('Données projet'!$B$11,Paramètres!$A$1:$I$89,5,0)</f>
        <v>20.08734000000041</v>
      </c>
      <c r="BF190" s="13">
        <f t="shared" si="167"/>
        <v>6.5285137703520215</v>
      </c>
      <c r="BG190" s="20">
        <f t="shared" si="168"/>
        <v>46.355945316697152</v>
      </c>
      <c r="BH190" s="59">
        <f t="shared" si="116"/>
        <v>339.68927865003047</v>
      </c>
      <c r="BI190" s="59">
        <f ca="1">AVERAGE(OFFSET($BH$3,0,0,'Données projet'!$E$11+1,1))-AVERAGE(OFFSET($H$3,0,0,'Données projet'!$E$11+1,1))</f>
        <v>428.72181435671394</v>
      </c>
      <c r="BJ190" s="59">
        <f t="shared" si="146"/>
        <v>211.84936043087572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102.4346841469484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102.4346841469484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367.99999999999972</v>
      </c>
      <c r="BZ190" s="13">
        <f>BY190*VLOOKUP('Données projet'!$B$12,Paramètres!$A$1:$I$89,3,0)*VLOOKUP('Données projet'!$B$12,Paramètres!$A$1:$I$89,5,0)</f>
        <v>292.78079999999977</v>
      </c>
      <c r="CA190" s="13">
        <f t="shared" si="170"/>
        <v>69.660903052386217</v>
      </c>
      <c r="CB190" s="20">
        <f t="shared" si="171"/>
        <v>631.25263281623893</v>
      </c>
      <c r="CC190" s="59">
        <f t="shared" si="119"/>
        <v>924.58596614957219</v>
      </c>
      <c r="CD190" s="59">
        <f ca="1">AVERAGE(OFFSET($CC$3,0,0,'Données projet'!$E$12+1,1))-AVERAGE(OFFSET($H$3,0,0,'Données projet'!$E$12+1,1))</f>
        <v>296.737543892524</v>
      </c>
      <c r="CE190" s="59">
        <f t="shared" si="148"/>
        <v>296.38358650317099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7.4049037213239703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7.4049037213239703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474.99999999999994</v>
      </c>
      <c r="CU190" s="17">
        <f>CT190*VLOOKUP('Données projet'!$B$13,Paramètres!$A$1:$I$89,3,0)*VLOOKUP('Données projet'!$B$13,Paramètres!$A$1:$I$89,5,0)</f>
        <v>407.55</v>
      </c>
      <c r="CV190" s="13">
        <f t="shared" si="173"/>
        <v>93.305642095357683</v>
      </c>
      <c r="CW190" s="20">
        <f t="shared" si="174"/>
        <v>872.32357664941446</v>
      </c>
      <c r="CX190" s="59">
        <f t="shared" si="122"/>
        <v>1165.6569099827477</v>
      </c>
      <c r="CY190" s="59">
        <f ca="1">AVERAGE(OFFSET($CX$3,0,0,'Données projet'!$E$13+1,1))-AVERAGE(OFFSET($H$3,0,0,'Données projet'!$E$13+1,1))</f>
        <v>391.93999504334352</v>
      </c>
      <c r="CZ190" s="59">
        <f t="shared" si="150"/>
        <v>215.4484906985528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32.425795684792959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32.425795684792959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367.99999999999972</v>
      </c>
      <c r="DP190" s="17">
        <f>DO190*VLOOKUP('Données projet'!$B$14,Paramètres!$A$1:$I$89,3,0)*VLOOKUP('Données projet'!$B$14,Paramètres!$A$1:$I$89,5,0)</f>
        <v>269.8175999999998</v>
      </c>
      <c r="DQ190" s="13">
        <f t="shared" si="176"/>
        <v>64.810557882019467</v>
      </c>
      <c r="DR190" s="20">
        <f t="shared" si="177"/>
        <v>582.81070831118348</v>
      </c>
      <c r="DS190" s="59">
        <f t="shared" si="125"/>
        <v>876.14404164451685</v>
      </c>
      <c r="DT190" s="59">
        <f ca="1">AVERAGE(OFFSET($DS$3,0,0,'Données projet'!$E$14+1,1))-AVERAGE(OFFSET($H$3,0,0,'Données projet'!$E$14+1,1))</f>
        <v>267.92147257573157</v>
      </c>
      <c r="DU190" s="59">
        <f t="shared" si="152"/>
        <v>269.06662611892438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5.5365558345526251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5.5365558345526251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0.8600000000003547</v>
      </c>
      <c r="EK190" s="17">
        <f>EJ190*VLOOKUP('Données projet'!$B$15,Paramètres!$A$1:$I$89,3,0)*VLOOKUP('Données projet'!$B$15,Paramètres!$A$1:$I$89,5,0)</f>
        <v>0.48074000000019829</v>
      </c>
      <c r="EL190" s="13">
        <f t="shared" si="179"/>
        <v>0.24126147010950588</v>
      </c>
      <c r="EM190" s="20">
        <f t="shared" si="180"/>
        <v>1.2574858937744013</v>
      </c>
      <c r="EN190" s="59">
        <f t="shared" si="128"/>
        <v>294.59081922710772</v>
      </c>
      <c r="EO190" s="59">
        <f ca="1">AVERAGE(OFFSET($EN$3,0,0,'Données projet'!$E$15+1,1))-AVERAGE(OFFSET($H$3,0,0,'Données projet'!$E$15+1,1))</f>
        <v>326.29985515186428</v>
      </c>
      <c r="EP190" s="59">
        <f t="shared" si="154"/>
        <v>437.68177084535927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27.226034144287755</v>
      </c>
      <c r="EW190" s="21">
        <f>EXP(-LN(2)/25)*EW189+(1-EXP(-LN(2)/25))/(LN(2)/25)*Calculateur!ER190*Calculateur!ET190*VLOOKUP('Données projet'!$B$15,Paramètres!$A$1:$I$89,3,0)*0.475*44/12</f>
        <v>0.65078195269169703</v>
      </c>
      <c r="EX190" s="21">
        <f>EXP(-LN(2)/2)*EX189+(1-EXP(-LN(2)/2))/(LN(2)/2)*ER190*EU190*VLOOKUP('Données projet'!$B$15,Paramètres!$A$1:$I$89,3,0)*0.475*44/12</f>
        <v>1.7311329285902237E-24</v>
      </c>
      <c r="EY190" s="22">
        <f t="shared" si="181"/>
        <v>27.876816096979454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1.7053025658242404E-13</v>
      </c>
      <c r="FF190" s="17">
        <f>FE190*VLOOKUP('Données projet'!$B$16,Paramètres!$A$1:$I$89,3,0)*VLOOKUP('Données projet'!$B$16,Paramètres!$A$1:$I$89,5,0)</f>
        <v>9.7631982498569413E-14</v>
      </c>
      <c r="FG190" s="13">
        <f t="shared" si="182"/>
        <v>1.4708068762530911E-12</v>
      </c>
      <c r="FH190" s="20">
        <f t="shared" si="183"/>
        <v>2.7316976789924749E-12</v>
      </c>
      <c r="FI190" s="59">
        <f t="shared" si="131"/>
        <v>293.33333333333604</v>
      </c>
      <c r="FJ190" s="59">
        <f ca="1">AVERAGE(OFFSET($FI$3,0,0,'Données projet'!$E$16+1,1))-AVERAGE(OFFSET($H$3,0,0,'Données projet'!$E$16+1,1))</f>
        <v>211.14768428403215</v>
      </c>
      <c r="FK190" s="59">
        <f t="shared" si="156"/>
        <v>350.7800157534798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3.7069437992566461</v>
      </c>
      <c r="FR190" s="21">
        <f>EXP(-LN(2)/25)*FR189+(1-EXP(-LN(2)/25))/(LN(2)/25)*Calculateur!FM190*Calculateur!FO190*VLOOKUP('Données projet'!$B$16,Paramètres!$A$1:$I$89,3,0)*0.475*44/12</f>
        <v>0.27685688967783234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3.9838006889344784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164.23680000000027</v>
      </c>
      <c r="D191" s="11">
        <f t="shared" si="140"/>
        <v>41.796679041964389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1590.4338733063939</v>
      </c>
      <c r="H191" s="66">
        <f t="shared" si="110"/>
        <v>652.17497599808837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259.99999999999983</v>
      </c>
      <c r="O191" s="13">
        <f>N191*VLOOKUP('Données projet'!$B$9,Paramètres!$A$1:$I$89,3,0)*VLOOKUP('Données projet'!$B$9,Paramètres!$A$1:$I$89,5,0)</f>
        <v>227.13599999999985</v>
      </c>
      <c r="P191" s="13">
        <f t="shared" si="141"/>
        <v>55.662966886685133</v>
      </c>
      <c r="Q191" s="20">
        <f t="shared" si="162"/>
        <v>492.5415339943097</v>
      </c>
      <c r="R191" s="59">
        <f t="shared" si="109"/>
        <v>785.87486732764296</v>
      </c>
      <c r="S191" s="59">
        <f ca="1">AVERAGE(OFFSET($R$3,0,0,'Données projet'!$E$9+1,1))-AVERAGE(OFFSET($H$3,0,0,'Données projet'!$E$9+1,1))</f>
        <v>252.49539407921907</v>
      </c>
      <c r="T191" s="59">
        <f t="shared" si="142"/>
        <v>263.36387286233929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11.198791337761788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11.198791337761788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19.8100000000004</v>
      </c>
      <c r="AJ191" s="13">
        <f>AI191*VLOOKUP('Données projet'!$B$10,Paramètres!$A$1:$I$89,3,0)*VLOOKUP('Données projet'!$B$10,Paramètres!$A$1:$I$89,5,0)</f>
        <v>17.924088000000364</v>
      </c>
      <c r="AK191" s="13">
        <f t="shared" si="164"/>
        <v>5.9032212091029486</v>
      </c>
      <c r="AL191" s="20">
        <f t="shared" si="165"/>
        <v>41.499230205854936</v>
      </c>
      <c r="AM191" s="59">
        <f t="shared" si="113"/>
        <v>334.83256353918824</v>
      </c>
      <c r="AN191" s="59">
        <f ca="1">AVERAGE(OFFSET($AM$3,0,0,'Données projet'!$E$10+1,1))-AVERAGE(OFFSET($H$3,0,0,'Données projet'!$E$10+1,1))</f>
        <v>370.05613271587413</v>
      </c>
      <c r="AO191" s="59">
        <f t="shared" si="144"/>
        <v>183.24480056442525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89.610894511527036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89.610894511527036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19.8100000000004</v>
      </c>
      <c r="BE191" s="13">
        <f>BD191*VLOOKUP('Données projet'!$B$11,Paramètres!$A$1:$I$89,3,0)*VLOOKUP('Données projet'!$B$11,Paramètres!$A$1:$I$89,5,0)</f>
        <v>20.08734000000041</v>
      </c>
      <c r="BF191" s="13">
        <f t="shared" si="167"/>
        <v>6.5285137703520215</v>
      </c>
      <c r="BG191" s="20">
        <f t="shared" si="168"/>
        <v>46.355945316697152</v>
      </c>
      <c r="BH191" s="59">
        <f t="shared" si="116"/>
        <v>339.68927865003047</v>
      </c>
      <c r="BI191" s="59">
        <f ca="1">AVERAGE(OFFSET($BH$3,0,0,'Données projet'!$E$11+1,1))-AVERAGE(OFFSET($H$3,0,0,'Données projet'!$E$11+1,1))</f>
        <v>428.72181435671394</v>
      </c>
      <c r="BJ191" s="59">
        <f t="shared" si="146"/>
        <v>211.84936043087572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100.42600246981478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100.42600246981478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367.99999999999972</v>
      </c>
      <c r="BZ191" s="13">
        <f>BY191*VLOOKUP('Données projet'!$B$12,Paramètres!$A$1:$I$89,3,0)*VLOOKUP('Données projet'!$B$12,Paramètres!$A$1:$I$89,5,0)</f>
        <v>292.78079999999977</v>
      </c>
      <c r="CA191" s="13">
        <f t="shared" si="170"/>
        <v>69.660903052386217</v>
      </c>
      <c r="CB191" s="20">
        <f t="shared" si="171"/>
        <v>631.25263281623893</v>
      </c>
      <c r="CC191" s="59">
        <f t="shared" si="119"/>
        <v>924.58596614957219</v>
      </c>
      <c r="CD191" s="59">
        <f ca="1">AVERAGE(OFFSET($CC$3,0,0,'Données projet'!$E$12+1,1))-AVERAGE(OFFSET($H$3,0,0,'Données projet'!$E$12+1,1))</f>
        <v>296.737543892524</v>
      </c>
      <c r="CE191" s="59">
        <f t="shared" si="148"/>
        <v>296.38358650317099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7.2596980758941054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7.2596980758941054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474.99999999999994</v>
      </c>
      <c r="CU191" s="17">
        <f>CT191*VLOOKUP('Données projet'!$B$13,Paramètres!$A$1:$I$89,3,0)*VLOOKUP('Données projet'!$B$13,Paramètres!$A$1:$I$89,5,0)</f>
        <v>407.55</v>
      </c>
      <c r="CV191" s="13">
        <f t="shared" si="173"/>
        <v>93.305642095357683</v>
      </c>
      <c r="CW191" s="20">
        <f t="shared" si="174"/>
        <v>872.32357664941446</v>
      </c>
      <c r="CX191" s="59">
        <f t="shared" si="122"/>
        <v>1165.6569099827477</v>
      </c>
      <c r="CY191" s="59">
        <f ca="1">AVERAGE(OFFSET($CX$3,0,0,'Données projet'!$E$13+1,1))-AVERAGE(OFFSET($H$3,0,0,'Données projet'!$E$13+1,1))</f>
        <v>391.93999504334352</v>
      </c>
      <c r="CZ191" s="59">
        <f t="shared" si="150"/>
        <v>215.4484906985528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31.789945609196643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31.789945609196643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367.99999999999972</v>
      </c>
      <c r="DP191" s="17">
        <f>DO191*VLOOKUP('Données projet'!$B$14,Paramètres!$A$1:$I$89,3,0)*VLOOKUP('Données projet'!$B$14,Paramètres!$A$1:$I$89,5,0)</f>
        <v>269.8175999999998</v>
      </c>
      <c r="DQ191" s="13">
        <f t="shared" si="176"/>
        <v>64.810557882019467</v>
      </c>
      <c r="DR191" s="20">
        <f t="shared" si="177"/>
        <v>582.81070831118348</v>
      </c>
      <c r="DS191" s="59">
        <f t="shared" si="125"/>
        <v>876.14404164451685</v>
      </c>
      <c r="DT191" s="59">
        <f ca="1">AVERAGE(OFFSET($DS$3,0,0,'Données projet'!$E$14+1,1))-AVERAGE(OFFSET($H$3,0,0,'Données projet'!$E$14+1,1))</f>
        <v>267.92147257573157</v>
      </c>
      <c r="DU191" s="59">
        <f t="shared" si="152"/>
        <v>269.06662611892438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5.4279873516026598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5.4279873516026598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0.8600000000003547</v>
      </c>
      <c r="EK191" s="17">
        <f>EJ191*VLOOKUP('Données projet'!$B$15,Paramètres!$A$1:$I$89,3,0)*VLOOKUP('Données projet'!$B$15,Paramètres!$A$1:$I$89,5,0)</f>
        <v>0.48074000000019829</v>
      </c>
      <c r="EL191" s="13">
        <f t="shared" si="179"/>
        <v>0.24126147010950588</v>
      </c>
      <c r="EM191" s="20">
        <f t="shared" si="180"/>
        <v>1.2574858937744013</v>
      </c>
      <c r="EN191" s="59">
        <f t="shared" si="128"/>
        <v>294.59081922710772</v>
      </c>
      <c r="EO191" s="59">
        <f ca="1">AVERAGE(OFFSET($EN$3,0,0,'Données projet'!$E$15+1,1))-AVERAGE(OFFSET($H$3,0,0,'Données projet'!$E$15+1,1))</f>
        <v>326.29985515186428</v>
      </c>
      <c r="EP191" s="59">
        <f t="shared" si="154"/>
        <v>437.68177084535927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26.692148220959371</v>
      </c>
      <c r="EW191" s="21">
        <f>EXP(-LN(2)/25)*EW190+(1-EXP(-LN(2)/25))/(LN(2)/25)*Calculateur!ER191*Calculateur!ET191*VLOOKUP('Données projet'!$B$15,Paramètres!$A$1:$I$89,3,0)*0.475*44/12</f>
        <v>0.63298628597220707</v>
      </c>
      <c r="EX191" s="21">
        <f>EXP(-LN(2)/2)*EX190+(1-EXP(-LN(2)/2))/(LN(2)/2)*ER191*EU191*VLOOKUP('Données projet'!$B$15,Paramètres!$A$1:$I$89,3,0)*0.475*44/12</f>
        <v>1.2240958329414745E-24</v>
      </c>
      <c r="EY191" s="22">
        <f t="shared" si="181"/>
        <v>27.32513450693158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1.7053025658242404E-13</v>
      </c>
      <c r="FF191" s="17">
        <f>FE191*VLOOKUP('Données projet'!$B$16,Paramètres!$A$1:$I$89,3,0)*VLOOKUP('Données projet'!$B$16,Paramètres!$A$1:$I$89,5,0)</f>
        <v>9.7631982498569413E-14</v>
      </c>
      <c r="FG191" s="13">
        <f t="shared" si="182"/>
        <v>1.4708068762530911E-12</v>
      </c>
      <c r="FH191" s="20">
        <f t="shared" si="183"/>
        <v>2.7316976789924749E-12</v>
      </c>
      <c r="FI191" s="59">
        <f t="shared" si="131"/>
        <v>293.33333333333604</v>
      </c>
      <c r="FJ191" s="59">
        <f ca="1">AVERAGE(OFFSET($FI$3,0,0,'Données projet'!$E$16+1,1))-AVERAGE(OFFSET($H$3,0,0,'Données projet'!$E$16+1,1))</f>
        <v>211.14768428403215</v>
      </c>
      <c r="FK191" s="59">
        <f t="shared" si="156"/>
        <v>350.7800157534798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3.6342528923656845</v>
      </c>
      <c r="FR191" s="21">
        <f>EXP(-LN(2)/25)*FR190+(1-EXP(-LN(2)/25))/(LN(2)/25)*Calculateur!FM191*Calculateur!FO191*VLOOKUP('Données projet'!$B$16,Paramètres!$A$1:$I$89,3,0)*0.475*44/12</f>
        <v>0.26928622347032094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3.9035391158360055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165.11040000000028</v>
      </c>
      <c r="D192" s="11">
        <f t="shared" si="140"/>
        <v>41.993062739333524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1598.6933965843311</v>
      </c>
      <c r="H192" s="66">
        <f t="shared" si="110"/>
        <v>654.03853093767293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259.99999999999983</v>
      </c>
      <c r="O192" s="13">
        <f>N192*VLOOKUP('Données projet'!$B$9,Paramètres!$A$1:$I$89,3,0)*VLOOKUP('Données projet'!$B$9,Paramètres!$A$1:$I$89,5,0)</f>
        <v>227.13599999999985</v>
      </c>
      <c r="P192" s="13">
        <f t="shared" si="141"/>
        <v>55.662966886685133</v>
      </c>
      <c r="Q192" s="20">
        <f t="shared" si="162"/>
        <v>492.5415339943097</v>
      </c>
      <c r="R192" s="59">
        <f t="shared" si="109"/>
        <v>785.87486732764296</v>
      </c>
      <c r="S192" s="59">
        <f ca="1">AVERAGE(OFFSET($R$3,0,0,'Données projet'!$E$9+1,1))-AVERAGE(OFFSET($H$3,0,0,'Données projet'!$E$9+1,1))</f>
        <v>252.49539407921907</v>
      </c>
      <c r="T192" s="59">
        <f t="shared" si="142"/>
        <v>263.36387286233929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10.979189870216532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10.979189870216532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19.8100000000004</v>
      </c>
      <c r="AJ192" s="13">
        <f>AI192*VLOOKUP('Données projet'!$B$10,Paramètres!$A$1:$I$89,3,0)*VLOOKUP('Données projet'!$B$10,Paramètres!$A$1:$I$89,5,0)</f>
        <v>17.924088000000364</v>
      </c>
      <c r="AK192" s="13">
        <f t="shared" si="164"/>
        <v>5.9032212091029486</v>
      </c>
      <c r="AL192" s="20">
        <f t="shared" si="165"/>
        <v>41.499230205854936</v>
      </c>
      <c r="AM192" s="59">
        <f t="shared" si="113"/>
        <v>334.83256353918824</v>
      </c>
      <c r="AN192" s="59">
        <f ca="1">AVERAGE(OFFSET($AM$3,0,0,'Données projet'!$E$10+1,1))-AVERAGE(OFFSET($H$3,0,0,'Données projet'!$E$10+1,1))</f>
        <v>370.05613271587413</v>
      </c>
      <c r="AO192" s="59">
        <f t="shared" si="144"/>
        <v>183.24480056442525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87.853679527404694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87.853679527404694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19.8100000000004</v>
      </c>
      <c r="BE192" s="13">
        <f>BD192*VLOOKUP('Données projet'!$B$11,Paramètres!$A$1:$I$89,3,0)*VLOOKUP('Données projet'!$B$11,Paramètres!$A$1:$I$89,5,0)</f>
        <v>20.08734000000041</v>
      </c>
      <c r="BF192" s="13">
        <f t="shared" si="167"/>
        <v>6.5285137703520215</v>
      </c>
      <c r="BG192" s="20">
        <f t="shared" si="168"/>
        <v>46.355945316697152</v>
      </c>
      <c r="BH192" s="59">
        <f t="shared" si="116"/>
        <v>339.68927865003047</v>
      </c>
      <c r="BI192" s="59">
        <f ca="1">AVERAGE(OFFSET($BH$3,0,0,'Données projet'!$E$11+1,1))-AVERAGE(OFFSET($H$3,0,0,'Données projet'!$E$11+1,1))</f>
        <v>428.72181435671394</v>
      </c>
      <c r="BJ192" s="59">
        <f t="shared" si="146"/>
        <v>211.84936043087572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98.456709815194898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98.456709815194898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367.99999999999972</v>
      </c>
      <c r="BZ192" s="13">
        <f>BY192*VLOOKUP('Données projet'!$B$12,Paramètres!$A$1:$I$89,3,0)*VLOOKUP('Données projet'!$B$12,Paramètres!$A$1:$I$89,5,0)</f>
        <v>292.78079999999977</v>
      </c>
      <c r="CA192" s="13">
        <f t="shared" si="170"/>
        <v>69.660903052386217</v>
      </c>
      <c r="CB192" s="20">
        <f t="shared" si="171"/>
        <v>631.25263281623893</v>
      </c>
      <c r="CC192" s="59">
        <f t="shared" si="119"/>
        <v>924.58596614957219</v>
      </c>
      <c r="CD192" s="59">
        <f ca="1">AVERAGE(OFFSET($CC$3,0,0,'Données projet'!$E$12+1,1))-AVERAGE(OFFSET($H$3,0,0,'Données projet'!$E$12+1,1))</f>
        <v>296.737543892524</v>
      </c>
      <c r="CE192" s="59">
        <f t="shared" si="148"/>
        <v>296.38358650317099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7.1173398246044215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7.1173398246044215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474.99999999999994</v>
      </c>
      <c r="CU192" s="17">
        <f>CT192*VLOOKUP('Données projet'!$B$13,Paramètres!$A$1:$I$89,3,0)*VLOOKUP('Données projet'!$B$13,Paramètres!$A$1:$I$89,5,0)</f>
        <v>407.55</v>
      </c>
      <c r="CV192" s="13">
        <f t="shared" si="173"/>
        <v>93.305642095357683</v>
      </c>
      <c r="CW192" s="20">
        <f t="shared" si="174"/>
        <v>872.32357664941446</v>
      </c>
      <c r="CX192" s="59">
        <f t="shared" si="122"/>
        <v>1165.6569099827477</v>
      </c>
      <c r="CY192" s="59">
        <f ca="1">AVERAGE(OFFSET($CX$3,0,0,'Données projet'!$E$13+1,1))-AVERAGE(OFFSET($H$3,0,0,'Données projet'!$E$13+1,1))</f>
        <v>391.93999504334352</v>
      </c>
      <c r="CZ192" s="59">
        <f t="shared" si="150"/>
        <v>215.4484906985528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31.166564165752519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31.166564165752519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367.99999999999972</v>
      </c>
      <c r="DP192" s="17">
        <f>DO192*VLOOKUP('Données projet'!$B$14,Paramètres!$A$1:$I$89,3,0)*VLOOKUP('Données projet'!$B$14,Paramètres!$A$1:$I$89,5,0)</f>
        <v>269.8175999999998</v>
      </c>
      <c r="DQ192" s="13">
        <f t="shared" si="176"/>
        <v>64.810557882019467</v>
      </c>
      <c r="DR192" s="20">
        <f t="shared" si="177"/>
        <v>582.81070831118348</v>
      </c>
      <c r="DS192" s="59">
        <f t="shared" si="125"/>
        <v>876.14404164451685</v>
      </c>
      <c r="DT192" s="59">
        <f ca="1">AVERAGE(OFFSET($DS$3,0,0,'Données projet'!$E$14+1,1))-AVERAGE(OFFSET($H$3,0,0,'Données projet'!$E$14+1,1))</f>
        <v>267.92147257573157</v>
      </c>
      <c r="DU192" s="59">
        <f t="shared" si="152"/>
        <v>269.06662611892438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5.321547830383107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5.321547830383107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0.8600000000003547</v>
      </c>
      <c r="EK192" s="17">
        <f>EJ192*VLOOKUP('Données projet'!$B$15,Paramètres!$A$1:$I$89,3,0)*VLOOKUP('Données projet'!$B$15,Paramètres!$A$1:$I$89,5,0)</f>
        <v>0.48074000000019829</v>
      </c>
      <c r="EL192" s="13">
        <f t="shared" si="179"/>
        <v>0.24126147010950588</v>
      </c>
      <c r="EM192" s="20">
        <f t="shared" si="180"/>
        <v>1.2574858937744013</v>
      </c>
      <c r="EN192" s="59">
        <f t="shared" si="128"/>
        <v>294.59081922710772</v>
      </c>
      <c r="EO192" s="59">
        <f ca="1">AVERAGE(OFFSET($EN$3,0,0,'Données projet'!$E$15+1,1))-AVERAGE(OFFSET($H$3,0,0,'Données projet'!$E$15+1,1))</f>
        <v>326.29985515186428</v>
      </c>
      <c r="EP192" s="59">
        <f t="shared" si="154"/>
        <v>437.68177084535927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26.168731474949197</v>
      </c>
      <c r="EW192" s="21">
        <f>EXP(-LN(2)/25)*EW191+(1-EXP(-LN(2)/25))/(LN(2)/25)*Calculateur!ER192*Calculateur!ET192*VLOOKUP('Données projet'!$B$15,Paramètres!$A$1:$I$89,3,0)*0.475*44/12</f>
        <v>0.61567724269499502</v>
      </c>
      <c r="EX192" s="21">
        <f>EXP(-LN(2)/2)*EX191+(1-EXP(-LN(2)/2))/(LN(2)/2)*ER192*EU192*VLOOKUP('Données projet'!$B$15,Paramètres!$A$1:$I$89,3,0)*0.475*44/12</f>
        <v>8.6556646429511183E-25</v>
      </c>
      <c r="EY192" s="22">
        <f t="shared" si="181"/>
        <v>26.784408717644194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1.7053025658242404E-13</v>
      </c>
      <c r="FF192" s="17">
        <f>FE192*VLOOKUP('Données projet'!$B$16,Paramètres!$A$1:$I$89,3,0)*VLOOKUP('Données projet'!$B$16,Paramètres!$A$1:$I$89,5,0)</f>
        <v>9.7631982498569413E-14</v>
      </c>
      <c r="FG192" s="13">
        <f t="shared" si="182"/>
        <v>1.4708068762530911E-12</v>
      </c>
      <c r="FH192" s="20">
        <f t="shared" si="183"/>
        <v>2.7316976789924749E-12</v>
      </c>
      <c r="FI192" s="59">
        <f t="shared" si="131"/>
        <v>293.33333333333604</v>
      </c>
      <c r="FJ192" s="59">
        <f ca="1">AVERAGE(OFFSET($FI$3,0,0,'Données projet'!$E$16+1,1))-AVERAGE(OFFSET($H$3,0,0,'Données projet'!$E$16+1,1))</f>
        <v>211.14768428403215</v>
      </c>
      <c r="FK192" s="59">
        <f t="shared" si="156"/>
        <v>350.7800157534798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3.5629874098217793</v>
      </c>
      <c r="FR192" s="21">
        <f>EXP(-LN(2)/25)*FR191+(1-EXP(-LN(2)/25))/(LN(2)/25)*Calculateur!FM192*Calculateur!FO192*VLOOKUP('Données projet'!$B$16,Paramètres!$A$1:$I$89,3,0)*0.475*44/12</f>
        <v>0.261922577528378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3.8249099873501571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165.98400000000029</v>
      </c>
      <c r="D193" s="11">
        <f t="shared" si="140"/>
        <v>42.189325525922321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1606.9519865158939</v>
      </c>
      <c r="H193" s="66">
        <f t="shared" si="110"/>
        <v>655.90187529098182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259.99999999999983</v>
      </c>
      <c r="O193" s="13">
        <f>N193*VLOOKUP('Données projet'!$B$9,Paramètres!$A$1:$I$89,3,0)*VLOOKUP('Données projet'!$B$9,Paramètres!$A$1:$I$89,5,0)</f>
        <v>227.13599999999985</v>
      </c>
      <c r="P193" s="13">
        <f t="shared" si="141"/>
        <v>55.662966886685133</v>
      </c>
      <c r="Q193" s="20">
        <f t="shared" si="162"/>
        <v>492.5415339943097</v>
      </c>
      <c r="R193" s="59">
        <f t="shared" si="109"/>
        <v>785.87486732764296</v>
      </c>
      <c r="S193" s="59">
        <f ca="1">AVERAGE(OFFSET($R$3,0,0,'Données projet'!$E$9+1,1))-AVERAGE(OFFSET($H$3,0,0,'Données projet'!$E$9+1,1))</f>
        <v>252.49539407921907</v>
      </c>
      <c r="T193" s="59">
        <f t="shared" si="142"/>
        <v>263.36387286233929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10.763894653506167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10.763894653506167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19.8100000000004</v>
      </c>
      <c r="AJ193" s="13">
        <f>AI193*VLOOKUP('Données projet'!$B$10,Paramètres!$A$1:$I$89,3,0)*VLOOKUP('Données projet'!$B$10,Paramètres!$A$1:$I$89,5,0)</f>
        <v>17.924088000000364</v>
      </c>
      <c r="AK193" s="13">
        <f t="shared" si="164"/>
        <v>5.9032212091029486</v>
      </c>
      <c r="AL193" s="20">
        <f t="shared" si="165"/>
        <v>41.499230205854936</v>
      </c>
      <c r="AM193" s="59">
        <f t="shared" si="113"/>
        <v>334.83256353918824</v>
      </c>
      <c r="AN193" s="59">
        <f ca="1">AVERAGE(OFFSET($AM$3,0,0,'Données projet'!$E$10+1,1))-AVERAGE(OFFSET($H$3,0,0,'Données projet'!$E$10+1,1))</f>
        <v>370.05613271587413</v>
      </c>
      <c r="AO193" s="59">
        <f t="shared" si="144"/>
        <v>183.24480056442525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86.130922457325681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86.130922457325681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19.8100000000004</v>
      </c>
      <c r="BE193" s="13">
        <f>BD193*VLOOKUP('Données projet'!$B$11,Paramètres!$A$1:$I$89,3,0)*VLOOKUP('Données projet'!$B$11,Paramètres!$A$1:$I$89,5,0)</f>
        <v>20.08734000000041</v>
      </c>
      <c r="BF193" s="13">
        <f t="shared" si="167"/>
        <v>6.5285137703520215</v>
      </c>
      <c r="BG193" s="20">
        <f t="shared" si="168"/>
        <v>46.355945316697152</v>
      </c>
      <c r="BH193" s="59">
        <f t="shared" si="116"/>
        <v>339.68927865003047</v>
      </c>
      <c r="BI193" s="59">
        <f ca="1">AVERAGE(OFFSET($BH$3,0,0,'Données projet'!$E$11+1,1))-AVERAGE(OFFSET($H$3,0,0,'Données projet'!$E$11+1,1))</f>
        <v>428.72181435671394</v>
      </c>
      <c r="BJ193" s="59">
        <f t="shared" si="146"/>
        <v>211.84936043087572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96.526033788382207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96.526033788382207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367.99999999999972</v>
      </c>
      <c r="BZ193" s="13">
        <f>BY193*VLOOKUP('Données projet'!$B$12,Paramètres!$A$1:$I$89,3,0)*VLOOKUP('Données projet'!$B$12,Paramètres!$A$1:$I$89,5,0)</f>
        <v>292.78079999999977</v>
      </c>
      <c r="CA193" s="13">
        <f t="shared" si="170"/>
        <v>69.660903052386217</v>
      </c>
      <c r="CB193" s="20">
        <f t="shared" si="171"/>
        <v>631.25263281623893</v>
      </c>
      <c r="CC193" s="59">
        <f t="shared" si="119"/>
        <v>924.58596614957219</v>
      </c>
      <c r="CD193" s="59">
        <f ca="1">AVERAGE(OFFSET($CC$3,0,0,'Données projet'!$E$12+1,1))-AVERAGE(OFFSET($H$3,0,0,'Données projet'!$E$12+1,1))</f>
        <v>296.737543892524</v>
      </c>
      <c r="CE193" s="59">
        <f t="shared" si="148"/>
        <v>296.38358650317099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6.9777731317925689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6.9777731317925689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474.99999999999994</v>
      </c>
      <c r="CU193" s="17">
        <f>CT193*VLOOKUP('Données projet'!$B$13,Paramètres!$A$1:$I$89,3,0)*VLOOKUP('Données projet'!$B$13,Paramètres!$A$1:$I$89,5,0)</f>
        <v>407.55</v>
      </c>
      <c r="CV193" s="13">
        <f t="shared" si="173"/>
        <v>93.305642095357683</v>
      </c>
      <c r="CW193" s="20">
        <f t="shared" si="174"/>
        <v>872.32357664941446</v>
      </c>
      <c r="CX193" s="59">
        <f t="shared" si="122"/>
        <v>1165.6569099827477</v>
      </c>
      <c r="CY193" s="59">
        <f ca="1">AVERAGE(OFFSET($CX$3,0,0,'Données projet'!$E$13+1,1))-AVERAGE(OFFSET($H$3,0,0,'Données projet'!$E$13+1,1))</f>
        <v>391.93999504334352</v>
      </c>
      <c r="CZ193" s="59">
        <f t="shared" si="150"/>
        <v>215.4484906985528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30.555406852189197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30.555406852189197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367.99999999999972</v>
      </c>
      <c r="DP193" s="17">
        <f>DO193*VLOOKUP('Données projet'!$B$14,Paramètres!$A$1:$I$89,3,0)*VLOOKUP('Données projet'!$B$14,Paramètres!$A$1:$I$89,5,0)</f>
        <v>269.8175999999998</v>
      </c>
      <c r="DQ193" s="13">
        <f t="shared" si="176"/>
        <v>64.810557882019467</v>
      </c>
      <c r="DR193" s="20">
        <f t="shared" si="177"/>
        <v>582.81070831118348</v>
      </c>
      <c r="DS193" s="59">
        <f t="shared" si="125"/>
        <v>876.14404164451685</v>
      </c>
      <c r="DT193" s="59">
        <f ca="1">AVERAGE(OFFSET($DS$3,0,0,'Données projet'!$E$14+1,1))-AVERAGE(OFFSET($H$3,0,0,'Données projet'!$E$14+1,1))</f>
        <v>267.92147257573157</v>
      </c>
      <c r="DU193" s="59">
        <f t="shared" si="152"/>
        <v>269.06662611892438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5.2171955232529719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5.2171955232529719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0.8600000000003547</v>
      </c>
      <c r="EK193" s="17">
        <f>EJ193*VLOOKUP('Données projet'!$B$15,Paramètres!$A$1:$I$89,3,0)*VLOOKUP('Données projet'!$B$15,Paramètres!$A$1:$I$89,5,0)</f>
        <v>0.48074000000019829</v>
      </c>
      <c r="EL193" s="13">
        <f t="shared" si="179"/>
        <v>0.24126147010950588</v>
      </c>
      <c r="EM193" s="20">
        <f t="shared" si="180"/>
        <v>1.2574858937744013</v>
      </c>
      <c r="EN193" s="59">
        <f t="shared" si="128"/>
        <v>294.59081922710772</v>
      </c>
      <c r="EO193" s="59">
        <f ca="1">AVERAGE(OFFSET($EN$3,0,0,'Données projet'!$E$15+1,1))-AVERAGE(OFFSET($H$3,0,0,'Données projet'!$E$15+1,1))</f>
        <v>326.29985515186428</v>
      </c>
      <c r="EP193" s="59">
        <f t="shared" si="154"/>
        <v>437.68177084535927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25.65557861207559</v>
      </c>
      <c r="EW193" s="21">
        <f>EXP(-LN(2)/25)*EW192+(1-EXP(-LN(2)/25))/(LN(2)/25)*Calculateur!ER193*Calculateur!ET193*VLOOKUP('Données projet'!$B$15,Paramètres!$A$1:$I$89,3,0)*0.475*44/12</f>
        <v>0.59884151611644132</v>
      </c>
      <c r="EX193" s="21">
        <f>EXP(-LN(2)/2)*EX192+(1-EXP(-LN(2)/2))/(LN(2)/2)*ER193*EU193*VLOOKUP('Données projet'!$B$15,Paramètres!$A$1:$I$89,3,0)*0.475*44/12</f>
        <v>6.1204791647073726E-25</v>
      </c>
      <c r="EY193" s="22">
        <f t="shared" si="181"/>
        <v>26.254420128192031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1.7053025658242404E-13</v>
      </c>
      <c r="FF193" s="17">
        <f>FE193*VLOOKUP('Données projet'!$B$16,Paramètres!$A$1:$I$89,3,0)*VLOOKUP('Données projet'!$B$16,Paramètres!$A$1:$I$89,5,0)</f>
        <v>9.7631982498569413E-14</v>
      </c>
      <c r="FG193" s="13">
        <f t="shared" si="182"/>
        <v>1.4708068762530911E-12</v>
      </c>
      <c r="FH193" s="20">
        <f t="shared" si="183"/>
        <v>2.7316976789924749E-12</v>
      </c>
      <c r="FI193" s="59">
        <f t="shared" si="131"/>
        <v>293.33333333333604</v>
      </c>
      <c r="FJ193" s="59">
        <f ca="1">AVERAGE(OFFSET($FI$3,0,0,'Données projet'!$E$16+1,1))-AVERAGE(OFFSET($H$3,0,0,'Données projet'!$E$16+1,1))</f>
        <v>211.14768428403215</v>
      </c>
      <c r="FK193" s="59">
        <f t="shared" si="156"/>
        <v>350.7800157534798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3.4931193999229078</v>
      </c>
      <c r="FR193" s="21">
        <f>EXP(-LN(2)/25)*FR192+(1-EXP(-LN(2)/25))/(LN(2)/25)*Calculateur!FM193*Calculateur!FO193*VLOOKUP('Données projet'!$B$16,Paramètres!$A$1:$I$89,3,0)*0.475*44/12</f>
        <v>0.25476029087195479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3.7478796907948624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166.8576000000003</v>
      </c>
      <c r="D194" s="11">
        <f t="shared" si="140"/>
        <v>42.385468111966134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1615.2096485836007</v>
      </c>
      <c r="H194" s="66">
        <f t="shared" si="110"/>
        <v>657.7650102950081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259.99999999999983</v>
      </c>
      <c r="O194" s="13">
        <f>N194*VLOOKUP('Données projet'!$B$9,Paramètres!$A$1:$I$89,3,0)*VLOOKUP('Données projet'!$B$9,Paramètres!$A$1:$I$89,5,0)</f>
        <v>227.13599999999985</v>
      </c>
      <c r="P194" s="13">
        <f t="shared" si="141"/>
        <v>55.662966886685133</v>
      </c>
      <c r="Q194" s="20">
        <f t="shared" si="162"/>
        <v>492.5415339943097</v>
      </c>
      <c r="R194" s="59">
        <f t="shared" si="109"/>
        <v>785.87486732764296</v>
      </c>
      <c r="S194" s="59">
        <f ca="1">AVERAGE(OFFSET($R$3,0,0,'Données projet'!$E$9+1,1))-AVERAGE(OFFSET($H$3,0,0,'Données projet'!$E$9+1,1))</f>
        <v>252.49539407921907</v>
      </c>
      <c r="T194" s="59">
        <f t="shared" si="142"/>
        <v>263.36387286233929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10.552821244678377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10.552821244678377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19.8100000000004</v>
      </c>
      <c r="AJ194" s="13">
        <f>AI194*VLOOKUP('Données projet'!$B$10,Paramètres!$A$1:$I$89,3,0)*VLOOKUP('Données projet'!$B$10,Paramètres!$A$1:$I$89,5,0)</f>
        <v>17.924088000000364</v>
      </c>
      <c r="AK194" s="13">
        <f t="shared" si="164"/>
        <v>5.9032212091029486</v>
      </c>
      <c r="AL194" s="20">
        <f t="shared" si="165"/>
        <v>41.499230205854936</v>
      </c>
      <c r="AM194" s="59">
        <f t="shared" si="113"/>
        <v>334.83256353918824</v>
      </c>
      <c r="AN194" s="59">
        <f ca="1">AVERAGE(OFFSET($AM$3,0,0,'Données projet'!$E$10+1,1))-AVERAGE(OFFSET($H$3,0,0,'Données projet'!$E$10+1,1))</f>
        <v>370.05613271587413</v>
      </c>
      <c r="AO194" s="59">
        <f t="shared" si="144"/>
        <v>183.24480056442525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84.441947602612856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84.441947602612856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19.8100000000004</v>
      </c>
      <c r="BE194" s="13">
        <f>BD194*VLOOKUP('Données projet'!$B$11,Paramètres!$A$1:$I$89,3,0)*VLOOKUP('Données projet'!$B$11,Paramètres!$A$1:$I$89,5,0)</f>
        <v>20.08734000000041</v>
      </c>
      <c r="BF194" s="13">
        <f t="shared" si="167"/>
        <v>6.5285137703520215</v>
      </c>
      <c r="BG194" s="20">
        <f t="shared" si="168"/>
        <v>46.355945316697152</v>
      </c>
      <c r="BH194" s="59">
        <f t="shared" si="116"/>
        <v>339.68927865003047</v>
      </c>
      <c r="BI194" s="59">
        <f ca="1">AVERAGE(OFFSET($BH$3,0,0,'Données projet'!$E$11+1,1))-AVERAGE(OFFSET($H$3,0,0,'Données projet'!$E$11+1,1))</f>
        <v>428.72181435671394</v>
      </c>
      <c r="BJ194" s="59">
        <f t="shared" si="146"/>
        <v>211.84936043087572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94.633217140859216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94.633217140859216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367.99999999999972</v>
      </c>
      <c r="BZ194" s="13">
        <f>BY194*VLOOKUP('Données projet'!$B$12,Paramètres!$A$1:$I$89,3,0)*VLOOKUP('Données projet'!$B$12,Paramètres!$A$1:$I$89,5,0)</f>
        <v>292.78079999999977</v>
      </c>
      <c r="CA194" s="13">
        <f t="shared" si="170"/>
        <v>69.660903052386217</v>
      </c>
      <c r="CB194" s="20">
        <f t="shared" si="171"/>
        <v>631.25263281623893</v>
      </c>
      <c r="CC194" s="59">
        <f t="shared" si="119"/>
        <v>924.58596614957219</v>
      </c>
      <c r="CD194" s="59">
        <f ca="1">AVERAGE(OFFSET($CC$3,0,0,'Données projet'!$E$12+1,1))-AVERAGE(OFFSET($H$3,0,0,'Données projet'!$E$12+1,1))</f>
        <v>296.737543892524</v>
      </c>
      <c r="CE194" s="59">
        <f t="shared" si="148"/>
        <v>296.38358650317099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6.8409432566994797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6.8409432566994797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474.99999999999994</v>
      </c>
      <c r="CU194" s="17">
        <f>CT194*VLOOKUP('Données projet'!$B$13,Paramètres!$A$1:$I$89,3,0)*VLOOKUP('Données projet'!$B$13,Paramètres!$A$1:$I$89,5,0)</f>
        <v>407.55</v>
      </c>
      <c r="CV194" s="13">
        <f t="shared" si="173"/>
        <v>93.305642095357683</v>
      </c>
      <c r="CW194" s="20">
        <f t="shared" si="174"/>
        <v>872.32357664941446</v>
      </c>
      <c r="CX194" s="59">
        <f t="shared" si="122"/>
        <v>1165.6569099827477</v>
      </c>
      <c r="CY194" s="59">
        <f ca="1">AVERAGE(OFFSET($CX$3,0,0,'Données projet'!$E$13+1,1))-AVERAGE(OFFSET($H$3,0,0,'Données projet'!$E$13+1,1))</f>
        <v>391.93999504334352</v>
      </c>
      <c r="CZ194" s="59">
        <f t="shared" si="150"/>
        <v>215.4484906985528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29.956233960775698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29.956233960775698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367.99999999999972</v>
      </c>
      <c r="DP194" s="17">
        <f>DO194*VLOOKUP('Données projet'!$B$14,Paramètres!$A$1:$I$89,3,0)*VLOOKUP('Données projet'!$B$14,Paramètres!$A$1:$I$89,5,0)</f>
        <v>269.8175999999998</v>
      </c>
      <c r="DQ194" s="13">
        <f t="shared" si="176"/>
        <v>64.810557882019467</v>
      </c>
      <c r="DR194" s="20">
        <f t="shared" si="177"/>
        <v>582.81070831118348</v>
      </c>
      <c r="DS194" s="59">
        <f t="shared" si="125"/>
        <v>876.14404164451685</v>
      </c>
      <c r="DT194" s="59">
        <f ca="1">AVERAGE(OFFSET($DS$3,0,0,'Données projet'!$E$14+1,1))-AVERAGE(OFFSET($H$3,0,0,'Données projet'!$E$14+1,1))</f>
        <v>267.92147257573157</v>
      </c>
      <c r="DU194" s="59">
        <f t="shared" si="152"/>
        <v>269.06662611892438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5.1148895012170366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5.1148895012170366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0.8600000000003547</v>
      </c>
      <c r="EK194" s="17">
        <f>EJ194*VLOOKUP('Données projet'!$B$15,Paramètres!$A$1:$I$89,3,0)*VLOOKUP('Données projet'!$B$15,Paramètres!$A$1:$I$89,5,0)</f>
        <v>0.48074000000019829</v>
      </c>
      <c r="EL194" s="13">
        <f t="shared" si="179"/>
        <v>0.24126147010950588</v>
      </c>
      <c r="EM194" s="20">
        <f t="shared" si="180"/>
        <v>1.2574858937744013</v>
      </c>
      <c r="EN194" s="59">
        <f t="shared" si="128"/>
        <v>294.59081922710772</v>
      </c>
      <c r="EO194" s="59">
        <f ca="1">AVERAGE(OFFSET($EN$3,0,0,'Données projet'!$E$15+1,1))-AVERAGE(OFFSET($H$3,0,0,'Données projet'!$E$15+1,1))</f>
        <v>326.29985515186428</v>
      </c>
      <c r="EP194" s="59">
        <f t="shared" si="154"/>
        <v>437.68177084535927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25.152488363850594</v>
      </c>
      <c r="EW194" s="21">
        <f>EXP(-LN(2)/25)*EW193+(1-EXP(-LN(2)/25))/(LN(2)/25)*Calculateur!ER194*Calculateur!ET194*VLOOKUP('Données projet'!$B$15,Paramètres!$A$1:$I$89,3,0)*0.475*44/12</f>
        <v>0.58246616336653056</v>
      </c>
      <c r="EX194" s="21">
        <f>EXP(-LN(2)/2)*EX193+(1-EXP(-LN(2)/2))/(LN(2)/2)*ER194*EU194*VLOOKUP('Données projet'!$B$15,Paramètres!$A$1:$I$89,3,0)*0.475*44/12</f>
        <v>4.3278323214755591E-25</v>
      </c>
      <c r="EY194" s="22">
        <f t="shared" si="181"/>
        <v>25.734954527217123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1.7053025658242404E-13</v>
      </c>
      <c r="FF194" s="17">
        <f>FE194*VLOOKUP('Données projet'!$B$16,Paramètres!$A$1:$I$89,3,0)*VLOOKUP('Données projet'!$B$16,Paramètres!$A$1:$I$89,5,0)</f>
        <v>9.7631982498569413E-14</v>
      </c>
      <c r="FG194" s="13">
        <f t="shared" si="182"/>
        <v>1.4708068762530911E-12</v>
      </c>
      <c r="FH194" s="20">
        <f t="shared" si="183"/>
        <v>2.7316976789924749E-12</v>
      </c>
      <c r="FI194" s="59">
        <f t="shared" si="131"/>
        <v>293.33333333333604</v>
      </c>
      <c r="FJ194" s="59">
        <f ca="1">AVERAGE(OFFSET($FI$3,0,0,'Données projet'!$E$16+1,1))-AVERAGE(OFFSET($H$3,0,0,'Données projet'!$E$16+1,1))</f>
        <v>211.14768428403215</v>
      </c>
      <c r="FK194" s="59">
        <f t="shared" si="156"/>
        <v>350.7800157534798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3.424621459082875</v>
      </c>
      <c r="FR194" s="21">
        <f>EXP(-LN(2)/25)*FR193+(1-EXP(-LN(2)/25))/(LN(2)/25)*Calculateur!FM194*Calculateur!FO194*VLOOKUP('Données projet'!$B$16,Paramètres!$A$1:$I$89,3,0)*0.475*44/12</f>
        <v>0.24779385732079975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3.6724153164036748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167.73120000000031</v>
      </c>
      <c r="D195" s="11">
        <f t="shared" si="140"/>
        <v>42.581491199832726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1623.4663882092375</v>
      </c>
      <c r="H195" s="66">
        <f t="shared" si="110"/>
        <v>659.62793717304248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259.99999999999983</v>
      </c>
      <c r="O195" s="13">
        <f>N195*VLOOKUP('Données projet'!$B$9,Paramètres!$A$1:$I$89,3,0)*VLOOKUP('Données projet'!$B$9,Paramètres!$A$1:$I$89,5,0)</f>
        <v>227.13599999999985</v>
      </c>
      <c r="P195" s="13">
        <f t="shared" si="141"/>
        <v>55.662966886685133</v>
      </c>
      <c r="Q195" s="20">
        <f t="shared" si="162"/>
        <v>492.5415339943097</v>
      </c>
      <c r="R195" s="59">
        <f t="shared" ref="R195:R203" si="191">Q195+(I195+J195)*44/12</f>
        <v>785.87486732764296</v>
      </c>
      <c r="S195" s="59">
        <f ca="1">AVERAGE(OFFSET($R$3,0,0,'Données projet'!$E$9+1,1))-AVERAGE(OFFSET($H$3,0,0,'Données projet'!$E$9+1,1))</f>
        <v>252.49539407921907</v>
      </c>
      <c r="T195" s="59">
        <f t="shared" si="142"/>
        <v>263.36387286233929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10.345886856655634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10.345886856655634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19.8100000000004</v>
      </c>
      <c r="AJ195" s="13">
        <f>AI195*VLOOKUP('Données projet'!$B$10,Paramètres!$A$1:$I$89,3,0)*VLOOKUP('Données projet'!$B$10,Paramètres!$A$1:$I$89,5,0)</f>
        <v>17.924088000000364</v>
      </c>
      <c r="AK195" s="13">
        <f t="shared" si="164"/>
        <v>5.9032212091029486</v>
      </c>
      <c r="AL195" s="20">
        <f t="shared" si="165"/>
        <v>41.499230205854936</v>
      </c>
      <c r="AM195" s="59">
        <f t="shared" si="113"/>
        <v>334.83256353918824</v>
      </c>
      <c r="AN195" s="59">
        <f ca="1">AVERAGE(OFFSET($AM$3,0,0,'Données projet'!$E$10+1,1))-AVERAGE(OFFSET($H$3,0,0,'Données projet'!$E$10+1,1))</f>
        <v>370.05613271587413</v>
      </c>
      <c r="AO195" s="59">
        <f t="shared" si="144"/>
        <v>183.24480056442525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82.78609251462801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82.78609251462801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19.8100000000004</v>
      </c>
      <c r="BE195" s="13">
        <f>BD195*VLOOKUP('Données projet'!$B$11,Paramètres!$A$1:$I$89,3,0)*VLOOKUP('Données projet'!$B$11,Paramètres!$A$1:$I$89,5,0)</f>
        <v>20.08734000000041</v>
      </c>
      <c r="BF195" s="13">
        <f t="shared" si="167"/>
        <v>6.5285137703520215</v>
      </c>
      <c r="BG195" s="20">
        <f t="shared" si="168"/>
        <v>46.355945316697152</v>
      </c>
      <c r="BH195" s="59">
        <f t="shared" si="116"/>
        <v>339.68927865003047</v>
      </c>
      <c r="BI195" s="59">
        <f ca="1">AVERAGE(OFFSET($BH$3,0,0,'Données projet'!$E$11+1,1))-AVERAGE(OFFSET($H$3,0,0,'Données projet'!$E$11+1,1))</f>
        <v>428.72181435671394</v>
      </c>
      <c r="BJ195" s="59">
        <f t="shared" si="146"/>
        <v>211.84936043087572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92.77751747328999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92.77751747328999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367.99999999999972</v>
      </c>
      <c r="BZ195" s="13">
        <f>BY195*VLOOKUP('Données projet'!$B$12,Paramètres!$A$1:$I$89,3,0)*VLOOKUP('Données projet'!$B$12,Paramètres!$A$1:$I$89,5,0)</f>
        <v>292.78079999999977</v>
      </c>
      <c r="CA195" s="13">
        <f t="shared" si="170"/>
        <v>69.660903052386217</v>
      </c>
      <c r="CB195" s="20">
        <f t="shared" si="171"/>
        <v>631.25263281623893</v>
      </c>
      <c r="CC195" s="59">
        <f t="shared" si="119"/>
        <v>924.58596614957219</v>
      </c>
      <c r="CD195" s="59">
        <f ca="1">AVERAGE(OFFSET($CC$3,0,0,'Données projet'!$E$12+1,1))-AVERAGE(OFFSET($H$3,0,0,'Données projet'!$E$12+1,1))</f>
        <v>296.737543892524</v>
      </c>
      <c r="CE195" s="59">
        <f t="shared" si="148"/>
        <v>296.38358650317099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6.7067965319989833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6.7067965319989833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474.99999999999994</v>
      </c>
      <c r="CU195" s="17">
        <f>CT195*VLOOKUP('Données projet'!$B$13,Paramètres!$A$1:$I$89,3,0)*VLOOKUP('Données projet'!$B$13,Paramètres!$A$1:$I$89,5,0)</f>
        <v>407.55</v>
      </c>
      <c r="CV195" s="13">
        <f t="shared" si="173"/>
        <v>93.305642095357683</v>
      </c>
      <c r="CW195" s="20">
        <f t="shared" si="174"/>
        <v>872.32357664941446</v>
      </c>
      <c r="CX195" s="59">
        <f t="shared" si="122"/>
        <v>1165.6569099827477</v>
      </c>
      <c r="CY195" s="59">
        <f ca="1">AVERAGE(OFFSET($CX$3,0,0,'Données projet'!$E$13+1,1))-AVERAGE(OFFSET($H$3,0,0,'Données projet'!$E$13+1,1))</f>
        <v>391.93999504334352</v>
      </c>
      <c r="CZ195" s="59">
        <f t="shared" si="150"/>
        <v>215.4484906985528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29.368810484303442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29.368810484303442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367.99999999999972</v>
      </c>
      <c r="DP195" s="17">
        <f>DO195*VLOOKUP('Données projet'!$B$14,Paramètres!$A$1:$I$89,3,0)*VLOOKUP('Données projet'!$B$14,Paramètres!$A$1:$I$89,5,0)</f>
        <v>269.8175999999998</v>
      </c>
      <c r="DQ195" s="13">
        <f t="shared" si="176"/>
        <v>64.810557882019467</v>
      </c>
      <c r="DR195" s="20">
        <f t="shared" si="177"/>
        <v>582.81070831118348</v>
      </c>
      <c r="DS195" s="59">
        <f t="shared" si="125"/>
        <v>876.14404164451685</v>
      </c>
      <c r="DT195" s="59">
        <f ca="1">AVERAGE(OFFSET($DS$3,0,0,'Données projet'!$E$14+1,1))-AVERAGE(OFFSET($H$3,0,0,'Données projet'!$E$14+1,1))</f>
        <v>267.92147257573157</v>
      </c>
      <c r="DU195" s="59">
        <f t="shared" si="152"/>
        <v>269.06662611892438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5.0145896378727137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5.0145896378727137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0.8600000000003547</v>
      </c>
      <c r="EK195" s="17">
        <f>EJ195*VLOOKUP('Données projet'!$B$15,Paramètres!$A$1:$I$89,3,0)*VLOOKUP('Données projet'!$B$15,Paramètres!$A$1:$I$89,5,0)</f>
        <v>0.48074000000019829</v>
      </c>
      <c r="EL195" s="13">
        <f t="shared" si="179"/>
        <v>0.24126147010950588</v>
      </c>
      <c r="EM195" s="20">
        <f t="shared" si="180"/>
        <v>1.2574858937744013</v>
      </c>
      <c r="EN195" s="59">
        <f t="shared" si="128"/>
        <v>294.59081922710772</v>
      </c>
      <c r="EO195" s="59">
        <f ca="1">AVERAGE(OFFSET($EN$3,0,0,'Données projet'!$E$15+1,1))-AVERAGE(OFFSET($H$3,0,0,'Données projet'!$E$15+1,1))</f>
        <v>326.29985515186428</v>
      </c>
      <c r="EP195" s="59">
        <f t="shared" si="154"/>
        <v>437.68177084535927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24.659263408538539</v>
      </c>
      <c r="EW195" s="21">
        <f>EXP(-LN(2)/25)*EW194+(1-EXP(-LN(2)/25))/(LN(2)/25)*Calculateur!ER195*Calculateur!ET195*VLOOKUP('Données projet'!$B$15,Paramètres!$A$1:$I$89,3,0)*0.475*44/12</f>
        <v>0.56653859549870855</v>
      </c>
      <c r="EX195" s="21">
        <f>EXP(-LN(2)/2)*EX194+(1-EXP(-LN(2)/2))/(LN(2)/2)*ER195*EU195*VLOOKUP('Données projet'!$B$15,Paramètres!$A$1:$I$89,3,0)*0.475*44/12</f>
        <v>3.0602395823536863E-25</v>
      </c>
      <c r="EY195" s="22">
        <f t="shared" si="181"/>
        <v>25.225802004037249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1.7053025658242404E-13</v>
      </c>
      <c r="FF195" s="17">
        <f>FE195*VLOOKUP('Données projet'!$B$16,Paramètres!$A$1:$I$89,3,0)*VLOOKUP('Données projet'!$B$16,Paramètres!$A$1:$I$89,5,0)</f>
        <v>9.7631982498569413E-14</v>
      </c>
      <c r="FG195" s="13">
        <f t="shared" si="182"/>
        <v>1.4708068762530911E-12</v>
      </c>
      <c r="FH195" s="20">
        <f t="shared" si="183"/>
        <v>2.7316976789924749E-12</v>
      </c>
      <c r="FI195" s="59">
        <f t="shared" si="131"/>
        <v>293.33333333333604</v>
      </c>
      <c r="FJ195" s="59">
        <f ca="1">AVERAGE(OFFSET($FI$3,0,0,'Données projet'!$E$16+1,1))-AVERAGE(OFFSET($H$3,0,0,'Données projet'!$E$16+1,1))</f>
        <v>211.14768428403215</v>
      </c>
      <c r="FK195" s="59">
        <f t="shared" si="156"/>
        <v>350.7800157534798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3.3574667210830969</v>
      </c>
      <c r="FR195" s="21">
        <f>EXP(-LN(2)/25)*FR194+(1-EXP(-LN(2)/25))/(LN(2)/25)*Calculateur!FM195*Calculateur!FO195*VLOOKUP('Données projet'!$B$16,Paramètres!$A$1:$I$89,3,0)*0.475*44/12</f>
        <v>0.24101792126144986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3.5984846423445469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168.60480000000032</v>
      </c>
      <c r="D196" s="11">
        <f t="shared" si="140"/>
        <v>42.777395484149835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1631.7222107548432</v>
      </c>
      <c r="H196" s="66">
        <f t="shared" ref="H196:H203" si="192">(B196+E196+F196)*44/12+(C196+D196)*0.475*44/12</f>
        <v>661.49065713489483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259.99999999999983</v>
      </c>
      <c r="O196" s="13">
        <f>N196*VLOOKUP('Données projet'!$B$9,Paramètres!$A$1:$I$89,3,0)*VLOOKUP('Données projet'!$B$9,Paramètres!$A$1:$I$89,5,0)</f>
        <v>227.13599999999985</v>
      </c>
      <c r="P196" s="13">
        <f t="shared" si="141"/>
        <v>55.662966886685133</v>
      </c>
      <c r="Q196" s="20">
        <f t="shared" si="162"/>
        <v>492.5415339943097</v>
      </c>
      <c r="R196" s="59">
        <f t="shared" si="191"/>
        <v>785.87486732764296</v>
      </c>
      <c r="S196" s="59">
        <f ca="1">AVERAGE(OFFSET($R$3,0,0,'Données projet'!$E$9+1,1))-AVERAGE(OFFSET($H$3,0,0,'Données projet'!$E$9+1,1))</f>
        <v>252.49539407921907</v>
      </c>
      <c r="T196" s="59">
        <f t="shared" si="142"/>
        <v>263.36387286233929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10.143010325764502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10.143010325764502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19.8100000000004</v>
      </c>
      <c r="AJ196" s="13">
        <f>AI196*VLOOKUP('Données projet'!$B$10,Paramètres!$A$1:$I$89,3,0)*VLOOKUP('Données projet'!$B$10,Paramètres!$A$1:$I$89,5,0)</f>
        <v>17.924088000000364</v>
      </c>
      <c r="AK196" s="13">
        <f t="shared" si="164"/>
        <v>5.9032212091029486</v>
      </c>
      <c r="AL196" s="20">
        <f t="shared" si="165"/>
        <v>41.499230205854936</v>
      </c>
      <c r="AM196" s="59">
        <f t="shared" ref="AM196:AM203" si="193">AL196+(AD196+AE196)*44/12</f>
        <v>334.83256353918824</v>
      </c>
      <c r="AN196" s="59">
        <f ca="1">AVERAGE(OFFSET($AM$3,0,0,'Données projet'!$E$10+1,1))-AVERAGE(OFFSET($H$3,0,0,'Données projet'!$E$10+1,1))</f>
        <v>370.05613271587413</v>
      </c>
      <c r="AO196" s="59">
        <f t="shared" si="144"/>
        <v>183.24480056442525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81.162707734946665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81.162707734946665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19.8100000000004</v>
      </c>
      <c r="BE196" s="13">
        <f>BD196*VLOOKUP('Données projet'!$B$11,Paramètres!$A$1:$I$89,3,0)*VLOOKUP('Données projet'!$B$11,Paramètres!$A$1:$I$89,5,0)</f>
        <v>20.08734000000041</v>
      </c>
      <c r="BF196" s="13">
        <f t="shared" si="167"/>
        <v>6.5285137703520215</v>
      </c>
      <c r="BG196" s="20">
        <f t="shared" si="168"/>
        <v>46.355945316697152</v>
      </c>
      <c r="BH196" s="59">
        <f t="shared" ref="BH196:BH203" si="194">BG196+(AY196+AZ196)*44/12</f>
        <v>339.68927865003047</v>
      </c>
      <c r="BI196" s="59">
        <f ca="1">AVERAGE(OFFSET($BH$3,0,0,'Données projet'!$E$11+1,1))-AVERAGE(OFFSET($H$3,0,0,'Données projet'!$E$11+1,1))</f>
        <v>428.72181435671394</v>
      </c>
      <c r="BJ196" s="59">
        <f t="shared" si="146"/>
        <v>211.84936043087572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90.958206944336766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90.958206944336766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367.99999999999972</v>
      </c>
      <c r="BZ196" s="13">
        <f>BY196*VLOOKUP('Données projet'!$B$12,Paramètres!$A$1:$I$89,3,0)*VLOOKUP('Données projet'!$B$12,Paramètres!$A$1:$I$89,5,0)</f>
        <v>292.78079999999977</v>
      </c>
      <c r="CA196" s="13">
        <f t="shared" si="170"/>
        <v>69.660903052386217</v>
      </c>
      <c r="CB196" s="20">
        <f t="shared" si="171"/>
        <v>631.25263281623893</v>
      </c>
      <c r="CC196" s="59">
        <f t="shared" ref="CC196:CC203" si="195">CB196+(BT196+BU196)*44/12</f>
        <v>924.58596614957219</v>
      </c>
      <c r="CD196" s="59">
        <f ca="1">AVERAGE(OFFSET($CC$3,0,0,'Données projet'!$E$12+1,1))-AVERAGE(OFFSET($H$3,0,0,'Données projet'!$E$12+1,1))</f>
        <v>296.737543892524</v>
      </c>
      <c r="CE196" s="59">
        <f t="shared" si="148"/>
        <v>296.38358650317099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6.5752803427484405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6.5752803427484405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474.99999999999994</v>
      </c>
      <c r="CU196" s="17">
        <f>CT196*VLOOKUP('Données projet'!$B$13,Paramètres!$A$1:$I$89,3,0)*VLOOKUP('Données projet'!$B$13,Paramètres!$A$1:$I$89,5,0)</f>
        <v>407.55</v>
      </c>
      <c r="CV196" s="13">
        <f t="shared" si="173"/>
        <v>93.305642095357683</v>
      </c>
      <c r="CW196" s="20">
        <f t="shared" si="174"/>
        <v>872.32357664941446</v>
      </c>
      <c r="CX196" s="59">
        <f t="shared" ref="CX196:CX203" si="196">CW196+(CO196+CP196)*44/12</f>
        <v>1165.6569099827477</v>
      </c>
      <c r="CY196" s="59">
        <f ca="1">AVERAGE(OFFSET($CX$3,0,0,'Données projet'!$E$13+1,1))-AVERAGE(OFFSET($H$3,0,0,'Données projet'!$E$13+1,1))</f>
        <v>391.93999504334352</v>
      </c>
      <c r="CZ196" s="59">
        <f t="shared" si="150"/>
        <v>215.4484906985528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28.792906023911865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28.792906023911865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367.99999999999972</v>
      </c>
      <c r="DP196" s="17">
        <f>DO196*VLOOKUP('Données projet'!$B$14,Paramètres!$A$1:$I$89,3,0)*VLOOKUP('Données projet'!$B$14,Paramètres!$A$1:$I$89,5,0)</f>
        <v>269.8175999999998</v>
      </c>
      <c r="DQ196" s="13">
        <f t="shared" si="176"/>
        <v>64.810557882019467</v>
      </c>
      <c r="DR196" s="20">
        <f t="shared" si="177"/>
        <v>582.81070831118348</v>
      </c>
      <c r="DS196" s="59">
        <f t="shared" ref="DS196:DS203" si="197">DR196+(DJ196+DK196)*44/12</f>
        <v>876.14404164451685</v>
      </c>
      <c r="DT196" s="59">
        <f ca="1">AVERAGE(OFFSET($DS$3,0,0,'Données projet'!$E$14+1,1))-AVERAGE(OFFSET($H$3,0,0,'Données projet'!$E$14+1,1))</f>
        <v>267.92147257573157</v>
      </c>
      <c r="DU196" s="59">
        <f t="shared" si="152"/>
        <v>269.06662611892438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4.9162565936716973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4.9162565936716973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0.8600000000003547</v>
      </c>
      <c r="EK196" s="17">
        <f>EJ196*VLOOKUP('Données projet'!$B$15,Paramètres!$A$1:$I$89,3,0)*VLOOKUP('Données projet'!$B$15,Paramètres!$A$1:$I$89,5,0)</f>
        <v>0.48074000000019829</v>
      </c>
      <c r="EL196" s="13">
        <f t="shared" si="179"/>
        <v>0.24126147010950588</v>
      </c>
      <c r="EM196" s="20">
        <f t="shared" si="180"/>
        <v>1.2574858937744013</v>
      </c>
      <c r="EN196" s="59">
        <f t="shared" ref="EN196:EN203" si="198">EM196+(EE196+EF196)*44/12</f>
        <v>294.59081922710772</v>
      </c>
      <c r="EO196" s="59">
        <f ca="1">AVERAGE(OFFSET($EN$3,0,0,'Données projet'!$E$15+1,1))-AVERAGE(OFFSET($H$3,0,0,'Données projet'!$E$15+1,1))</f>
        <v>326.29985515186428</v>
      </c>
      <c r="EP196" s="59">
        <f t="shared" si="154"/>
        <v>437.68177084535927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24.175710293762634</v>
      </c>
      <c r="EW196" s="21">
        <f>EXP(-LN(2)/25)*EW195+(1-EXP(-LN(2)/25))/(LN(2)/25)*Calculateur!ER196*Calculateur!ET196*VLOOKUP('Données projet'!$B$15,Paramètres!$A$1:$I$89,3,0)*0.475*44/12</f>
        <v>0.55104656781182648</v>
      </c>
      <c r="EX196" s="21">
        <f>EXP(-LN(2)/2)*EX195+(1-EXP(-LN(2)/2))/(LN(2)/2)*ER196*EU196*VLOOKUP('Données projet'!$B$15,Paramètres!$A$1:$I$89,3,0)*0.475*44/12</f>
        <v>2.1639161607377796E-25</v>
      </c>
      <c r="EY196" s="22">
        <f t="shared" si="181"/>
        <v>24.726756861574462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1.7053025658242404E-13</v>
      </c>
      <c r="FF196" s="17">
        <f>FE196*VLOOKUP('Données projet'!$B$16,Paramètres!$A$1:$I$89,3,0)*VLOOKUP('Données projet'!$B$16,Paramètres!$A$1:$I$89,5,0)</f>
        <v>9.7631982498569413E-14</v>
      </c>
      <c r="FG196" s="13">
        <f t="shared" si="182"/>
        <v>1.4708068762530911E-12</v>
      </c>
      <c r="FH196" s="20">
        <f t="shared" si="183"/>
        <v>2.7316976789924749E-12</v>
      </c>
      <c r="FI196" s="59">
        <f t="shared" ref="FI196:FI203" si="199">FH196+(EZ196+FA196)*44/12</f>
        <v>293.33333333333604</v>
      </c>
      <c r="FJ196" s="59">
        <f ca="1">AVERAGE(OFFSET($FI$3,0,0,'Données projet'!$E$16+1,1))-AVERAGE(OFFSET($H$3,0,0,'Données projet'!$E$16+1,1))</f>
        <v>211.14768428403215</v>
      </c>
      <c r="FK196" s="59">
        <f t="shared" si="156"/>
        <v>350.7800157534798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3.2916288465351484</v>
      </c>
      <c r="FR196" s="21">
        <f>EXP(-LN(2)/25)*FR195+(1-EXP(-LN(2)/25))/(LN(2)/25)*Calculateur!FM196*Calculateur!FO196*VLOOKUP('Données projet'!$B$16,Paramètres!$A$1:$I$89,3,0)*0.475*44/12</f>
        <v>0.23442727352997389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3.5260561200651224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169.47840000000033</v>
      </c>
      <c r="D197" s="11">
        <f t="shared" ref="D197:D203" si="202">IFERROR(EXP(-1.0587+0.8836*LN(C197)+0.284),0)</f>
        <v>42.97318165193041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1639.977121523676</v>
      </c>
      <c r="H197" s="66">
        <f t="shared" si="192"/>
        <v>663.35317137711263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259.99999999999983</v>
      </c>
      <c r="O197" s="13">
        <f>N197*VLOOKUP('Données projet'!$B$9,Paramètres!$A$1:$I$89,3,0)*VLOOKUP('Données projet'!$B$9,Paramètres!$A$1:$I$89,5,0)</f>
        <v>227.13599999999985</v>
      </c>
      <c r="P197" s="13">
        <f t="shared" ref="P197:P203" si="203">EXP(-1.0587+0.8836*LN(O197)+0.284)</f>
        <v>55.662966886685133</v>
      </c>
      <c r="Q197" s="20">
        <f t="shared" si="162"/>
        <v>492.5415339943097</v>
      </c>
      <c r="R197" s="59">
        <f t="shared" si="191"/>
        <v>785.87486732764296</v>
      </c>
      <c r="S197" s="59">
        <f ca="1">AVERAGE(OFFSET($R$3,0,0,'Données projet'!$E$9+1,1))-AVERAGE(OFFSET($H$3,0,0,'Données projet'!$E$9+1,1))</f>
        <v>252.49539407921907</v>
      </c>
      <c r="T197" s="59">
        <f t="shared" ref="T197:T203" si="204">$T$3</f>
        <v>263.36387286233929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9.9441120799016804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9.9441120799016804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19.8100000000004</v>
      </c>
      <c r="AJ197" s="13">
        <f>AI197*VLOOKUP('Données projet'!$B$10,Paramètres!$A$1:$I$89,3,0)*VLOOKUP('Données projet'!$B$10,Paramètres!$A$1:$I$89,5,0)</f>
        <v>17.924088000000364</v>
      </c>
      <c r="AK197" s="13">
        <f t="shared" si="164"/>
        <v>5.9032212091029486</v>
      </c>
      <c r="AL197" s="20">
        <f t="shared" si="165"/>
        <v>41.499230205854936</v>
      </c>
      <c r="AM197" s="59">
        <f t="shared" si="193"/>
        <v>334.83256353918824</v>
      </c>
      <c r="AN197" s="59">
        <f ca="1">AVERAGE(OFFSET($AM$3,0,0,'Données projet'!$E$10+1,1))-AVERAGE(OFFSET($H$3,0,0,'Données projet'!$E$10+1,1))</f>
        <v>370.05613271587413</v>
      </c>
      <c r="AO197" s="59">
        <f t="shared" ref="AO197:AO203" si="205">$AO$3</f>
        <v>183.24480056442525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79.571156540627925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79.571156540627925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19.8100000000004</v>
      </c>
      <c r="BE197" s="13">
        <f>BD197*VLOOKUP('Données projet'!$B$11,Paramètres!$A$1:$I$89,3,0)*VLOOKUP('Données projet'!$B$11,Paramètres!$A$1:$I$89,5,0)</f>
        <v>20.08734000000041</v>
      </c>
      <c r="BF197" s="13">
        <f t="shared" si="167"/>
        <v>6.5285137703520215</v>
      </c>
      <c r="BG197" s="20">
        <f t="shared" si="168"/>
        <v>46.355945316697152</v>
      </c>
      <c r="BH197" s="59">
        <f t="shared" si="194"/>
        <v>339.68927865003047</v>
      </c>
      <c r="BI197" s="59">
        <f ca="1">AVERAGE(OFFSET($BH$3,0,0,'Données projet'!$E$11+1,1))-AVERAGE(OFFSET($H$3,0,0,'Données projet'!$E$11+1,1))</f>
        <v>428.72181435671394</v>
      </c>
      <c r="BJ197" s="59">
        <f t="shared" ref="BJ197:BJ203" si="206">$BJ$3</f>
        <v>211.84936043087572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89.174571985186461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89.174571985186461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367.99999999999972</v>
      </c>
      <c r="BZ197" s="13">
        <f>BY197*VLOOKUP('Données projet'!$B$12,Paramètres!$A$1:$I$89,3,0)*VLOOKUP('Données projet'!$B$12,Paramètres!$A$1:$I$89,5,0)</f>
        <v>292.78079999999977</v>
      </c>
      <c r="CA197" s="13">
        <f t="shared" si="170"/>
        <v>69.660903052386217</v>
      </c>
      <c r="CB197" s="20">
        <f t="shared" si="171"/>
        <v>631.25263281623893</v>
      </c>
      <c r="CC197" s="59">
        <f t="shared" si="195"/>
        <v>924.58596614957219</v>
      </c>
      <c r="CD197" s="59">
        <f ca="1">AVERAGE(OFFSET($CC$3,0,0,'Données projet'!$E$12+1,1))-AVERAGE(OFFSET($H$3,0,0,'Données projet'!$E$12+1,1))</f>
        <v>296.737543892524</v>
      </c>
      <c r="CE197" s="59">
        <f t="shared" ref="CE197:CE203" si="207">$CE$3</f>
        <v>296.38358650317099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6.4463431057521463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6.4463431057521463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474.99999999999994</v>
      </c>
      <c r="CU197" s="17">
        <f>CT197*VLOOKUP('Données projet'!$B$13,Paramètres!$A$1:$I$89,3,0)*VLOOKUP('Données projet'!$B$13,Paramètres!$A$1:$I$89,5,0)</f>
        <v>407.55</v>
      </c>
      <c r="CV197" s="13">
        <f t="shared" si="173"/>
        <v>93.305642095357683</v>
      </c>
      <c r="CW197" s="20">
        <f t="shared" si="174"/>
        <v>872.32357664941446</v>
      </c>
      <c r="CX197" s="59">
        <f t="shared" si="196"/>
        <v>1165.6569099827477</v>
      </c>
      <c r="CY197" s="59">
        <f ca="1">AVERAGE(OFFSET($CX$3,0,0,'Données projet'!$E$13+1,1))-AVERAGE(OFFSET($H$3,0,0,'Données projet'!$E$13+1,1))</f>
        <v>391.93999504334352</v>
      </c>
      <c r="CZ197" s="59">
        <f t="shared" ref="CZ197:CZ203" si="208">$CZ$3</f>
        <v>215.4484906985528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28.22829469872153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28.22829469872153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367.99999999999972</v>
      </c>
      <c r="DP197" s="17">
        <f>DO197*VLOOKUP('Données projet'!$B$14,Paramètres!$A$1:$I$89,3,0)*VLOOKUP('Données projet'!$B$14,Paramètres!$A$1:$I$89,5,0)</f>
        <v>269.8175999999998</v>
      </c>
      <c r="DQ197" s="13">
        <f t="shared" si="176"/>
        <v>64.810557882019467</v>
      </c>
      <c r="DR197" s="20">
        <f t="shared" si="177"/>
        <v>582.81070831118348</v>
      </c>
      <c r="DS197" s="59">
        <f t="shared" si="197"/>
        <v>876.14404164451685</v>
      </c>
      <c r="DT197" s="59">
        <f ca="1">AVERAGE(OFFSET($DS$3,0,0,'Données projet'!$E$14+1,1))-AVERAGE(OFFSET($H$3,0,0,'Données projet'!$E$14+1,1))</f>
        <v>267.92147257573157</v>
      </c>
      <c r="DU197" s="59">
        <f t="shared" ref="DU197:DU203" si="209">$DU$3</f>
        <v>269.06662611892438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4.8198518004902287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4.8198518004902287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0.8600000000003547</v>
      </c>
      <c r="EK197" s="17">
        <f>EJ197*VLOOKUP('Données projet'!$B$15,Paramètres!$A$1:$I$89,3,0)*VLOOKUP('Données projet'!$B$15,Paramètres!$A$1:$I$89,5,0)</f>
        <v>0.48074000000019829</v>
      </c>
      <c r="EL197" s="13">
        <f t="shared" si="179"/>
        <v>0.24126147010950588</v>
      </c>
      <c r="EM197" s="20">
        <f t="shared" si="180"/>
        <v>1.2574858937744013</v>
      </c>
      <c r="EN197" s="59">
        <f t="shared" si="198"/>
        <v>294.59081922710772</v>
      </c>
      <c r="EO197" s="59">
        <f ca="1">AVERAGE(OFFSET($EN$3,0,0,'Données projet'!$E$15+1,1))-AVERAGE(OFFSET($H$3,0,0,'Données projet'!$E$15+1,1))</f>
        <v>326.29985515186428</v>
      </c>
      <c r="EP197" s="59">
        <f t="shared" ref="EP197:EP203" si="210">$EP$3</f>
        <v>437.68177084535927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23.701639360629208</v>
      </c>
      <c r="EW197" s="21">
        <f>EXP(-LN(2)/25)*EW196+(1-EXP(-LN(2)/25))/(LN(2)/25)*Calculateur!ER197*Calculateur!ET197*VLOOKUP('Données projet'!$B$15,Paramètres!$A$1:$I$89,3,0)*0.475*44/12</f>
        <v>0.53597817043673257</v>
      </c>
      <c r="EX197" s="21">
        <f>EXP(-LN(2)/2)*EX196+(1-EXP(-LN(2)/2))/(LN(2)/2)*ER197*EU197*VLOOKUP('Données projet'!$B$15,Paramètres!$A$1:$I$89,3,0)*0.475*44/12</f>
        <v>1.5301197911768432E-25</v>
      </c>
      <c r="EY197" s="22">
        <f t="shared" si="181"/>
        <v>24.23761753106594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1.7053025658242404E-13</v>
      </c>
      <c r="FF197" s="17">
        <f>FE197*VLOOKUP('Données projet'!$B$16,Paramètres!$A$1:$I$89,3,0)*VLOOKUP('Données projet'!$B$16,Paramètres!$A$1:$I$89,5,0)</f>
        <v>9.7631982498569413E-14</v>
      </c>
      <c r="FG197" s="13">
        <f t="shared" si="182"/>
        <v>1.4708068762530911E-12</v>
      </c>
      <c r="FH197" s="20">
        <f t="shared" si="183"/>
        <v>2.7316976789924749E-12</v>
      </c>
      <c r="FI197" s="59">
        <f t="shared" si="199"/>
        <v>293.33333333333604</v>
      </c>
      <c r="FJ197" s="59">
        <f ca="1">AVERAGE(OFFSET($FI$3,0,0,'Données projet'!$E$16+1,1))-AVERAGE(OFFSET($H$3,0,0,'Données projet'!$E$16+1,1))</f>
        <v>211.14768428403215</v>
      </c>
      <c r="FK197" s="59">
        <f t="shared" ref="FK197:FK203" si="211">$FK$3</f>
        <v>350.7800157534798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3.2270820125499471</v>
      </c>
      <c r="FR197" s="21">
        <f>EXP(-LN(2)/25)*FR196+(1-EXP(-LN(2)/25))/(LN(2)/25)*Calculateur!FM197*Calculateur!FO197*VLOOKUP('Données projet'!$B$16,Paramètres!$A$1:$I$89,3,0)*0.475*44/12</f>
        <v>0.22801684740730224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3.4550988599572494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170.35200000000034</v>
      </c>
      <c r="D198" s="11">
        <f t="shared" si="202"/>
        <v>43.168850382694565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1648.2311257611536</v>
      </c>
      <c r="H198" s="66">
        <f t="shared" si="192"/>
        <v>665.21548108319348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259.99999999999983</v>
      </c>
      <c r="O198" s="13">
        <f>N198*VLOOKUP('Données projet'!$B$9,Paramètres!$A$1:$I$89,3,0)*VLOOKUP('Données projet'!$B$9,Paramètres!$A$1:$I$89,5,0)</f>
        <v>227.13599999999985</v>
      </c>
      <c r="P198" s="13">
        <f t="shared" si="203"/>
        <v>55.662966886685133</v>
      </c>
      <c r="Q198" s="20">
        <f t="shared" si="162"/>
        <v>492.5415339943097</v>
      </c>
      <c r="R198" s="59">
        <f t="shared" si="191"/>
        <v>785.87486732764296</v>
      </c>
      <c r="S198" s="59">
        <f ca="1">AVERAGE(OFFSET($R$3,0,0,'Données projet'!$E$9+1,1))-AVERAGE(OFFSET($H$3,0,0,'Données projet'!$E$9+1,1))</f>
        <v>252.49539407921907</v>
      </c>
      <c r="T198" s="59">
        <f t="shared" si="204"/>
        <v>263.36387286233929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9.749114107324278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9.749114107324278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19.8100000000004</v>
      </c>
      <c r="AJ198" s="13">
        <f>AI198*VLOOKUP('Données projet'!$B$10,Paramètres!$A$1:$I$89,3,0)*VLOOKUP('Données projet'!$B$10,Paramètres!$A$1:$I$89,5,0)</f>
        <v>17.924088000000364</v>
      </c>
      <c r="AK198" s="13">
        <f t="shared" si="164"/>
        <v>5.9032212091029486</v>
      </c>
      <c r="AL198" s="20">
        <f t="shared" si="165"/>
        <v>41.499230205854936</v>
      </c>
      <c r="AM198" s="59">
        <f t="shared" si="193"/>
        <v>334.83256353918824</v>
      </c>
      <c r="AN198" s="59">
        <f ca="1">AVERAGE(OFFSET($AM$3,0,0,'Données projet'!$E$10+1,1))-AVERAGE(OFFSET($H$3,0,0,'Données projet'!$E$10+1,1))</f>
        <v>370.05613271587413</v>
      </c>
      <c r="AO198" s="59">
        <f t="shared" si="205"/>
        <v>183.24480056442525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78.010814694479407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78.010814694479407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19.8100000000004</v>
      </c>
      <c r="BE198" s="13">
        <f>BD198*VLOOKUP('Données projet'!$B$11,Paramètres!$A$1:$I$89,3,0)*VLOOKUP('Données projet'!$B$11,Paramètres!$A$1:$I$89,5,0)</f>
        <v>20.08734000000041</v>
      </c>
      <c r="BF198" s="13">
        <f t="shared" si="167"/>
        <v>6.5285137703520215</v>
      </c>
      <c r="BG198" s="20">
        <f t="shared" si="168"/>
        <v>46.355945316697152</v>
      </c>
      <c r="BH198" s="59">
        <f t="shared" si="194"/>
        <v>339.68927865003047</v>
      </c>
      <c r="BI198" s="59">
        <f ca="1">AVERAGE(OFFSET($BH$3,0,0,'Données projet'!$E$11+1,1))-AVERAGE(OFFSET($H$3,0,0,'Données projet'!$E$11+1,1))</f>
        <v>428.72181435671394</v>
      </c>
      <c r="BJ198" s="59">
        <f t="shared" si="206"/>
        <v>211.84936043087572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87.425913019675193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87.425913019675193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367.99999999999972</v>
      </c>
      <c r="BZ198" s="13">
        <f>BY198*VLOOKUP('Données projet'!$B$12,Paramètres!$A$1:$I$89,3,0)*VLOOKUP('Données projet'!$B$12,Paramètres!$A$1:$I$89,5,0)</f>
        <v>292.78079999999977</v>
      </c>
      <c r="CA198" s="13">
        <f t="shared" si="170"/>
        <v>69.660903052386217</v>
      </c>
      <c r="CB198" s="20">
        <f t="shared" si="171"/>
        <v>631.25263281623893</v>
      </c>
      <c r="CC198" s="59">
        <f t="shared" si="195"/>
        <v>924.58596614957219</v>
      </c>
      <c r="CD198" s="59">
        <f ca="1">AVERAGE(OFFSET($CC$3,0,0,'Données projet'!$E$12+1,1))-AVERAGE(OFFSET($H$3,0,0,'Données projet'!$E$12+1,1))</f>
        <v>296.737543892524</v>
      </c>
      <c r="CE198" s="59">
        <f t="shared" si="207"/>
        <v>296.38358650317099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6.3199342493294006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6.3199342493294006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474.99999999999994</v>
      </c>
      <c r="CU198" s="17">
        <f>CT198*VLOOKUP('Données projet'!$B$13,Paramètres!$A$1:$I$89,3,0)*VLOOKUP('Données projet'!$B$13,Paramètres!$A$1:$I$89,5,0)</f>
        <v>407.55</v>
      </c>
      <c r="CV198" s="13">
        <f t="shared" si="173"/>
        <v>93.305642095357683</v>
      </c>
      <c r="CW198" s="20">
        <f t="shared" si="174"/>
        <v>872.32357664941446</v>
      </c>
      <c r="CX198" s="59">
        <f t="shared" si="196"/>
        <v>1165.6569099827477</v>
      </c>
      <c r="CY198" s="59">
        <f ca="1">AVERAGE(OFFSET($CX$3,0,0,'Données projet'!$E$13+1,1))-AVERAGE(OFFSET($H$3,0,0,'Données projet'!$E$13+1,1))</f>
        <v>391.93999504334352</v>
      </c>
      <c r="CZ198" s="59">
        <f t="shared" si="208"/>
        <v>215.4484906985528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27.674755057239274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27.674755057239274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367.99999999999972</v>
      </c>
      <c r="DP198" s="17">
        <f>DO198*VLOOKUP('Données projet'!$B$14,Paramètres!$A$1:$I$89,3,0)*VLOOKUP('Données projet'!$B$14,Paramètres!$A$1:$I$89,5,0)</f>
        <v>269.8175999999998</v>
      </c>
      <c r="DQ198" s="13">
        <f t="shared" si="176"/>
        <v>64.810557882019467</v>
      </c>
      <c r="DR198" s="20">
        <f t="shared" si="177"/>
        <v>582.81070831118348</v>
      </c>
      <c r="DS198" s="59">
        <f t="shared" si="197"/>
        <v>876.14404164451685</v>
      </c>
      <c r="DT198" s="59">
        <f ca="1">AVERAGE(OFFSET($DS$3,0,0,'Données projet'!$E$14+1,1))-AVERAGE(OFFSET($H$3,0,0,'Données projet'!$E$14+1,1))</f>
        <v>267.92147257573157</v>
      </c>
      <c r="DU198" s="59">
        <f t="shared" si="209"/>
        <v>269.06662611892438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4.7253374465019302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4.7253374465019302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0.8600000000003547</v>
      </c>
      <c r="EK198" s="17">
        <f>EJ198*VLOOKUP('Données projet'!$B$15,Paramètres!$A$1:$I$89,3,0)*VLOOKUP('Données projet'!$B$15,Paramètres!$A$1:$I$89,5,0)</f>
        <v>0.48074000000019829</v>
      </c>
      <c r="EL198" s="13">
        <f t="shared" si="179"/>
        <v>0.24126147010950588</v>
      </c>
      <c r="EM198" s="20">
        <f t="shared" si="180"/>
        <v>1.2574858937744013</v>
      </c>
      <c r="EN198" s="59">
        <f t="shared" si="198"/>
        <v>294.59081922710772</v>
      </c>
      <c r="EO198" s="59">
        <f ca="1">AVERAGE(OFFSET($EN$3,0,0,'Données projet'!$E$15+1,1))-AVERAGE(OFFSET($H$3,0,0,'Données projet'!$E$15+1,1))</f>
        <v>326.29985515186428</v>
      </c>
      <c r="EP198" s="59">
        <f t="shared" si="210"/>
        <v>437.68177084535927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23.236864669339813</v>
      </c>
      <c r="EW198" s="21">
        <f>EXP(-LN(2)/25)*EW197+(1-EXP(-LN(2)/25))/(LN(2)/25)*Calculateur!ER198*Calculateur!ET198*VLOOKUP('Données projet'!$B$15,Paramètres!$A$1:$I$89,3,0)*0.475*44/12</f>
        <v>0.52132181918027309</v>
      </c>
      <c r="EX198" s="21">
        <f>EXP(-LN(2)/2)*EX197+(1-EXP(-LN(2)/2))/(LN(2)/2)*ER198*EU198*VLOOKUP('Données projet'!$B$15,Paramètres!$A$1:$I$89,3,0)*0.475*44/12</f>
        <v>1.0819580803688898E-25</v>
      </c>
      <c r="EY198" s="22">
        <f t="shared" si="181"/>
        <v>23.758186488520085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1.7053025658242404E-13</v>
      </c>
      <c r="FF198" s="17">
        <f>FE198*VLOOKUP('Données projet'!$B$16,Paramètres!$A$1:$I$89,3,0)*VLOOKUP('Données projet'!$B$16,Paramètres!$A$1:$I$89,5,0)</f>
        <v>9.7631982498569413E-14</v>
      </c>
      <c r="FG198" s="13">
        <f t="shared" si="182"/>
        <v>1.4708068762530911E-12</v>
      </c>
      <c r="FH198" s="20">
        <f t="shared" si="183"/>
        <v>2.7316976789924749E-12</v>
      </c>
      <c r="FI198" s="59">
        <f t="shared" si="199"/>
        <v>293.33333333333604</v>
      </c>
      <c r="FJ198" s="59">
        <f ca="1">AVERAGE(OFFSET($FI$3,0,0,'Données projet'!$E$16+1,1))-AVERAGE(OFFSET($H$3,0,0,'Données projet'!$E$16+1,1))</f>
        <v>211.14768428403215</v>
      </c>
      <c r="FK198" s="59">
        <f t="shared" si="211"/>
        <v>350.7800157534798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3.1638009026095144</v>
      </c>
      <c r="FR198" s="21">
        <f>EXP(-LN(2)/25)*FR197+(1-EXP(-LN(2)/25))/(LN(2)/25)*Calculateur!FM198*Calculateur!FO198*VLOOKUP('Données projet'!$B$16,Paramètres!$A$1:$I$89,3,0)*0.475*44/12</f>
        <v>0.22178171472406469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3.3855826173335792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171.22560000000036</v>
      </c>
      <c r="D199" s="11">
        <f t="shared" si="202"/>
        <v>43.364402348589593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1656.4842286557821</v>
      </c>
      <c r="H199" s="66">
        <f t="shared" si="192"/>
        <v>667.07758742379417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259.99999999999983</v>
      </c>
      <c r="O199" s="13">
        <f>N199*VLOOKUP('Données projet'!$B$9,Paramètres!$A$1:$I$89,3,0)*VLOOKUP('Données projet'!$B$9,Paramètres!$A$1:$I$89,5,0)</f>
        <v>227.13599999999985</v>
      </c>
      <c r="P199" s="13">
        <f t="shared" si="203"/>
        <v>55.662966886685133</v>
      </c>
      <c r="Q199" s="20">
        <f t="shared" si="162"/>
        <v>492.5415339943097</v>
      </c>
      <c r="R199" s="59">
        <f t="shared" si="191"/>
        <v>785.87486732764296</v>
      </c>
      <c r="S199" s="59">
        <f ca="1">AVERAGE(OFFSET($R$3,0,0,'Données projet'!$E$9+1,1))-AVERAGE(OFFSET($H$3,0,0,'Données projet'!$E$9+1,1))</f>
        <v>252.49539407921907</v>
      </c>
      <c r="T199" s="59">
        <f t="shared" si="204"/>
        <v>263.36387286233929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9.5579399260520983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9.5579399260520983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19.8100000000004</v>
      </c>
      <c r="AJ199" s="13">
        <f>AI199*VLOOKUP('Données projet'!$B$10,Paramètres!$A$1:$I$89,3,0)*VLOOKUP('Données projet'!$B$10,Paramètres!$A$1:$I$89,5,0)</f>
        <v>17.924088000000364</v>
      </c>
      <c r="AK199" s="13">
        <f t="shared" si="164"/>
        <v>5.9032212091029486</v>
      </c>
      <c r="AL199" s="20">
        <f t="shared" si="165"/>
        <v>41.499230205854936</v>
      </c>
      <c r="AM199" s="59">
        <f t="shared" si="193"/>
        <v>334.83256353918824</v>
      </c>
      <c r="AN199" s="59">
        <f ca="1">AVERAGE(OFFSET($AM$3,0,0,'Données projet'!$E$10+1,1))-AVERAGE(OFFSET($H$3,0,0,'Données projet'!$E$10+1,1))</f>
        <v>370.05613271587413</v>
      </c>
      <c r="AO199" s="59">
        <f t="shared" si="205"/>
        <v>183.24480056442525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76.481070200219307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76.481070200219307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19.8100000000004</v>
      </c>
      <c r="BE199" s="13">
        <f>BD199*VLOOKUP('Données projet'!$B$11,Paramètres!$A$1:$I$89,3,0)*VLOOKUP('Données projet'!$B$11,Paramètres!$A$1:$I$89,5,0)</f>
        <v>20.08734000000041</v>
      </c>
      <c r="BF199" s="13">
        <f t="shared" si="167"/>
        <v>6.5285137703520215</v>
      </c>
      <c r="BG199" s="20">
        <f t="shared" si="168"/>
        <v>46.355945316697152</v>
      </c>
      <c r="BH199" s="59">
        <f t="shared" si="194"/>
        <v>339.68927865003047</v>
      </c>
      <c r="BI199" s="59">
        <f ca="1">AVERAGE(OFFSET($BH$3,0,0,'Données projet'!$E$11+1,1))-AVERAGE(OFFSET($H$3,0,0,'Données projet'!$E$11+1,1))</f>
        <v>428.72181435671394</v>
      </c>
      <c r="BJ199" s="59">
        <f t="shared" si="206"/>
        <v>211.84936043087572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85.711544189900948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85.711544189900948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367.99999999999972</v>
      </c>
      <c r="BZ199" s="13">
        <f>BY199*VLOOKUP('Données projet'!$B$12,Paramètres!$A$1:$I$89,3,0)*VLOOKUP('Données projet'!$B$12,Paramètres!$A$1:$I$89,5,0)</f>
        <v>292.78079999999977</v>
      </c>
      <c r="CA199" s="13">
        <f t="shared" si="170"/>
        <v>69.660903052386217</v>
      </c>
      <c r="CB199" s="20">
        <f t="shared" si="171"/>
        <v>631.25263281623893</v>
      </c>
      <c r="CC199" s="59">
        <f t="shared" si="195"/>
        <v>924.58596614957219</v>
      </c>
      <c r="CD199" s="59">
        <f ca="1">AVERAGE(OFFSET($CC$3,0,0,'Données projet'!$E$12+1,1))-AVERAGE(OFFSET($H$3,0,0,'Données projet'!$E$12+1,1))</f>
        <v>296.737543892524</v>
      </c>
      <c r="CE199" s="59">
        <f t="shared" si="207"/>
        <v>296.38358650317099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6.1960041934793155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6.1960041934793155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474.99999999999994</v>
      </c>
      <c r="CU199" s="17">
        <f>CT199*VLOOKUP('Données projet'!$B$13,Paramètres!$A$1:$I$89,3,0)*VLOOKUP('Données projet'!$B$13,Paramètres!$A$1:$I$89,5,0)</f>
        <v>407.55</v>
      </c>
      <c r="CV199" s="13">
        <f t="shared" si="173"/>
        <v>93.305642095357683</v>
      </c>
      <c r="CW199" s="20">
        <f t="shared" si="174"/>
        <v>872.32357664941446</v>
      </c>
      <c r="CX199" s="59">
        <f t="shared" si="196"/>
        <v>1165.6569099827477</v>
      </c>
      <c r="CY199" s="59">
        <f ca="1">AVERAGE(OFFSET($CX$3,0,0,'Données projet'!$E$13+1,1))-AVERAGE(OFFSET($H$3,0,0,'Données projet'!$E$13+1,1))</f>
        <v>391.93999504334352</v>
      </c>
      <c r="CZ199" s="59">
        <f t="shared" si="208"/>
        <v>215.4484906985528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27.132069990500643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27.132069990500643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367.99999999999972</v>
      </c>
      <c r="DP199" s="17">
        <f>DO199*VLOOKUP('Données projet'!$B$14,Paramètres!$A$1:$I$89,3,0)*VLOOKUP('Données projet'!$B$14,Paramètres!$A$1:$I$89,5,0)</f>
        <v>269.8175999999998</v>
      </c>
      <c r="DQ199" s="13">
        <f t="shared" si="176"/>
        <v>64.810557882019467</v>
      </c>
      <c r="DR199" s="20">
        <f t="shared" si="177"/>
        <v>582.81070831118348</v>
      </c>
      <c r="DS199" s="59">
        <f t="shared" si="197"/>
        <v>876.14404164451685</v>
      </c>
      <c r="DT199" s="59">
        <f ca="1">AVERAGE(OFFSET($DS$3,0,0,'Données projet'!$E$14+1,1))-AVERAGE(OFFSET($H$3,0,0,'Données projet'!$E$14+1,1))</f>
        <v>267.92147257573157</v>
      </c>
      <c r="DU199" s="59">
        <f t="shared" si="209"/>
        <v>269.06662611892438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4.6326764613472786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4.6326764613472786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0.8600000000003547</v>
      </c>
      <c r="EK199" s="17">
        <f>EJ199*VLOOKUP('Données projet'!$B$15,Paramètres!$A$1:$I$89,3,0)*VLOOKUP('Données projet'!$B$15,Paramètres!$A$1:$I$89,5,0)</f>
        <v>0.48074000000019829</v>
      </c>
      <c r="EL199" s="13">
        <f t="shared" si="179"/>
        <v>0.24126147010950588</v>
      </c>
      <c r="EM199" s="20">
        <f t="shared" si="180"/>
        <v>1.2574858937744013</v>
      </c>
      <c r="EN199" s="59">
        <f t="shared" si="198"/>
        <v>294.59081922710772</v>
      </c>
      <c r="EO199" s="59">
        <f ca="1">AVERAGE(OFFSET($EN$3,0,0,'Données projet'!$E$15+1,1))-AVERAGE(OFFSET($H$3,0,0,'Données projet'!$E$15+1,1))</f>
        <v>326.29985515186428</v>
      </c>
      <c r="EP199" s="59">
        <f t="shared" si="210"/>
        <v>437.68177084535927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22.78120392626203</v>
      </c>
      <c r="EW199" s="21">
        <f>EXP(-LN(2)/25)*EW198+(1-EXP(-LN(2)/25))/(LN(2)/25)*Calculateur!ER199*Calculateur!ET199*VLOOKUP('Données projet'!$B$15,Paramètres!$A$1:$I$89,3,0)*0.475*44/12</f>
        <v>0.50706624661966559</v>
      </c>
      <c r="EX199" s="21">
        <f>EXP(-LN(2)/2)*EX198+(1-EXP(-LN(2)/2))/(LN(2)/2)*ER199*EU199*VLOOKUP('Données projet'!$B$15,Paramètres!$A$1:$I$89,3,0)*0.475*44/12</f>
        <v>7.6505989558842158E-26</v>
      </c>
      <c r="EY199" s="22">
        <f t="shared" si="181"/>
        <v>23.288270172881695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1.7053025658242404E-13</v>
      </c>
      <c r="FF199" s="17">
        <f>FE199*VLOOKUP('Données projet'!$B$16,Paramètres!$A$1:$I$89,3,0)*VLOOKUP('Données projet'!$B$16,Paramètres!$A$1:$I$89,5,0)</f>
        <v>9.7631982498569413E-14</v>
      </c>
      <c r="FG199" s="13">
        <f t="shared" si="182"/>
        <v>1.4708068762530911E-12</v>
      </c>
      <c r="FH199" s="20">
        <f t="shared" si="183"/>
        <v>2.7316976789924749E-12</v>
      </c>
      <c r="FI199" s="59">
        <f t="shared" si="199"/>
        <v>293.33333333333604</v>
      </c>
      <c r="FJ199" s="59">
        <f ca="1">AVERAGE(OFFSET($FI$3,0,0,'Données projet'!$E$16+1,1))-AVERAGE(OFFSET($H$3,0,0,'Données projet'!$E$16+1,1))</f>
        <v>211.14768428403215</v>
      </c>
      <c r="FK199" s="59">
        <f t="shared" si="211"/>
        <v>350.7800157534798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3.1017606966373474</v>
      </c>
      <c r="FR199" s="21">
        <f>EXP(-LN(2)/25)*FR198+(1-EXP(-LN(2)/25))/(LN(2)/25)*Calculateur!FM199*Calculateur!FO199*VLOOKUP('Données projet'!$B$16,Paramètres!$A$1:$I$89,3,0)*0.475*44/12</f>
        <v>0.21571708207194165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3.3174777787092893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172.09920000000037</v>
      </c>
      <c r="D200" s="11">
        <f t="shared" si="202"/>
        <v>43.559838214507067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1664.7364353400574</v>
      </c>
      <c r="H200" s="66">
        <f t="shared" si="192"/>
        <v>668.93949155693372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259.99999999999983</v>
      </c>
      <c r="O200" s="13">
        <f>N200*VLOOKUP('Données projet'!$B$9,Paramètres!$A$1:$I$89,3,0)*VLOOKUP('Données projet'!$B$9,Paramètres!$A$1:$I$89,5,0)</f>
        <v>227.13599999999985</v>
      </c>
      <c r="P200" s="13">
        <f t="shared" si="203"/>
        <v>55.662966886685133</v>
      </c>
      <c r="Q200" s="20">
        <f t="shared" si="162"/>
        <v>492.5415339943097</v>
      </c>
      <c r="R200" s="59">
        <f t="shared" si="191"/>
        <v>785.87486732764296</v>
      </c>
      <c r="S200" s="59">
        <f ca="1">AVERAGE(OFFSET($R$3,0,0,'Données projet'!$E$9+1,1))-AVERAGE(OFFSET($H$3,0,0,'Données projet'!$E$9+1,1))</f>
        <v>252.49539407921907</v>
      </c>
      <c r="T200" s="59">
        <f t="shared" si="204"/>
        <v>263.36387286233929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9.3705145538699295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9.3705145538699295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19.8100000000004</v>
      </c>
      <c r="AJ200" s="13">
        <f>AI200*VLOOKUP('Données projet'!$B$10,Paramètres!$A$1:$I$89,3,0)*VLOOKUP('Données projet'!$B$10,Paramètres!$A$1:$I$89,5,0)</f>
        <v>17.924088000000364</v>
      </c>
      <c r="AK200" s="13">
        <f t="shared" si="164"/>
        <v>5.9032212091029486</v>
      </c>
      <c r="AL200" s="20">
        <f t="shared" si="165"/>
        <v>41.499230205854936</v>
      </c>
      <c r="AM200" s="59">
        <f t="shared" si="193"/>
        <v>334.83256353918824</v>
      </c>
      <c r="AN200" s="59">
        <f ca="1">AVERAGE(OFFSET($AM$3,0,0,'Données projet'!$E$10+1,1))-AVERAGE(OFFSET($H$3,0,0,'Données projet'!$E$10+1,1))</f>
        <v>370.05613271587413</v>
      </c>
      <c r="AO200" s="59">
        <f t="shared" si="205"/>
        <v>183.24480056442525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74.981323062439643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74.981323062439643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19.8100000000004</v>
      </c>
      <c r="BE200" s="13">
        <f>BD200*VLOOKUP('Données projet'!$B$11,Paramètres!$A$1:$I$89,3,0)*VLOOKUP('Données projet'!$B$11,Paramètres!$A$1:$I$89,5,0)</f>
        <v>20.08734000000041</v>
      </c>
      <c r="BF200" s="13">
        <f t="shared" si="167"/>
        <v>6.5285137703520215</v>
      </c>
      <c r="BG200" s="20">
        <f t="shared" si="168"/>
        <v>46.355945316697152</v>
      </c>
      <c r="BH200" s="59">
        <f t="shared" si="194"/>
        <v>339.68927865003047</v>
      </c>
      <c r="BI200" s="59">
        <f ca="1">AVERAGE(OFFSET($BH$3,0,0,'Données projet'!$E$11+1,1))-AVERAGE(OFFSET($H$3,0,0,'Données projet'!$E$11+1,1))</f>
        <v>428.72181435671394</v>
      </c>
      <c r="BJ200" s="59">
        <f t="shared" si="206"/>
        <v>211.84936043087572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84.030793087216836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84.030793087216836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367.99999999999972</v>
      </c>
      <c r="BZ200" s="13">
        <f>BY200*VLOOKUP('Données projet'!$B$12,Paramètres!$A$1:$I$89,3,0)*VLOOKUP('Données projet'!$B$12,Paramètres!$A$1:$I$89,5,0)</f>
        <v>292.78079999999977</v>
      </c>
      <c r="CA200" s="13">
        <f t="shared" si="170"/>
        <v>69.660903052386217</v>
      </c>
      <c r="CB200" s="20">
        <f t="shared" si="171"/>
        <v>631.25263281623893</v>
      </c>
      <c r="CC200" s="59">
        <f t="shared" si="195"/>
        <v>924.58596614957219</v>
      </c>
      <c r="CD200" s="59">
        <f ca="1">AVERAGE(OFFSET($CC$3,0,0,'Données projet'!$E$12+1,1))-AVERAGE(OFFSET($H$3,0,0,'Données projet'!$E$12+1,1))</f>
        <v>296.737543892524</v>
      </c>
      <c r="CE200" s="59">
        <f t="shared" si="207"/>
        <v>296.38358650317099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6.0745043304345803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6.0745043304345803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474.99999999999994</v>
      </c>
      <c r="CU200" s="17">
        <f>CT200*VLOOKUP('Données projet'!$B$13,Paramètres!$A$1:$I$89,3,0)*VLOOKUP('Données projet'!$B$13,Paramètres!$A$1:$I$89,5,0)</f>
        <v>407.55</v>
      </c>
      <c r="CV200" s="13">
        <f t="shared" si="173"/>
        <v>93.305642095357683</v>
      </c>
      <c r="CW200" s="20">
        <f t="shared" si="174"/>
        <v>872.32357664941446</v>
      </c>
      <c r="CX200" s="59">
        <f t="shared" si="196"/>
        <v>1165.6569099827477</v>
      </c>
      <c r="CY200" s="59">
        <f ca="1">AVERAGE(OFFSET($CX$3,0,0,'Données projet'!$E$13+1,1))-AVERAGE(OFFSET($H$3,0,0,'Données projet'!$E$13+1,1))</f>
        <v>391.93999504334352</v>
      </c>
      <c r="CZ200" s="59">
        <f t="shared" si="208"/>
        <v>215.4484906985528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26.600026646915548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26.600026646915548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367.99999999999972</v>
      </c>
      <c r="DP200" s="17">
        <f>DO200*VLOOKUP('Données projet'!$B$14,Paramètres!$A$1:$I$89,3,0)*VLOOKUP('Données projet'!$B$14,Paramètres!$A$1:$I$89,5,0)</f>
        <v>269.8175999999998</v>
      </c>
      <c r="DQ200" s="13">
        <f t="shared" si="176"/>
        <v>64.810557882019467</v>
      </c>
      <c r="DR200" s="20">
        <f t="shared" si="177"/>
        <v>582.81070831118348</v>
      </c>
      <c r="DS200" s="59">
        <f t="shared" si="197"/>
        <v>876.14404164451685</v>
      </c>
      <c r="DT200" s="59">
        <f ca="1">AVERAGE(OFFSET($DS$3,0,0,'Données projet'!$E$14+1,1))-AVERAGE(OFFSET($H$3,0,0,'Données projet'!$E$14+1,1))</f>
        <v>267.92147257573157</v>
      </c>
      <c r="DU200" s="59">
        <f t="shared" si="209"/>
        <v>269.06662611892438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4.5418325015938894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4.5418325015938894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0.8600000000003547</v>
      </c>
      <c r="EK200" s="17">
        <f>EJ200*VLOOKUP('Données projet'!$B$15,Paramètres!$A$1:$I$89,3,0)*VLOOKUP('Données projet'!$B$15,Paramètres!$A$1:$I$89,5,0)</f>
        <v>0.48074000000019829</v>
      </c>
      <c r="EL200" s="13">
        <f t="shared" si="179"/>
        <v>0.24126147010950588</v>
      </c>
      <c r="EM200" s="20">
        <f t="shared" si="180"/>
        <v>1.2574858937744013</v>
      </c>
      <c r="EN200" s="59">
        <f t="shared" si="198"/>
        <v>294.59081922710772</v>
      </c>
      <c r="EO200" s="59">
        <f ca="1">AVERAGE(OFFSET($EN$3,0,0,'Données projet'!$E$15+1,1))-AVERAGE(OFFSET($H$3,0,0,'Données projet'!$E$15+1,1))</f>
        <v>326.29985515186428</v>
      </c>
      <c r="EP200" s="59">
        <f t="shared" si="210"/>
        <v>437.68177084535927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22.334478412430393</v>
      </c>
      <c r="EW200" s="21">
        <f>EXP(-LN(2)/25)*EW199+(1-EXP(-LN(2)/25))/(LN(2)/25)*Calculateur!ER200*Calculateur!ET200*VLOOKUP('Données projet'!$B$15,Paramètres!$A$1:$I$89,3,0)*0.475*44/12</f>
        <v>0.49320049344039585</v>
      </c>
      <c r="EX200" s="21">
        <f>EXP(-LN(2)/2)*EX199+(1-EXP(-LN(2)/2))/(LN(2)/2)*ER200*EU200*VLOOKUP('Données projet'!$B$15,Paramètres!$A$1:$I$89,3,0)*0.475*44/12</f>
        <v>5.4097904018444489E-26</v>
      </c>
      <c r="EY200" s="22">
        <f t="shared" si="181"/>
        <v>22.827678905870787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1.7053025658242404E-13</v>
      </c>
      <c r="FF200" s="17">
        <f>FE200*VLOOKUP('Données projet'!$B$16,Paramètres!$A$1:$I$89,3,0)*VLOOKUP('Données projet'!$B$16,Paramètres!$A$1:$I$89,5,0)</f>
        <v>9.7631982498569413E-14</v>
      </c>
      <c r="FG200" s="13">
        <f t="shared" si="182"/>
        <v>1.4708068762530911E-12</v>
      </c>
      <c r="FH200" s="20">
        <f t="shared" si="183"/>
        <v>2.7316976789924749E-12</v>
      </c>
      <c r="FI200" s="59">
        <f t="shared" si="199"/>
        <v>293.33333333333604</v>
      </c>
      <c r="FJ200" s="59">
        <f ca="1">AVERAGE(OFFSET($FI$3,0,0,'Données projet'!$E$16+1,1))-AVERAGE(OFFSET($H$3,0,0,'Données projet'!$E$16+1,1))</f>
        <v>211.14768428403215</v>
      </c>
      <c r="FK200" s="59">
        <f t="shared" si="211"/>
        <v>350.7800157534798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3.0409370612635058</v>
      </c>
      <c r="FR200" s="21">
        <f>EXP(-LN(2)/25)*FR199+(1-EXP(-LN(2)/25))/(LN(2)/25)*Calculateur!FM200*Calculateur!FO200*VLOOKUP('Données projet'!$B$16,Paramètres!$A$1:$I$89,3,0)*0.475*44/12</f>
        <v>0.20981828711861608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3.2507553483821221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172.97280000000038</v>
      </c>
      <c r="D201" s="11">
        <f t="shared" si="202"/>
        <v>43.755158638197358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1672.9877508913507</v>
      </c>
      <c r="H201" s="66">
        <f t="shared" si="192"/>
        <v>670.80119462819425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259.99999999999983</v>
      </c>
      <c r="O201" s="13">
        <f>N201*VLOOKUP('Données projet'!$B$9,Paramètres!$A$1:$I$89,3,0)*VLOOKUP('Données projet'!$B$9,Paramètres!$A$1:$I$89,5,0)</f>
        <v>227.13599999999985</v>
      </c>
      <c r="P201" s="13">
        <f t="shared" si="203"/>
        <v>55.662966886685133</v>
      </c>
      <c r="Q201" s="20">
        <f t="shared" si="162"/>
        <v>492.5415339943097</v>
      </c>
      <c r="R201" s="59">
        <f t="shared" si="191"/>
        <v>785.87486732764296</v>
      </c>
      <c r="S201" s="59">
        <f ca="1">AVERAGE(OFFSET($R$3,0,0,'Données projet'!$E$9+1,1))-AVERAGE(OFFSET($H$3,0,0,'Données projet'!$E$9+1,1))</f>
        <v>252.49539407921907</v>
      </c>
      <c r="T201" s="59">
        <f t="shared" si="204"/>
        <v>263.36387286233929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9.1867644789180645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9.1867644789180645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19.8100000000004</v>
      </c>
      <c r="AJ201" s="13">
        <f>AI201*VLOOKUP('Données projet'!$B$10,Paramètres!$A$1:$I$89,3,0)*VLOOKUP('Données projet'!$B$10,Paramètres!$A$1:$I$89,5,0)</f>
        <v>17.924088000000364</v>
      </c>
      <c r="AK201" s="13">
        <f t="shared" si="164"/>
        <v>5.9032212091029486</v>
      </c>
      <c r="AL201" s="20">
        <f t="shared" si="165"/>
        <v>41.499230205854936</v>
      </c>
      <c r="AM201" s="59">
        <f t="shared" si="193"/>
        <v>334.83256353918824</v>
      </c>
      <c r="AN201" s="59">
        <f ca="1">AVERAGE(OFFSET($AM$3,0,0,'Données projet'!$E$10+1,1))-AVERAGE(OFFSET($H$3,0,0,'Données projet'!$E$10+1,1))</f>
        <v>370.05613271587413</v>
      </c>
      <c r="AO201" s="59">
        <f t="shared" si="205"/>
        <v>183.24480056442525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73.510985051276407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73.510985051276407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19.8100000000004</v>
      </c>
      <c r="BE201" s="13">
        <f>BD201*VLOOKUP('Données projet'!$B$11,Paramètres!$A$1:$I$89,3,0)*VLOOKUP('Données projet'!$B$11,Paramètres!$A$1:$I$89,5,0)</f>
        <v>20.08734000000041</v>
      </c>
      <c r="BF201" s="13">
        <f t="shared" si="167"/>
        <v>6.5285137703520215</v>
      </c>
      <c r="BG201" s="20">
        <f t="shared" si="168"/>
        <v>46.355945316697152</v>
      </c>
      <c r="BH201" s="59">
        <f t="shared" si="194"/>
        <v>339.68927865003047</v>
      </c>
      <c r="BI201" s="59">
        <f ca="1">AVERAGE(OFFSET($BH$3,0,0,'Données projet'!$E$11+1,1))-AVERAGE(OFFSET($H$3,0,0,'Données projet'!$E$11+1,1))</f>
        <v>428.72181435671394</v>
      </c>
      <c r="BJ201" s="59">
        <f t="shared" si="206"/>
        <v>211.84936043087572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82.383000488499405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82.383000488499405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367.99999999999972</v>
      </c>
      <c r="BZ201" s="13">
        <f>BY201*VLOOKUP('Données projet'!$B$12,Paramètres!$A$1:$I$89,3,0)*VLOOKUP('Données projet'!$B$12,Paramètres!$A$1:$I$89,5,0)</f>
        <v>292.78079999999977</v>
      </c>
      <c r="CA201" s="13">
        <f t="shared" si="170"/>
        <v>69.660903052386217</v>
      </c>
      <c r="CB201" s="20">
        <f t="shared" si="171"/>
        <v>631.25263281623893</v>
      </c>
      <c r="CC201" s="59">
        <f t="shared" si="195"/>
        <v>924.58596614957219</v>
      </c>
      <c r="CD201" s="59">
        <f ca="1">AVERAGE(OFFSET($CC$3,0,0,'Données projet'!$E$12+1,1))-AVERAGE(OFFSET($H$3,0,0,'Données projet'!$E$12+1,1))</f>
        <v>296.737543892524</v>
      </c>
      <c r="CE201" s="59">
        <f t="shared" si="207"/>
        <v>296.38358650317099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5.9553870055965534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5.9553870055965534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474.99999999999994</v>
      </c>
      <c r="CU201" s="17">
        <f>CT201*VLOOKUP('Données projet'!$B$13,Paramètres!$A$1:$I$89,3,0)*VLOOKUP('Données projet'!$B$13,Paramètres!$A$1:$I$89,5,0)</f>
        <v>407.55</v>
      </c>
      <c r="CV201" s="13">
        <f t="shared" si="173"/>
        <v>93.305642095357683</v>
      </c>
      <c r="CW201" s="20">
        <f t="shared" si="174"/>
        <v>872.32357664941446</v>
      </c>
      <c r="CX201" s="59">
        <f t="shared" si="196"/>
        <v>1165.6569099827477</v>
      </c>
      <c r="CY201" s="59">
        <f ca="1">AVERAGE(OFFSET($CX$3,0,0,'Données projet'!$E$13+1,1))-AVERAGE(OFFSET($H$3,0,0,'Données projet'!$E$13+1,1))</f>
        <v>391.93999504334352</v>
      </c>
      <c r="CZ201" s="59">
        <f t="shared" si="208"/>
        <v>215.4484906985528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26.078416348783762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26.078416348783762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367.99999999999972</v>
      </c>
      <c r="DP201" s="17">
        <f>DO201*VLOOKUP('Données projet'!$B$14,Paramètres!$A$1:$I$89,3,0)*VLOOKUP('Données projet'!$B$14,Paramètres!$A$1:$I$89,5,0)</f>
        <v>269.8175999999998</v>
      </c>
      <c r="DQ201" s="13">
        <f t="shared" si="176"/>
        <v>64.810557882019467</v>
      </c>
      <c r="DR201" s="20">
        <f t="shared" si="177"/>
        <v>582.81070831118348</v>
      </c>
      <c r="DS201" s="59">
        <f t="shared" si="197"/>
        <v>876.14404164451685</v>
      </c>
      <c r="DT201" s="59">
        <f ca="1">AVERAGE(OFFSET($DS$3,0,0,'Données projet'!$E$14+1,1))-AVERAGE(OFFSET($H$3,0,0,'Données projet'!$E$14+1,1))</f>
        <v>267.92147257573157</v>
      </c>
      <c r="DU201" s="59">
        <f t="shared" si="209"/>
        <v>269.06662611892438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4.4527699364819204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4.4527699364819204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0.8600000000003547</v>
      </c>
      <c r="EK201" s="17">
        <f>EJ201*VLOOKUP('Données projet'!$B$15,Paramètres!$A$1:$I$89,3,0)*VLOOKUP('Données projet'!$B$15,Paramètres!$A$1:$I$89,5,0)</f>
        <v>0.48074000000019829</v>
      </c>
      <c r="EL201" s="13">
        <f t="shared" si="179"/>
        <v>0.24126147010950588</v>
      </c>
      <c r="EM201" s="20">
        <f t="shared" si="180"/>
        <v>1.2574858937744013</v>
      </c>
      <c r="EN201" s="59">
        <f t="shared" si="198"/>
        <v>294.59081922710772</v>
      </c>
      <c r="EO201" s="59">
        <f ca="1">AVERAGE(OFFSET($EN$3,0,0,'Données projet'!$E$15+1,1))-AVERAGE(OFFSET($H$3,0,0,'Données projet'!$E$15+1,1))</f>
        <v>326.29985515186428</v>
      </c>
      <c r="EP201" s="59">
        <f t="shared" si="210"/>
        <v>437.68177084535927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21.896512913449335</v>
      </c>
      <c r="EW201" s="21">
        <f>EXP(-LN(2)/25)*EW200+(1-EXP(-LN(2)/25))/(LN(2)/25)*Calculateur!ER201*Calculateur!ET201*VLOOKUP('Données projet'!$B$15,Paramètres!$A$1:$I$89,3,0)*0.475*44/12</f>
        <v>0.47971390001098152</v>
      </c>
      <c r="EX201" s="21">
        <f>EXP(-LN(2)/2)*EX200+(1-EXP(-LN(2)/2))/(LN(2)/2)*ER201*EU201*VLOOKUP('Données projet'!$B$15,Paramètres!$A$1:$I$89,3,0)*0.475*44/12</f>
        <v>3.8252994779421079E-26</v>
      </c>
      <c r="EY201" s="22">
        <f t="shared" si="181"/>
        <v>22.376226813460317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1.7053025658242404E-13</v>
      </c>
      <c r="FF201" s="17">
        <f>FE201*VLOOKUP('Données projet'!$B$16,Paramètres!$A$1:$I$89,3,0)*VLOOKUP('Données projet'!$B$16,Paramètres!$A$1:$I$89,5,0)</f>
        <v>9.7631982498569413E-14</v>
      </c>
      <c r="FG201" s="13">
        <f t="shared" si="182"/>
        <v>1.4708068762530911E-12</v>
      </c>
      <c r="FH201" s="20">
        <f t="shared" si="183"/>
        <v>2.7316976789924749E-12</v>
      </c>
      <c r="FI201" s="59">
        <f t="shared" si="199"/>
        <v>293.33333333333604</v>
      </c>
      <c r="FJ201" s="59">
        <f ca="1">AVERAGE(OFFSET($FI$3,0,0,'Données projet'!$E$16+1,1))-AVERAGE(OFFSET($H$3,0,0,'Données projet'!$E$16+1,1))</f>
        <v>211.14768428403215</v>
      </c>
      <c r="FK201" s="59">
        <f t="shared" si="211"/>
        <v>350.7800157534798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2.9813061402805907</v>
      </c>
      <c r="FR201" s="21">
        <f>EXP(-LN(2)/25)*FR200+(1-EXP(-LN(2)/25))/(LN(2)/25)*Calculateur!FM201*Calculateur!FO201*VLOOKUP('Données projet'!$B$16,Paramètres!$A$1:$I$89,3,0)*0.475*44/12</f>
        <v>0.20408079502349336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3.1853869353040842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173.84640000000039</v>
      </c>
      <c r="D202" s="11">
        <f t="shared" si="202"/>
        <v>43.950364270382373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1681.2381803327792</v>
      </c>
      <c r="H202" s="66">
        <f t="shared" si="192"/>
        <v>672.66269777091657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259.99999999999983</v>
      </c>
      <c r="O202" s="13">
        <f>N202*VLOOKUP('Données projet'!$B$9,Paramètres!$A$1:$I$89,3,0)*VLOOKUP('Données projet'!$B$9,Paramètres!$A$1:$I$89,5,0)</f>
        <v>227.13599999999985</v>
      </c>
      <c r="P202" s="13">
        <f t="shared" si="203"/>
        <v>55.662966886685133</v>
      </c>
      <c r="Q202" s="20">
        <f t="shared" si="162"/>
        <v>492.5415339943097</v>
      </c>
      <c r="R202" s="59">
        <f t="shared" si="191"/>
        <v>785.87486732764296</v>
      </c>
      <c r="S202" s="59">
        <f ca="1">AVERAGE(OFFSET($R$3,0,0,'Données projet'!$E$9+1,1))-AVERAGE(OFFSET($H$3,0,0,'Données projet'!$E$9+1,1))</f>
        <v>252.49539407921907</v>
      </c>
      <c r="T202" s="59">
        <f t="shared" si="204"/>
        <v>263.36387286233929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9.0066176308595267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9.0066176308595267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19.8100000000004</v>
      </c>
      <c r="AJ202" s="13">
        <f>AI202*VLOOKUP('Données projet'!$B$10,Paramètres!$A$1:$I$89,3,0)*VLOOKUP('Données projet'!$B$10,Paramètres!$A$1:$I$89,5,0)</f>
        <v>17.924088000000364</v>
      </c>
      <c r="AK202" s="13">
        <f t="shared" si="164"/>
        <v>5.9032212091029486</v>
      </c>
      <c r="AL202" s="20">
        <f t="shared" si="165"/>
        <v>41.499230205854936</v>
      </c>
      <c r="AM202" s="59">
        <f t="shared" si="193"/>
        <v>334.83256353918824</v>
      </c>
      <c r="AN202" s="59">
        <f ca="1">AVERAGE(OFFSET($AM$3,0,0,'Données projet'!$E$10+1,1))-AVERAGE(OFFSET($H$3,0,0,'Données projet'!$E$10+1,1))</f>
        <v>370.05613271587413</v>
      </c>
      <c r="AO202" s="59">
        <f t="shared" si="205"/>
        <v>183.24480056442525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72.06947947169445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72.06947947169445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19.8100000000004</v>
      </c>
      <c r="BE202" s="13">
        <f>BD202*VLOOKUP('Données projet'!$B$11,Paramètres!$A$1:$I$89,3,0)*VLOOKUP('Données projet'!$B$11,Paramètres!$A$1:$I$89,5,0)</f>
        <v>20.08734000000041</v>
      </c>
      <c r="BF202" s="13">
        <f t="shared" si="167"/>
        <v>6.5285137703520215</v>
      </c>
      <c r="BG202" s="20">
        <f t="shared" si="168"/>
        <v>46.355945316697152</v>
      </c>
      <c r="BH202" s="59">
        <f t="shared" si="194"/>
        <v>339.68927865003047</v>
      </c>
      <c r="BI202" s="59">
        <f ca="1">AVERAGE(OFFSET($BH$3,0,0,'Données projet'!$E$11+1,1))-AVERAGE(OFFSET($H$3,0,0,'Données projet'!$E$11+1,1))</f>
        <v>428.72181435671394</v>
      </c>
      <c r="BJ202" s="59">
        <f t="shared" si="206"/>
        <v>211.84936043087572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80.767520097588587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80.767520097588587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367.99999999999972</v>
      </c>
      <c r="BZ202" s="13">
        <f>BY202*VLOOKUP('Données projet'!$B$12,Paramètres!$A$1:$I$89,3,0)*VLOOKUP('Données projet'!$B$12,Paramètres!$A$1:$I$89,5,0)</f>
        <v>292.78079999999977</v>
      </c>
      <c r="CA202" s="13">
        <f t="shared" si="170"/>
        <v>69.660903052386217</v>
      </c>
      <c r="CB202" s="20">
        <f t="shared" si="171"/>
        <v>631.25263281623893</v>
      </c>
      <c r="CC202" s="59">
        <f t="shared" si="195"/>
        <v>924.58596614957219</v>
      </c>
      <c r="CD202" s="59">
        <f ca="1">AVERAGE(OFFSET($CC$3,0,0,'Données projet'!$E$12+1,1))-AVERAGE(OFFSET($H$3,0,0,'Données projet'!$E$12+1,1))</f>
        <v>296.737543892524</v>
      </c>
      <c r="CE202" s="59">
        <f t="shared" si="207"/>
        <v>296.38358650317099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5.8386054988442062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5.8386054988442062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474.99999999999994</v>
      </c>
      <c r="CU202" s="17">
        <f>CT202*VLOOKUP('Données projet'!$B$13,Paramètres!$A$1:$I$89,3,0)*VLOOKUP('Données projet'!$B$13,Paramètres!$A$1:$I$89,5,0)</f>
        <v>407.55</v>
      </c>
      <c r="CV202" s="13">
        <f t="shared" si="173"/>
        <v>93.305642095357683</v>
      </c>
      <c r="CW202" s="20">
        <f t="shared" si="174"/>
        <v>872.32357664941446</v>
      </c>
      <c r="CX202" s="59">
        <f t="shared" si="196"/>
        <v>1165.6569099827477</v>
      </c>
      <c r="CY202" s="59">
        <f ca="1">AVERAGE(OFFSET($CX$3,0,0,'Données projet'!$E$13+1,1))-AVERAGE(OFFSET($H$3,0,0,'Données projet'!$E$13+1,1))</f>
        <v>391.93999504334352</v>
      </c>
      <c r="CZ202" s="59">
        <f t="shared" si="208"/>
        <v>215.4484906985528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25.567034510447471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25.567034510447471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367.99999999999972</v>
      </c>
      <c r="DP202" s="17">
        <f>DO202*VLOOKUP('Données projet'!$B$14,Paramètres!$A$1:$I$89,3,0)*VLOOKUP('Données projet'!$B$14,Paramètres!$A$1:$I$89,5,0)</f>
        <v>269.8175999999998</v>
      </c>
      <c r="DQ202" s="13">
        <f t="shared" si="176"/>
        <v>64.810557882019467</v>
      </c>
      <c r="DR202" s="20">
        <f t="shared" si="177"/>
        <v>582.81070831118348</v>
      </c>
      <c r="DS202" s="59">
        <f t="shared" si="197"/>
        <v>876.14404164451685</v>
      </c>
      <c r="DT202" s="59">
        <f ca="1">AVERAGE(OFFSET($DS$3,0,0,'Données projet'!$E$14+1,1))-AVERAGE(OFFSET($H$3,0,0,'Données projet'!$E$14+1,1))</f>
        <v>267.92147257573157</v>
      </c>
      <c r="DU202" s="59">
        <f t="shared" si="209"/>
        <v>269.06662611892438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4.3654538339489966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4.3654538339489966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0.8600000000003547</v>
      </c>
      <c r="EK202" s="17">
        <f>EJ202*VLOOKUP('Données projet'!$B$15,Paramètres!$A$1:$I$89,3,0)*VLOOKUP('Données projet'!$B$15,Paramètres!$A$1:$I$89,5,0)</f>
        <v>0.48074000000019829</v>
      </c>
      <c r="EL202" s="13">
        <f t="shared" si="179"/>
        <v>0.24126147010950588</v>
      </c>
      <c r="EM202" s="20">
        <f t="shared" si="180"/>
        <v>1.2574858937744013</v>
      </c>
      <c r="EN202" s="59">
        <f t="shared" si="198"/>
        <v>294.59081922710772</v>
      </c>
      <c r="EO202" s="59">
        <f ca="1">AVERAGE(OFFSET($EN$3,0,0,'Données projet'!$E$15+1,1))-AVERAGE(OFFSET($H$3,0,0,'Données projet'!$E$15+1,1))</f>
        <v>326.29985515186428</v>
      </c>
      <c r="EP202" s="59">
        <f t="shared" si="210"/>
        <v>437.68177084535927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21.467135650770718</v>
      </c>
      <c r="EW202" s="21">
        <f>EXP(-LN(2)/25)*EW201+(1-EXP(-LN(2)/25))/(LN(2)/25)*Calculateur!ER202*Calculateur!ET202*VLOOKUP('Données projet'!$B$15,Paramètres!$A$1:$I$89,3,0)*0.475*44/12</f>
        <v>0.46659609818812364</v>
      </c>
      <c r="EX202" s="21">
        <f>EXP(-LN(2)/2)*EX201+(1-EXP(-LN(2)/2))/(LN(2)/2)*ER202*EU202*VLOOKUP('Données projet'!$B$15,Paramètres!$A$1:$I$89,3,0)*0.475*44/12</f>
        <v>2.7048952009222245E-26</v>
      </c>
      <c r="EY202" s="22">
        <f t="shared" si="181"/>
        <v>21.933731748958841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1.7053025658242404E-13</v>
      </c>
      <c r="FF202" s="17">
        <f>FE202*VLOOKUP('Données projet'!$B$16,Paramètres!$A$1:$I$89,3,0)*VLOOKUP('Données projet'!$B$16,Paramètres!$A$1:$I$89,5,0)</f>
        <v>9.7631982498569413E-14</v>
      </c>
      <c r="FG202" s="13">
        <f t="shared" si="182"/>
        <v>1.4708068762530911E-12</v>
      </c>
      <c r="FH202" s="20">
        <f t="shared" si="183"/>
        <v>2.7316976789924749E-12</v>
      </c>
      <c r="FI202" s="59">
        <f t="shared" si="199"/>
        <v>293.33333333333604</v>
      </c>
      <c r="FJ202" s="59">
        <f ca="1">AVERAGE(OFFSET($FI$3,0,0,'Données projet'!$E$16+1,1))-AVERAGE(OFFSET($H$3,0,0,'Données projet'!$E$16+1,1))</f>
        <v>211.14768428403215</v>
      </c>
      <c r="FK202" s="59">
        <f t="shared" si="211"/>
        <v>350.7800157534798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2.9228445452868801</v>
      </c>
      <c r="FR202" s="21">
        <f>EXP(-LN(2)/25)*FR201+(1-EXP(-LN(2)/25))/(LN(2)/25)*Calculateur!FM202*Calculateur!FO202*VLOOKUP('Données projet'!$B$16,Paramètres!$A$1:$I$89,3,0)*0.475*44/12</f>
        <v>0.19850019495143334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3.1213447402383134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174.7200000000004</v>
      </c>
      <c r="D203" s="11">
        <f t="shared" si="202"/>
        <v>44.145455754865324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1689.4877286340513</v>
      </c>
      <c r="H203" s="66">
        <f t="shared" si="192"/>
        <v>674.52400210639098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259.99999999999983</v>
      </c>
      <c r="O203" s="13">
        <f>N203*VLOOKUP('Données projet'!$B$9,Paramètres!$A$1:$I$89,3,0)*VLOOKUP('Données projet'!$B$9,Paramètres!$A$1:$I$89,5,0)</f>
        <v>227.13599999999985</v>
      </c>
      <c r="P203" s="13">
        <f t="shared" si="203"/>
        <v>55.662966886685133</v>
      </c>
      <c r="Q203" s="20">
        <f t="shared" si="162"/>
        <v>492.5415339943097</v>
      </c>
      <c r="R203" s="59">
        <f t="shared" si="191"/>
        <v>785.87486732764296</v>
      </c>
      <c r="S203" s="59">
        <f ca="1">AVERAGE(OFFSET($R$3,0,0,'Données projet'!$E$9+1,1))-AVERAGE(OFFSET($H$3,0,0,'Données projet'!$E$9+1,1))</f>
        <v>252.49539407921907</v>
      </c>
      <c r="T203" s="59">
        <f t="shared" si="204"/>
        <v>263.36387286233929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8.8300033526126889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8.8300033526126889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19.8100000000004</v>
      </c>
      <c r="AJ203" s="13">
        <f>AI203*VLOOKUP('Données projet'!$B$10,Paramètres!$A$1:$I$89,3,0)*VLOOKUP('Données projet'!$B$10,Paramètres!$A$1:$I$89,5,0)</f>
        <v>17.924088000000364</v>
      </c>
      <c r="AK203" s="13">
        <f t="shared" si="164"/>
        <v>5.9032212091029486</v>
      </c>
      <c r="AL203" s="20">
        <f t="shared" si="165"/>
        <v>41.499230205854936</v>
      </c>
      <c r="AM203" s="59">
        <f t="shared" si="193"/>
        <v>334.83256353918824</v>
      </c>
      <c r="AN203" s="59">
        <f ca="1">AVERAGE(OFFSET($AM$3,0,0,'Données projet'!$E$10+1,1))-AVERAGE(OFFSET($H$3,0,0,'Données projet'!$E$10+1,1))</f>
        <v>370.05613271587413</v>
      </c>
      <c r="AO203" s="59">
        <f t="shared" si="205"/>
        <v>183.24480056442525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70.656240937296502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70.656240937296502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19.8100000000004</v>
      </c>
      <c r="BE203" s="13">
        <f>BD203*VLOOKUP('Données projet'!$B$11,Paramètres!$A$1:$I$89,3,0)*VLOOKUP('Données projet'!$B$11,Paramètres!$A$1:$I$89,5,0)</f>
        <v>20.08734000000041</v>
      </c>
      <c r="BF203" s="13">
        <f t="shared" si="167"/>
        <v>6.5285137703520215</v>
      </c>
      <c r="BG203" s="20">
        <f t="shared" si="168"/>
        <v>46.355945316697152</v>
      </c>
      <c r="BH203" s="59">
        <f t="shared" si="194"/>
        <v>339.68927865003047</v>
      </c>
      <c r="BI203" s="59">
        <f ca="1">AVERAGE(OFFSET($BH$3,0,0,'Données projet'!$E$11+1,1))-AVERAGE(OFFSET($H$3,0,0,'Données projet'!$E$11+1,1))</f>
        <v>428.72181435671394</v>
      </c>
      <c r="BJ203" s="59">
        <f t="shared" si="206"/>
        <v>211.84936043087572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79.183718291797788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79.183718291797788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367.99999999999972</v>
      </c>
      <c r="BZ203" s="13">
        <f>BY203*VLOOKUP('Données projet'!$B$12,Paramètres!$A$1:$I$89,3,0)*VLOOKUP('Données projet'!$B$12,Paramètres!$A$1:$I$89,5,0)</f>
        <v>292.78079999999977</v>
      </c>
      <c r="CA203" s="13">
        <f t="shared" si="170"/>
        <v>69.660903052386217</v>
      </c>
      <c r="CB203" s="20">
        <f t="shared" si="171"/>
        <v>631.25263281623893</v>
      </c>
      <c r="CC203" s="59">
        <f t="shared" si="195"/>
        <v>924.58596614957219</v>
      </c>
      <c r="CD203" s="59">
        <f ca="1">AVERAGE(OFFSET($CC$3,0,0,'Données projet'!$E$12+1,1))-AVERAGE(OFFSET($H$3,0,0,'Données projet'!$E$12+1,1))</f>
        <v>296.737543892524</v>
      </c>
      <c r="CE203" s="59">
        <f t="shared" si="207"/>
        <v>296.38358650317099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5.7241140062095868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5.7241140062095868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474.99999999999994</v>
      </c>
      <c r="CU203" s="17">
        <f>CT203*VLOOKUP('Données projet'!$B$13,Paramètres!$A$1:$I$89,3,0)*VLOOKUP('Données projet'!$B$13,Paramètres!$A$1:$I$89,5,0)</f>
        <v>407.55</v>
      </c>
      <c r="CV203" s="13">
        <f t="shared" si="173"/>
        <v>93.305642095357683</v>
      </c>
      <c r="CW203" s="20">
        <f t="shared" si="174"/>
        <v>872.32357664941446</v>
      </c>
      <c r="CX203" s="59">
        <f t="shared" si="196"/>
        <v>1165.6569099827477</v>
      </c>
      <c r="CY203" s="59">
        <f ca="1">AVERAGE(OFFSET($CX$3,0,0,'Données projet'!$E$13+1,1))-AVERAGE(OFFSET($H$3,0,0,'Données projet'!$E$13+1,1))</f>
        <v>391.93999504334352</v>
      </c>
      <c r="CZ203" s="59">
        <f t="shared" si="208"/>
        <v>215.4484906985528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25.065680558048832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25.065680558048832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367.99999999999972</v>
      </c>
      <c r="DP203" s="17">
        <f>DO203*VLOOKUP('Données projet'!$B$14,Paramètres!$A$1:$I$89,3,0)*VLOOKUP('Données projet'!$B$14,Paramètres!$A$1:$I$89,5,0)</f>
        <v>269.8175999999998</v>
      </c>
      <c r="DQ203" s="13">
        <f t="shared" si="176"/>
        <v>64.810557882019467</v>
      </c>
      <c r="DR203" s="20">
        <f t="shared" si="177"/>
        <v>582.81070831118348</v>
      </c>
      <c r="DS203" s="59">
        <f t="shared" si="197"/>
        <v>876.14404164451685</v>
      </c>
      <c r="DT203" s="59">
        <f ca="1">AVERAGE(OFFSET($DS$3,0,0,'Données projet'!$E$14+1,1))-AVERAGE(OFFSET($H$3,0,0,'Données projet'!$E$14+1,1))</f>
        <v>267.92147257573157</v>
      </c>
      <c r="DU203" s="59">
        <f t="shared" si="209"/>
        <v>269.06662611892438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4.2798499469291791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4.2798499469291791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0.8600000000003547</v>
      </c>
      <c r="EK203" s="17">
        <f>EJ203*VLOOKUP('Données projet'!$B$15,Paramètres!$A$1:$I$89,3,0)*VLOOKUP('Données projet'!$B$15,Paramètres!$A$1:$I$89,5,0)</f>
        <v>0.48074000000019829</v>
      </c>
      <c r="EL203" s="13">
        <f t="shared" si="179"/>
        <v>0.24126147010950588</v>
      </c>
      <c r="EM203" s="20">
        <f t="shared" si="180"/>
        <v>1.2574858937744013</v>
      </c>
      <c r="EN203" s="59">
        <f t="shared" si="198"/>
        <v>294.59081922710772</v>
      </c>
      <c r="EO203" s="59">
        <f ca="1">AVERAGE(OFFSET($EN$3,0,0,'Données projet'!$E$15+1,1))-AVERAGE(OFFSET($H$3,0,0,'Données projet'!$E$15+1,1))</f>
        <v>326.29985515186428</v>
      </c>
      <c r="EP203" s="59">
        <f t="shared" si="210"/>
        <v>437.68177084535927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21.04617821431896</v>
      </c>
      <c r="EW203" s="21">
        <f>EXP(-LN(2)/25)*EW202+(1-EXP(-LN(2)/25))/(LN(2)/25)*Calculateur!ER203*Calculateur!ET203*VLOOKUP('Données projet'!$B$15,Paramètres!$A$1:$I$89,3,0)*0.475*44/12</f>
        <v>0.45383700334594701</v>
      </c>
      <c r="EX203" s="21">
        <f>EXP(-LN(2)/2)*EX202+(1-EXP(-LN(2)/2))/(LN(2)/2)*ER203*EU203*VLOOKUP('Données projet'!$B$15,Paramètres!$A$1:$I$89,3,0)*0.475*44/12</f>
        <v>1.9126497389710539E-26</v>
      </c>
      <c r="EY203" s="22">
        <f t="shared" si="181"/>
        <v>21.500015217664906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1.7053025658242404E-13</v>
      </c>
      <c r="FF203" s="17">
        <f>FE203*VLOOKUP('Données projet'!$B$16,Paramètres!$A$1:$I$89,3,0)*VLOOKUP('Données projet'!$B$16,Paramètres!$A$1:$I$89,5,0)</f>
        <v>9.7631982498569413E-14</v>
      </c>
      <c r="FG203" s="13">
        <f t="shared" si="182"/>
        <v>1.4708068762530911E-12</v>
      </c>
      <c r="FH203" s="20">
        <f t="shared" si="183"/>
        <v>2.7316976789924749E-12</v>
      </c>
      <c r="FI203" s="59">
        <f t="shared" si="199"/>
        <v>293.33333333333604</v>
      </c>
      <c r="FJ203" s="59">
        <f ca="1">AVERAGE(OFFSET($FI$3,0,0,'Données projet'!$E$16+1,1))-AVERAGE(OFFSET($H$3,0,0,'Données projet'!$E$16+1,1))</f>
        <v>211.14768428403215</v>
      </c>
      <c r="FK203" s="59">
        <f t="shared" si="211"/>
        <v>350.7800157534798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2.8655293465129441</v>
      </c>
      <c r="FR203" s="21">
        <f>EXP(-LN(2)/25)*FR202+(1-EXP(-LN(2)/25))/(LN(2)/25)*Calculateur!FM203*Calculateur!FO203*VLOOKUP('Données projet'!$B$16,Paramètres!$A$1:$I$89,3,0)*0.475*44/12</f>
        <v>0.19307219668181483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3.0586015431947589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1.4269435884576509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1.1736311550493581</v>
      </c>
      <c r="BA205" s="81">
        <f>EXP(LN('Données projet'!B88)/'Données projet'!A88)</f>
        <v>1.1736311550493581</v>
      </c>
      <c r="BV205" s="81">
        <f>EXP(LN('Données projet'!B114)/'Données projet'!A114)</f>
        <v>1.3423796509621049</v>
      </c>
      <c r="CQ205" s="81">
        <f>EXP(LN('Données projet'!B140)/'Données projet'!A140)</f>
        <v>1.2229519710813024</v>
      </c>
      <c r="DL205" s="81">
        <f>EXP(LN('Données projet'!B166)/'Données projet'!A166)</f>
        <v>1.3423796509621049</v>
      </c>
      <c r="EG205" s="81">
        <f>EXP(LN('Données projet'!B192)/'Données projet'!A192)</f>
        <v>1.3540417154604885</v>
      </c>
      <c r="FB205" s="81">
        <f>EXP(LN('Données projet'!B218)/'Données projet'!A218)</f>
        <v>1.2654175350526977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Chêne rouge d'Amérique</v>
      </c>
      <c r="B6" s="144">
        <f>'Données projet'!D9</f>
        <v>0.66926399999999997</v>
      </c>
      <c r="C6" s="145">
        <f ca="1">IF(OR('Données projet'!B9="",'Données projet'!C9="",'Données projet'!C9=0%),0,Calculateur!S3)</f>
        <v>252.49539407921907</v>
      </c>
      <c r="D6" s="145">
        <f>IF(OR('Données projet'!B9="",'Données projet'!C9="",'Données projet'!C9=0%),0,Calculateur!T3)</f>
        <v>263.36387286233929</v>
      </c>
      <c r="E6" s="145">
        <f ca="1">MIN(C6,D6)</f>
        <v>252.49539407921907</v>
      </c>
      <c r="F6" s="145">
        <f ca="1">E6*B6</f>
        <v>168.98607742303446</v>
      </c>
      <c r="G6" s="145">
        <f ca="1">F6*(100%-'Données projet'!$C$24)*(100%-'Données projet'!$C$25)*(100%-'Données projet'!$C$26)*(100%-'Données projet'!$C$27)</f>
        <v>152.087469680731</v>
      </c>
      <c r="H6" s="146">
        <f>IF(OR('Données projet'!B9="",'Données projet'!C9="",'Données projet'!C9=0%),0,AVERAGE(Calculateur!$AC$3:$AC$33)*B6)</f>
        <v>0</v>
      </c>
      <c r="I6" s="147">
        <f>H6*(100%-'Données projet'!$C$24)*(100%-'Données projet'!$C$25)*(100%-'Données projet'!$C$26)*(100%-'Données projet'!$C$27)</f>
        <v>0</v>
      </c>
      <c r="J6" s="148">
        <f>IF(OR('Données projet'!B9="",'Données projet'!C9="",'Données projet'!C9=0%),0,SUM(Calculateur!$V$3:$V$33)*VLOOKUP('Données projet'!$B$9,Paramètres!$A$1:$I$89,9,0)*B6)</f>
        <v>20.412551999999998</v>
      </c>
      <c r="K6" s="149">
        <f>J6*(100%-'Données projet'!$C$24)*(100%-'Données projet'!$C$25)*(100%-'Données projet'!$C$26)*(100%-'Données projet'!$C$27)</f>
        <v>18.3712968</v>
      </c>
      <c r="L6" s="150">
        <f ca="1">G6+I6+K6</f>
        <v>170.45876648073101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sessile</v>
      </c>
      <c r="B7" s="152">
        <f>'Données projet'!D10</f>
        <v>1.2046751999999998</v>
      </c>
      <c r="C7" s="145">
        <f ca="1">IF(OR('Données projet'!B10="",'Données projet'!C10="",'Données projet'!C10=0%),0,Calculateur!AN3)</f>
        <v>370.05613271587413</v>
      </c>
      <c r="D7" s="145">
        <f>IF(OR('Données projet'!B10="",'Données projet'!C10="",'Données projet'!C10=0%),0,Calculateur!AO3)</f>
        <v>183.24480056442525</v>
      </c>
      <c r="E7" s="145">
        <f t="shared" ref="E7:E15" ca="1" si="0">MIN(C7,D7)</f>
        <v>183.24480056442525</v>
      </c>
      <c r="F7" s="145">
        <f t="shared" ref="F7:F15" ca="1" si="1">E7*B7</f>
        <v>220.75046676890906</v>
      </c>
      <c r="G7" s="145">
        <f ca="1">F7*(100%-'Données projet'!$C$24)*(100%-'Données projet'!$C$25)*(100%-'Données projet'!$C$26)*(100%-'Données projet'!$C$27)</f>
        <v>198.67542009201816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198.67542009201816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Chêne pubescent</v>
      </c>
      <c r="B8" s="152">
        <f>'Données projet'!D11</f>
        <v>1.4054544</v>
      </c>
      <c r="C8" s="145">
        <f ca="1">IF(OR('Données projet'!B11="",'Données projet'!C11="",'Données projet'!C11=0%),0,Calculateur!BI3)</f>
        <v>428.72181435671394</v>
      </c>
      <c r="D8" s="145">
        <f>IF(OR('Données projet'!B11="",'Données projet'!C11="",'Données projet'!C11=0%),0,Calculateur!BJ3)</f>
        <v>211.84936043087572</v>
      </c>
      <c r="E8" s="145">
        <f t="shared" ca="1" si="0"/>
        <v>211.84936043087572</v>
      </c>
      <c r="F8" s="145">
        <f t="shared" ca="1" si="1"/>
        <v>297.74461575476016</v>
      </c>
      <c r="G8" s="145">
        <f ca="1">F8*(100%-'Données projet'!$C$24)*(100%-'Données projet'!$C$25)*(100%-'Données projet'!$C$26)*(100%-'Données projet'!$C$27)</f>
        <v>267.97015417928418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ca="1" si="2"/>
        <v>267.97015417928418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Erable plane</v>
      </c>
      <c r="B9" s="152">
        <f>'Données projet'!D12</f>
        <v>0.87004320000000002</v>
      </c>
      <c r="C9" s="145">
        <f ca="1">IF(OR('Données projet'!B12="",'Données projet'!C12="",'Données projet'!C12=0%),0,Calculateur!CD3)</f>
        <v>296.737543892524</v>
      </c>
      <c r="D9" s="145">
        <f>IF(OR('Données projet'!B12="",'Données projet'!C12="",'Données projet'!C12=0%),0,Calculateur!CE3)</f>
        <v>296.38358650317099</v>
      </c>
      <c r="E9" s="145">
        <f t="shared" ca="1" si="0"/>
        <v>296.38358650317099</v>
      </c>
      <c r="F9" s="145">
        <f t="shared" ca="1" si="1"/>
        <v>257.86652402869572</v>
      </c>
      <c r="G9" s="145">
        <f ca="1">F9*(100%-'Données projet'!$C$24)*(100%-'Données projet'!$C$25)*(100%-'Données projet'!$C$26)*(100%-'Données projet'!$C$27)</f>
        <v>232.07987162582614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38.064390000000003</v>
      </c>
      <c r="K9" s="149">
        <f>J9*(100%-'Données projet'!$C$24)*(100%-'Données projet'!$C$25)*(100%-'Données projet'!$C$26)*(100%-'Données projet'!$C$27)</f>
        <v>34.257951000000006</v>
      </c>
      <c r="L9" s="150">
        <f t="shared" ca="1" si="2"/>
        <v>266.33782262582616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Hêtre</v>
      </c>
      <c r="B10" s="152">
        <f>'Données projet'!D13</f>
        <v>0.80311679999999996</v>
      </c>
      <c r="C10" s="145">
        <f ca="1">IF(OR('Données projet'!B13="",'Données projet'!C13="",'Données projet'!C13=0%),0,Calculateur!CY3)</f>
        <v>391.93999504334352</v>
      </c>
      <c r="D10" s="145">
        <f>IF(OR('Données projet'!B13="",'Données projet'!C13="",'Données projet'!C13=0%),0,Calculateur!CZ3)</f>
        <v>215.4484906985528</v>
      </c>
      <c r="E10" s="145">
        <f t="shared" ca="1" si="0"/>
        <v>215.4484906985528</v>
      </c>
      <c r="F10" s="145">
        <f t="shared" ca="1" si="1"/>
        <v>173.03030241465149</v>
      </c>
      <c r="G10" s="145">
        <f ca="1">F10*(100%-'Données projet'!$C$24)*(100%-'Données projet'!$C$25)*(100%-'Données projet'!$C$26)*(100%-'Données projet'!$C$27)</f>
        <v>155.72727217318635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12.247531199999999</v>
      </c>
      <c r="K10" s="149">
        <f>J10*(100%-'Données projet'!$C$24)*(100%-'Données projet'!$C$25)*(100%-'Données projet'!$C$26)*(100%-'Données projet'!$C$27)</f>
        <v>11.02277808</v>
      </c>
      <c r="L10" s="150">
        <f t="shared" ca="1" si="2"/>
        <v>166.75005025318634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Châtaignier</v>
      </c>
      <c r="B11" s="152">
        <f>'Données projet'!D14</f>
        <v>0.40155839999999998</v>
      </c>
      <c r="C11" s="145">
        <f ca="1">IF(OR('Données projet'!B14="",'Données projet'!C14="",'Données projet'!C14=0%),0,Calculateur!DT3)</f>
        <v>267.92147257573157</v>
      </c>
      <c r="D11" s="145">
        <f>IF(OR('Données projet'!B14="",'Données projet'!C14="",'Données projet'!C14=0%),0,Calculateur!DU3)</f>
        <v>269.06662611892438</v>
      </c>
      <c r="E11" s="145">
        <f t="shared" ca="1" si="0"/>
        <v>267.92147257573157</v>
      </c>
      <c r="F11" s="145">
        <f t="shared" ca="1" si="1"/>
        <v>107.58611785315465</v>
      </c>
      <c r="G11" s="145">
        <f ca="1">F11*(100%-'Données projet'!$C$24)*(100%-'Données projet'!$C$25)*(100%-'Données projet'!$C$26)*(100%-'Données projet'!$C$27)</f>
        <v>96.827506067839181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17.568179999999998</v>
      </c>
      <c r="K11" s="149">
        <f>J11*(100%-'Données projet'!$C$24)*(100%-'Données projet'!$C$25)*(100%-'Données projet'!$C$26)*(100%-'Données projet'!$C$27)</f>
        <v>15.811361999999999</v>
      </c>
      <c r="L11" s="150">
        <f t="shared" ca="1" si="2"/>
        <v>112.63886806783918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>Douglas</v>
      </c>
      <c r="B12" s="152">
        <f>'Données projet'!D15</f>
        <v>3.1456575999999998</v>
      </c>
      <c r="C12" s="145">
        <f ca="1">IF(OR('Données projet'!B15="",'Données projet'!C15="",'Données projet'!C15=0%),0,Calculateur!EO3)</f>
        <v>326.29985515186428</v>
      </c>
      <c r="D12" s="145">
        <f>IF(OR('Données projet'!B15="",'Données projet'!C15="",'Données projet'!C15=0%),0,Calculateur!EP3)</f>
        <v>437.68177084535927</v>
      </c>
      <c r="E12" s="145">
        <f t="shared" ca="1" si="0"/>
        <v>326.29985515186428</v>
      </c>
      <c r="F12" s="145">
        <f t="shared" ca="1" si="1"/>
        <v>1026.4276192373609</v>
      </c>
      <c r="G12" s="145">
        <f ca="1">F12*(100%-'Données projet'!$C$24)*(100%-'Données projet'!$C$25)*(100%-'Données projet'!$C$26)*(100%-'Données projet'!$C$27)</f>
        <v>923.7848573136248</v>
      </c>
      <c r="H12" s="153">
        <f>IF(OR('Données projet'!B15="",'Données projet'!C15="",'Données projet'!C15=0%),0,AVERAGE(Calculateur!$EY$3:$EY$33)*B12)</f>
        <v>33.229243698839547</v>
      </c>
      <c r="I12" s="147">
        <f>H12*(100%-'Données projet'!$C$24)*(100%-'Données projet'!$C$25)*(100%-'Données projet'!$C$26)*(100%-'Données projet'!$C$27)</f>
        <v>29.906319328955593</v>
      </c>
      <c r="J12" s="148">
        <f>IF(OR('Données projet'!B15="",'Données projet'!C15="",'Données projet'!C15=0%),0,SUM(Calculateur!$ER$3:$ER$33)*VLOOKUP('Données projet'!$B$15,Paramètres!$A$1:$I$89,9,0)*B12)</f>
        <v>280.23845687424</v>
      </c>
      <c r="K12" s="149">
        <f>J12*(100%-'Données projet'!$C$24)*(100%-'Données projet'!$C$25)*(100%-'Données projet'!$C$26)*(100%-'Données projet'!$C$27)</f>
        <v>252.214611186816</v>
      </c>
      <c r="L12" s="150">
        <f t="shared" ca="1" si="2"/>
        <v>1205.9057878293966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>Peuplier Robusta</v>
      </c>
      <c r="B13" s="152">
        <f>'Données projet'!D16</f>
        <v>3.1799968000000001</v>
      </c>
      <c r="C13" s="145">
        <f ca="1">IF(OR('Données projet'!B16="",'Données projet'!C16="",'Données projet'!C16=0%),0,Calculateur!FJ3)</f>
        <v>211.14768428403215</v>
      </c>
      <c r="D13" s="145">
        <f>IF(OR('Données projet'!B16="",'Données projet'!C16="",'Données projet'!C16=0%),0,Calculateur!FK3)</f>
        <v>350.7800157534798</v>
      </c>
      <c r="E13" s="145">
        <f t="shared" ca="1" si="0"/>
        <v>211.14768428403215</v>
      </c>
      <c r="F13" s="145">
        <f t="shared" ca="1" si="1"/>
        <v>671.44896035063255</v>
      </c>
      <c r="G13" s="145">
        <f ca="1">F13*(100%-'Données projet'!$C$24)*(100%-'Données projet'!$C$25)*(100%-'Données projet'!$C$26)*(100%-'Données projet'!$C$27)</f>
        <v>604.30406431556935</v>
      </c>
      <c r="H13" s="153">
        <f>IF(OR('Données projet'!B16="",'Données projet'!C16="",'Données projet'!C16=0%),0,AVERAGE(Calculateur!$FT$3:$FT$33)*B13)</f>
        <v>80.151157094723004</v>
      </c>
      <c r="I13" s="147">
        <f>H13*(100%-'Données projet'!$C$24)*(100%-'Données projet'!$C$25)*(100%-'Données projet'!$C$26)*(100%-'Données projet'!$C$27)</f>
        <v>72.136041385250707</v>
      </c>
      <c r="J13" s="148">
        <f>IF(OR('Données projet'!C16="",'Données projet'!C16=0%),0,SUM(Calculateur!$FM$3:$FM$33)*VLOOKUP('Données projet'!$B$16,Paramètres!$A$1:$I$89,9,0)*B13)</f>
        <v>1047.7070227180241</v>
      </c>
      <c r="K13" s="149">
        <f>J13*(100%-'Données projet'!$C$24)*(100%-'Données projet'!$C$25)*(100%-'Données projet'!$C$26)*(100%-'Données projet'!$C$27)</f>
        <v>942.93632044622166</v>
      </c>
      <c r="L13" s="150">
        <f t="shared" ca="1" si="2"/>
        <v>1619.3764261470417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2923.8406838311994</v>
      </c>
      <c r="G16" s="164">
        <f t="shared" ca="1" si="3"/>
        <v>2631.456615448079</v>
      </c>
      <c r="H16" s="165">
        <f t="shared" si="3"/>
        <v>113.38040079356256</v>
      </c>
      <c r="I16" s="165">
        <f t="shared" si="3"/>
        <v>102.0423607142063</v>
      </c>
      <c r="J16" s="166">
        <f t="shared" si="3"/>
        <v>1416.238132792264</v>
      </c>
      <c r="K16" s="166">
        <f t="shared" si="3"/>
        <v>1274.6143195130376</v>
      </c>
      <c r="L16" s="167">
        <f t="shared" ca="1" si="3"/>
        <v>4008.1132956753236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Chêne rouge d'Amérique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Erable plane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Hêtre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Châtaignier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>Douglas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>Peuplier Robusta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L17" zoomScale="90" zoomScaleNormal="90" workbookViewId="0">
      <selection activeCell="I21" sqref="I21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Chêne rouge d'Amérique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55.875780193447611</v>
      </c>
      <c r="U10" s="176">
        <f>'Données projet'!D9</f>
        <v>0.66926399999999997</v>
      </c>
      <c r="V10" s="175">
        <f>U10*T10</f>
        <v>37.395648155387519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sessile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4442.0839553138703</v>
      </c>
      <c r="U11" s="176">
        <f>'Données projet'!D10</f>
        <v>1.2046751999999998</v>
      </c>
      <c r="V11" s="175">
        <f t="shared" ref="V11" si="0">U11*T11</f>
        <v>5351.2683772845267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 pubescent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7882.3726104877351</v>
      </c>
      <c r="U12" s="176">
        <f>'Données projet'!D11</f>
        <v>1.4054544</v>
      </c>
      <c r="V12" s="175">
        <f t="shared" ref="V12:V19" si="1">U12*T12</f>
        <v>11078.315267849473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Erable plane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-73.933791748374432</v>
      </c>
      <c r="U13" s="176">
        <f>'Données projet'!D12</f>
        <v>0.87004320000000002</v>
      </c>
      <c r="V13" s="175">
        <f t="shared" si="1"/>
        <v>-64.325592760889293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Chêne rouge d'Amérique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Hêtre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76.551141490981962</v>
      </c>
      <c r="U14" s="176">
        <f>'Données projet'!D13</f>
        <v>0.80311679999999996</v>
      </c>
      <c r="V14" s="175">
        <f t="shared" si="1"/>
        <v>61.479507790584663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Châtaignier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-326.14379174837444</v>
      </c>
      <c r="U15" s="176">
        <f>'Données projet'!D14</f>
        <v>0.40155839999999998</v>
      </c>
      <c r="V15" s="175">
        <f t="shared" si="1"/>
        <v>-130.96577918441045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>
        <v>30</v>
      </c>
      <c r="O16" s="23"/>
      <c r="P16" s="23"/>
      <c r="Q16" s="232"/>
      <c r="R16" s="23"/>
      <c r="S16" s="36" t="str">
        <f>B200</f>
        <v>Douglas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7308.4824697855711</v>
      </c>
      <c r="U16" s="176">
        <f>'Données projet'!D15</f>
        <v>3.1456575999999998</v>
      </c>
      <c r="V16" s="175">
        <f t="shared" si="1"/>
        <v>22989.983425547751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2404.91</v>
      </c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29.999999999999989</v>
      </c>
      <c r="O17" s="23"/>
      <c r="P17" s="23"/>
      <c r="Q17" s="232"/>
      <c r="R17" s="23"/>
      <c r="S17" s="36" t="str">
        <f>B231</f>
        <v>Peuplier Robusta</v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4119.2309818893555</v>
      </c>
      <c r="U17" s="176">
        <f>'Données projet'!D16</f>
        <v>3.1799968000000001</v>
      </c>
      <c r="V17" s="175">
        <f t="shared" si="1"/>
        <v>13099.141340869008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>
        <v>20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599.99999999999977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>
        <v>6326.12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10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-21466.789404448566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15</v>
      </c>
      <c r="B24" s="179">
        <f>'Données projet'!D37</f>
        <v>30</v>
      </c>
      <c r="C24" s="191">
        <v>20</v>
      </c>
      <c r="D24" s="180">
        <f t="shared" ref="D24:D42" si="2">B24*C24</f>
        <v>600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1871.1361086730763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20</v>
      </c>
      <c r="B25" s="179">
        <f>'Données projet'!D38</f>
        <v>29</v>
      </c>
      <c r="C25" s="191">
        <v>20</v>
      </c>
      <c r="D25" s="180">
        <f t="shared" si="2"/>
        <v>580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-23337.925513121641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25</v>
      </c>
      <c r="B26" s="179">
        <f>'Données projet'!D39</f>
        <v>31</v>
      </c>
      <c r="C26" s="191">
        <v>20</v>
      </c>
      <c r="D26" s="180">
        <f t="shared" si="2"/>
        <v>620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30</v>
      </c>
      <c r="B27" s="179">
        <f>'Données projet'!D40</f>
        <v>32</v>
      </c>
      <c r="C27" s="191">
        <v>20</v>
      </c>
      <c r="D27" s="180">
        <f t="shared" si="2"/>
        <v>640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35</v>
      </c>
      <c r="B28" s="179">
        <f>'Données projet'!D41</f>
        <v>32</v>
      </c>
      <c r="C28" s="191">
        <v>55</v>
      </c>
      <c r="D28" s="180">
        <f t="shared" si="2"/>
        <v>1760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40</v>
      </c>
      <c r="B29" s="179">
        <f>'Données projet'!D42</f>
        <v>31</v>
      </c>
      <c r="C29" s="191">
        <v>55</v>
      </c>
      <c r="D29" s="180">
        <f t="shared" si="2"/>
        <v>1705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45</v>
      </c>
      <c r="B30" s="179">
        <f>'Données projet'!D43</f>
        <v>30</v>
      </c>
      <c r="C30" s="191">
        <v>55</v>
      </c>
      <c r="D30" s="180">
        <f t="shared" si="2"/>
        <v>1650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50</v>
      </c>
      <c r="B31" s="179">
        <f>'Données projet'!D44</f>
        <v>28</v>
      </c>
      <c r="C31" s="191">
        <v>55</v>
      </c>
      <c r="D31" s="180">
        <f t="shared" si="2"/>
        <v>1540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55</v>
      </c>
      <c r="B32" s="179">
        <f>'Données projet'!D45</f>
        <v>26</v>
      </c>
      <c r="C32" s="191">
        <v>55</v>
      </c>
      <c r="D32" s="180">
        <f t="shared" si="2"/>
        <v>1430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60</v>
      </c>
      <c r="B33" s="179">
        <f>'Données projet'!D46</f>
        <v>24</v>
      </c>
      <c r="C33" s="191">
        <v>55</v>
      </c>
      <c r="D33" s="180">
        <f t="shared" si="2"/>
        <v>1320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65</v>
      </c>
      <c r="B34" s="179">
        <f>'Données projet'!D47</f>
        <v>22</v>
      </c>
      <c r="C34" s="191">
        <v>55</v>
      </c>
      <c r="D34" s="180">
        <f t="shared" si="2"/>
        <v>1210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70</v>
      </c>
      <c r="B35" s="179">
        <f>'Données projet'!D48</f>
        <v>21</v>
      </c>
      <c r="C35" s="191">
        <v>55</v>
      </c>
      <c r="D35" s="180">
        <f t="shared" si="2"/>
        <v>1155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75</v>
      </c>
      <c r="B36" s="179">
        <f>'Données projet'!D49</f>
        <v>19</v>
      </c>
      <c r="C36" s="191">
        <v>55</v>
      </c>
      <c r="D36" s="180">
        <f t="shared" si="2"/>
        <v>1045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80</v>
      </c>
      <c r="B37" s="179">
        <f>'Données projet'!D50</f>
        <v>17</v>
      </c>
      <c r="C37" s="191">
        <v>55</v>
      </c>
      <c r="D37" s="180">
        <f t="shared" si="2"/>
        <v>935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85</v>
      </c>
      <c r="B38" s="179">
        <f>'Données projet'!D51</f>
        <v>16</v>
      </c>
      <c r="C38" s="191">
        <v>55</v>
      </c>
      <c r="D38" s="180">
        <f t="shared" si="2"/>
        <v>880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90</v>
      </c>
      <c r="B39" s="179">
        <f>'Données projet'!D52</f>
        <v>14</v>
      </c>
      <c r="C39" s="191">
        <v>55</v>
      </c>
      <c r="D39" s="180">
        <f t="shared" si="2"/>
        <v>770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95</v>
      </c>
      <c r="B40" s="179">
        <f>'Données projet'!D53</f>
        <v>13</v>
      </c>
      <c r="C40" s="191">
        <v>55</v>
      </c>
      <c r="D40" s="180">
        <f t="shared" si="2"/>
        <v>715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100</v>
      </c>
      <c r="B41" s="179">
        <f>'Données projet'!D54</f>
        <v>13</v>
      </c>
      <c r="C41" s="191">
        <v>55</v>
      </c>
      <c r="D41" s="180">
        <f t="shared" si="2"/>
        <v>715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sessile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3224.58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35</v>
      </c>
      <c r="B55" s="179">
        <f>'Données projet'!D63</f>
        <v>69.58</v>
      </c>
      <c r="C55" s="189">
        <v>235</v>
      </c>
      <c r="D55" s="177">
        <f t="shared" ref="D55:D73" si="4">B55*C55</f>
        <v>16351.3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41</v>
      </c>
      <c r="B56" s="179">
        <f>'Données projet'!D64</f>
        <v>47.41</v>
      </c>
      <c r="C56" s="189">
        <v>235</v>
      </c>
      <c r="D56" s="177">
        <f t="shared" si="4"/>
        <v>11141.349999999999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48</v>
      </c>
      <c r="B57" s="179">
        <f>'Données projet'!D65</f>
        <v>61.12</v>
      </c>
      <c r="C57" s="189">
        <v>235</v>
      </c>
      <c r="D57" s="177">
        <f t="shared" si="4"/>
        <v>14363.199999999999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55</v>
      </c>
      <c r="B58" s="179">
        <f>'Données projet'!D66</f>
        <v>58.24</v>
      </c>
      <c r="C58" s="189">
        <v>235</v>
      </c>
      <c r="D58" s="177">
        <f t="shared" si="4"/>
        <v>13686.4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 t="str">
        <f>IF(O57+1&lt;=MIN('Données projet'!$E$9:$E$18),O57+1,"STOP")</f>
        <v>STOP</v>
      </c>
      <c r="P58" s="183" t="e">
        <f t="shared" si="3"/>
        <v>#VALUE!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63</v>
      </c>
      <c r="B59" s="179">
        <f>'Données projet'!D67</f>
        <v>54.21</v>
      </c>
      <c r="C59" s="189">
        <v>235</v>
      </c>
      <c r="D59" s="177">
        <f t="shared" si="4"/>
        <v>12739.35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 t="e">
        <f>IF(O58+1&lt;=MIN('Données projet'!$E$9:$E$18),O58+1,"STOP")</f>
        <v>#VALUE!</v>
      </c>
      <c r="P59" s="183" t="e">
        <f t="shared" si="3"/>
        <v>#VALUE!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71</v>
      </c>
      <c r="B60" s="179">
        <f>'Données projet'!D68</f>
        <v>52.07</v>
      </c>
      <c r="C60" s="189">
        <v>235</v>
      </c>
      <c r="D60" s="177">
        <f t="shared" si="4"/>
        <v>12236.45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 t="e">
        <f>IF(O59+1&lt;=MIN('Données projet'!$E$9:$E$18),O59+1,"STOP")</f>
        <v>#VALUE!</v>
      </c>
      <c r="P60" s="183" t="e">
        <f t="shared" si="3"/>
        <v>#VALUE!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80</v>
      </c>
      <c r="B61" s="179">
        <f>'Données projet'!D69</f>
        <v>59.57</v>
      </c>
      <c r="C61" s="189">
        <v>235</v>
      </c>
      <c r="D61" s="177">
        <f t="shared" si="4"/>
        <v>13998.95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 t="e">
        <f>IF(O60+1&lt;=MIN('Données projet'!$E$9:$E$18),O60+1,"STOP")</f>
        <v>#VALUE!</v>
      </c>
      <c r="P61" s="183" t="e">
        <f t="shared" si="3"/>
        <v>#VALUE!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89</v>
      </c>
      <c r="B62" s="179">
        <f>'Données projet'!D70</f>
        <v>64.5</v>
      </c>
      <c r="C62" s="189">
        <v>235</v>
      </c>
      <c r="D62" s="177">
        <f t="shared" si="4"/>
        <v>15157.5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 t="e">
        <f>IF(O61+1&lt;=MIN('Données projet'!$E$9:$E$18),O61+1,"STOP")</f>
        <v>#VALUE!</v>
      </c>
      <c r="P62" s="183" t="e">
        <f t="shared" si="3"/>
        <v>#VALUE!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99</v>
      </c>
      <c r="B63" s="179">
        <f>'Données projet'!D71</f>
        <v>62.94</v>
      </c>
      <c r="C63" s="189">
        <v>235</v>
      </c>
      <c r="D63" s="177">
        <f t="shared" si="4"/>
        <v>14790.9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 t="e">
        <f>IF(O62+1&lt;=MIN('Données projet'!$E$9:$E$18),O62+1,"STOP")</f>
        <v>#VALUE!</v>
      </c>
      <c r="P63" s="183" t="e">
        <f t="shared" si="3"/>
        <v>#VALUE!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109</v>
      </c>
      <c r="B64" s="179">
        <f>'Données projet'!D72</f>
        <v>66.959999999999994</v>
      </c>
      <c r="C64" s="189">
        <v>235</v>
      </c>
      <c r="D64" s="177">
        <f t="shared" si="4"/>
        <v>15735.599999999999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e">
        <f>IF(O63+1&lt;=MIN('Données projet'!$E$9:$E$18),O63+1,"STOP")</f>
        <v>#VALUE!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119</v>
      </c>
      <c r="B65" s="179">
        <f>'Données projet'!D73</f>
        <v>196.46</v>
      </c>
      <c r="C65" s="189">
        <v>235</v>
      </c>
      <c r="D65" s="177">
        <f t="shared" si="4"/>
        <v>46168.1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123</v>
      </c>
      <c r="B66" s="179">
        <f>'Données projet'!D74</f>
        <v>100.6</v>
      </c>
      <c r="C66" s="189">
        <v>235</v>
      </c>
      <c r="D66" s="177">
        <f t="shared" si="4"/>
        <v>23641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127</v>
      </c>
      <c r="B67" s="179">
        <f>'Données projet'!D75</f>
        <v>65.02</v>
      </c>
      <c r="C67" s="189">
        <v>235</v>
      </c>
      <c r="D67" s="177">
        <f t="shared" si="4"/>
        <v>15279.699999999999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131</v>
      </c>
      <c r="B68" s="179">
        <f>'Données projet'!D76</f>
        <v>143.84</v>
      </c>
      <c r="C68" s="189">
        <v>235</v>
      </c>
      <c r="D68" s="177">
        <f t="shared" si="4"/>
        <v>33802.400000000001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Chêne pubescent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3287.63</v>
      </c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30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35</v>
      </c>
      <c r="B86" s="179">
        <f>'Données projet'!D89</f>
        <v>69.58</v>
      </c>
      <c r="C86" s="189">
        <v>235</v>
      </c>
      <c r="D86" s="177">
        <f t="shared" ref="D86:D104" si="6">B86*C86</f>
        <v>16351.3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41</v>
      </c>
      <c r="B87" s="179">
        <f>'Données projet'!D90</f>
        <v>47.41</v>
      </c>
      <c r="C87" s="189">
        <v>235</v>
      </c>
      <c r="D87" s="177">
        <f t="shared" si="6"/>
        <v>11141.349999999999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48</v>
      </c>
      <c r="B88" s="179">
        <f>'Données projet'!D91</f>
        <v>61.12</v>
      </c>
      <c r="C88" s="189">
        <v>235</v>
      </c>
      <c r="D88" s="177">
        <f t="shared" si="6"/>
        <v>14363.199999999999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55</v>
      </c>
      <c r="B89" s="179">
        <f>'Données projet'!D92</f>
        <v>58.24</v>
      </c>
      <c r="C89" s="189">
        <v>235</v>
      </c>
      <c r="D89" s="177">
        <f t="shared" si="6"/>
        <v>13686.4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63</v>
      </c>
      <c r="B90" s="179">
        <f>'Données projet'!D93</f>
        <v>54.21</v>
      </c>
      <c r="C90" s="189">
        <v>235</v>
      </c>
      <c r="D90" s="177">
        <f t="shared" si="6"/>
        <v>12739.35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71</v>
      </c>
      <c r="B91" s="179">
        <f>'Données projet'!D94</f>
        <v>52.07</v>
      </c>
      <c r="C91" s="189">
        <v>235</v>
      </c>
      <c r="D91" s="177">
        <f t="shared" si="6"/>
        <v>12236.45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80</v>
      </c>
      <c r="B92" s="179">
        <f>'Données projet'!D95</f>
        <v>59.57</v>
      </c>
      <c r="C92" s="189">
        <v>235</v>
      </c>
      <c r="D92" s="177">
        <f t="shared" si="6"/>
        <v>13998.95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89</v>
      </c>
      <c r="B93" s="179">
        <f>'Données projet'!D96</f>
        <v>64.5</v>
      </c>
      <c r="C93" s="189">
        <v>235</v>
      </c>
      <c r="D93" s="177">
        <f t="shared" si="6"/>
        <v>15157.5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99</v>
      </c>
      <c r="B94" s="179">
        <f>'Données projet'!D97</f>
        <v>62.94</v>
      </c>
      <c r="C94" s="189">
        <v>235</v>
      </c>
      <c r="D94" s="177">
        <f t="shared" si="6"/>
        <v>14790.9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109</v>
      </c>
      <c r="B95" s="179">
        <f>'Données projet'!D98</f>
        <v>66.959999999999994</v>
      </c>
      <c r="C95" s="189">
        <v>235</v>
      </c>
      <c r="D95" s="177">
        <f t="shared" si="6"/>
        <v>15735.599999999999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119</v>
      </c>
      <c r="B96" s="179">
        <f>'Données projet'!D99</f>
        <v>196.46</v>
      </c>
      <c r="C96" s="189">
        <v>235</v>
      </c>
      <c r="D96" s="177">
        <f t="shared" si="6"/>
        <v>46168.1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123</v>
      </c>
      <c r="B97" s="179">
        <f>'Données projet'!D100</f>
        <v>100.6</v>
      </c>
      <c r="C97" s="189">
        <v>235</v>
      </c>
      <c r="D97" s="177">
        <f t="shared" si="6"/>
        <v>23641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127</v>
      </c>
      <c r="B98" s="179">
        <f>'Données projet'!D101</f>
        <v>65.02</v>
      </c>
      <c r="C98" s="189">
        <v>235</v>
      </c>
      <c r="D98" s="177">
        <f t="shared" si="6"/>
        <v>15279.699999999999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131</v>
      </c>
      <c r="B99" s="179">
        <f>'Données projet'!D102</f>
        <v>143.84</v>
      </c>
      <c r="C99" s="189">
        <v>235</v>
      </c>
      <c r="D99" s="177">
        <f t="shared" si="6"/>
        <v>33802.400000000001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Erable plane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2940.85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10</v>
      </c>
      <c r="B116" s="179">
        <f>'Données projet'!D114</f>
        <v>7</v>
      </c>
      <c r="C116" s="189">
        <v>20</v>
      </c>
      <c r="D116" s="177">
        <f>B116*C116</f>
        <v>140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15</v>
      </c>
      <c r="B117" s="179">
        <f>'Données projet'!D115</f>
        <v>42</v>
      </c>
      <c r="C117" s="189">
        <v>20</v>
      </c>
      <c r="D117" s="177">
        <f t="shared" ref="D117:D135" si="8">B117*C117</f>
        <v>840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20</v>
      </c>
      <c r="B118" s="179">
        <f>'Données projet'!D116</f>
        <v>42</v>
      </c>
      <c r="C118" s="189">
        <v>20</v>
      </c>
      <c r="D118" s="177">
        <f t="shared" si="8"/>
        <v>840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25</v>
      </c>
      <c r="B119" s="179">
        <f>'Données projet'!D117</f>
        <v>42</v>
      </c>
      <c r="C119" s="189">
        <v>20</v>
      </c>
      <c r="D119" s="177">
        <f t="shared" si="8"/>
        <v>840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30</v>
      </c>
      <c r="B120" s="179">
        <f>'Données projet'!D118</f>
        <v>42</v>
      </c>
      <c r="C120" s="189">
        <v>20</v>
      </c>
      <c r="D120" s="177">
        <f t="shared" si="8"/>
        <v>840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35</v>
      </c>
      <c r="B121" s="179">
        <f>'Données projet'!D119</f>
        <v>42</v>
      </c>
      <c r="C121" s="189">
        <v>55</v>
      </c>
      <c r="D121" s="177">
        <f t="shared" si="8"/>
        <v>2310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40</v>
      </c>
      <c r="B122" s="179">
        <f>'Données projet'!D120</f>
        <v>40</v>
      </c>
      <c r="C122" s="189">
        <v>55</v>
      </c>
      <c r="D122" s="177">
        <f t="shared" si="8"/>
        <v>2200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45</v>
      </c>
      <c r="B123" s="179">
        <f>'Données projet'!D121</f>
        <v>26</v>
      </c>
      <c r="C123" s="189">
        <v>55</v>
      </c>
      <c r="D123" s="177">
        <f t="shared" si="8"/>
        <v>1430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50</v>
      </c>
      <c r="B124" s="179">
        <f>'Données projet'!D122</f>
        <v>21</v>
      </c>
      <c r="C124" s="189">
        <v>55</v>
      </c>
      <c r="D124" s="177">
        <f t="shared" si="8"/>
        <v>1155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55</v>
      </c>
      <c r="B125" s="179">
        <f>'Données projet'!D123</f>
        <v>18</v>
      </c>
      <c r="C125" s="189">
        <v>55</v>
      </c>
      <c r="D125" s="177">
        <f t="shared" si="8"/>
        <v>990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60</v>
      </c>
      <c r="B126" s="179">
        <f>'Données projet'!D124</f>
        <v>17</v>
      </c>
      <c r="C126" s="189">
        <v>55</v>
      </c>
      <c r="D126" s="177">
        <f t="shared" si="8"/>
        <v>935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65</v>
      </c>
      <c r="B127" s="179">
        <f>'Données projet'!D125</f>
        <v>16</v>
      </c>
      <c r="C127" s="189">
        <v>55</v>
      </c>
      <c r="D127" s="177">
        <f t="shared" si="8"/>
        <v>880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70</v>
      </c>
      <c r="B128" s="179">
        <f>'Données projet'!D126</f>
        <v>15</v>
      </c>
      <c r="C128" s="189">
        <v>55</v>
      </c>
      <c r="D128" s="177">
        <f t="shared" si="8"/>
        <v>825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75</v>
      </c>
      <c r="B129" s="179">
        <f>'Données projet'!D127</f>
        <v>14</v>
      </c>
      <c r="C129" s="189">
        <v>55</v>
      </c>
      <c r="D129" s="177">
        <f t="shared" si="8"/>
        <v>770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80</v>
      </c>
      <c r="B130" s="179">
        <f>'Données projet'!D128</f>
        <v>13</v>
      </c>
      <c r="C130" s="189">
        <v>55</v>
      </c>
      <c r="D130" s="177">
        <f t="shared" si="8"/>
        <v>715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Hêtre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2294.5700000000002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20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25</v>
      </c>
      <c r="B148" s="173">
        <f>'Données projet'!D141</f>
        <v>26</v>
      </c>
      <c r="C148" s="189">
        <v>20</v>
      </c>
      <c r="D148" s="180">
        <f t="shared" ref="D148:D166" si="10">B148*C148</f>
        <v>520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30</v>
      </c>
      <c r="B149" s="173">
        <f>'Données projet'!D142</f>
        <v>35</v>
      </c>
      <c r="C149" s="189">
        <v>20</v>
      </c>
      <c r="D149" s="180">
        <f t="shared" si="10"/>
        <v>700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35</v>
      </c>
      <c r="B150" s="173">
        <f>'Données projet'!D143</f>
        <v>35</v>
      </c>
      <c r="C150" s="189">
        <v>55</v>
      </c>
      <c r="D150" s="180">
        <f t="shared" si="10"/>
        <v>1925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40</v>
      </c>
      <c r="B151" s="173">
        <f>'Données projet'!D144</f>
        <v>35</v>
      </c>
      <c r="C151" s="189">
        <v>55</v>
      </c>
      <c r="D151" s="180">
        <f t="shared" si="10"/>
        <v>1925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45</v>
      </c>
      <c r="B152" s="173">
        <f>'Données projet'!D145</f>
        <v>35</v>
      </c>
      <c r="C152" s="189">
        <v>55</v>
      </c>
      <c r="D152" s="180">
        <f t="shared" si="10"/>
        <v>1925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50</v>
      </c>
      <c r="B153" s="173">
        <f>'Données projet'!D146</f>
        <v>35</v>
      </c>
      <c r="C153" s="189">
        <v>55</v>
      </c>
      <c r="D153" s="180">
        <f t="shared" si="10"/>
        <v>1925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55</v>
      </c>
      <c r="B154" s="173">
        <f>'Données projet'!D147</f>
        <v>35</v>
      </c>
      <c r="C154" s="189">
        <v>55</v>
      </c>
      <c r="D154" s="180">
        <f t="shared" si="10"/>
        <v>1925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60</v>
      </c>
      <c r="B155" s="173">
        <f>'Données projet'!D148</f>
        <v>35</v>
      </c>
      <c r="C155" s="189">
        <v>55</v>
      </c>
      <c r="D155" s="180">
        <f t="shared" si="10"/>
        <v>1925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65</v>
      </c>
      <c r="B156" s="173">
        <f>'Données projet'!D149</f>
        <v>35</v>
      </c>
      <c r="C156" s="189">
        <v>55</v>
      </c>
      <c r="D156" s="180">
        <f t="shared" si="10"/>
        <v>1925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70</v>
      </c>
      <c r="B157" s="173">
        <f>'Données projet'!D150</f>
        <v>35</v>
      </c>
      <c r="C157" s="189">
        <v>55</v>
      </c>
      <c r="D157" s="180">
        <f t="shared" si="10"/>
        <v>1925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75</v>
      </c>
      <c r="B158" s="173">
        <f>'Données projet'!D151</f>
        <v>35</v>
      </c>
      <c r="C158" s="189">
        <v>55</v>
      </c>
      <c r="D158" s="180">
        <f t="shared" si="10"/>
        <v>1925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80</v>
      </c>
      <c r="B159" s="173">
        <f>'Données projet'!D152</f>
        <v>34</v>
      </c>
      <c r="C159" s="189">
        <v>55</v>
      </c>
      <c r="D159" s="180">
        <f t="shared" si="10"/>
        <v>1870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85</v>
      </c>
      <c r="B160" s="173">
        <f>'Données projet'!D153</f>
        <v>33</v>
      </c>
      <c r="C160" s="189">
        <v>55</v>
      </c>
      <c r="D160" s="180">
        <f t="shared" si="10"/>
        <v>1815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90</v>
      </c>
      <c r="B161" s="173">
        <f>'Données projet'!D154</f>
        <v>31</v>
      </c>
      <c r="C161" s="189">
        <v>55</v>
      </c>
      <c r="D161" s="180">
        <f t="shared" si="10"/>
        <v>1705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95</v>
      </c>
      <c r="B162" s="173">
        <f>'Données projet'!D155</f>
        <v>30</v>
      </c>
      <c r="C162" s="189">
        <v>55</v>
      </c>
      <c r="D162" s="180">
        <f t="shared" si="10"/>
        <v>1650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100</v>
      </c>
      <c r="B163" s="173">
        <f>'Données projet'!D156</f>
        <v>29</v>
      </c>
      <c r="C163" s="189">
        <v>55</v>
      </c>
      <c r="D163" s="180">
        <f t="shared" si="10"/>
        <v>1595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105</v>
      </c>
      <c r="B164" s="173">
        <f>'Données projet'!D157</f>
        <v>28</v>
      </c>
      <c r="C164" s="189">
        <v>55</v>
      </c>
      <c r="D164" s="180">
        <f t="shared" si="10"/>
        <v>1540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110</v>
      </c>
      <c r="B165" s="173">
        <f>'Données projet'!D158</f>
        <v>27</v>
      </c>
      <c r="C165" s="189">
        <v>55</v>
      </c>
      <c r="D165" s="180">
        <f t="shared" si="10"/>
        <v>1485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115</v>
      </c>
      <c r="B166" s="173">
        <f>'Données projet'!D159</f>
        <v>26</v>
      </c>
      <c r="C166" s="189">
        <v>55</v>
      </c>
      <c r="D166" s="180">
        <f t="shared" si="10"/>
        <v>1430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Châtaignier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3193.06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10</v>
      </c>
      <c r="B178" s="179">
        <f>'Données projet'!D166</f>
        <v>7</v>
      </c>
      <c r="C178" s="191">
        <v>20</v>
      </c>
      <c r="D178" s="177">
        <f>B178*C178</f>
        <v>140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15</v>
      </c>
      <c r="B179" s="179">
        <f>'Données projet'!D167</f>
        <v>42</v>
      </c>
      <c r="C179" s="191">
        <v>20</v>
      </c>
      <c r="D179" s="177">
        <f t="shared" ref="D179:D197" si="11">B179*C179</f>
        <v>840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20</v>
      </c>
      <c r="B180" s="179">
        <f>'Données projet'!D168</f>
        <v>42</v>
      </c>
      <c r="C180" s="191">
        <v>20</v>
      </c>
      <c r="D180" s="177">
        <f t="shared" si="11"/>
        <v>840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25</v>
      </c>
      <c r="B181" s="179">
        <f>'Données projet'!D169</f>
        <v>42</v>
      </c>
      <c r="C181" s="191">
        <v>20</v>
      </c>
      <c r="D181" s="177">
        <f t="shared" si="11"/>
        <v>840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30</v>
      </c>
      <c r="B182" s="179">
        <f>'Données projet'!D170</f>
        <v>42</v>
      </c>
      <c r="C182" s="191">
        <v>20</v>
      </c>
      <c r="D182" s="177">
        <f t="shared" si="11"/>
        <v>840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35</v>
      </c>
      <c r="B183" s="179">
        <f>'Données projet'!D171</f>
        <v>42</v>
      </c>
      <c r="C183" s="191">
        <v>55</v>
      </c>
      <c r="D183" s="177">
        <f t="shared" si="11"/>
        <v>2310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40</v>
      </c>
      <c r="B184" s="179">
        <f>'Données projet'!D172</f>
        <v>40</v>
      </c>
      <c r="C184" s="191">
        <v>55</v>
      </c>
      <c r="D184" s="177">
        <f t="shared" si="11"/>
        <v>2200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45</v>
      </c>
      <c r="B185" s="179">
        <f>'Données projet'!D173</f>
        <v>26</v>
      </c>
      <c r="C185" s="191">
        <v>55</v>
      </c>
      <c r="D185" s="177">
        <f t="shared" si="11"/>
        <v>1430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50</v>
      </c>
      <c r="B186" s="179">
        <f>'Données projet'!D174</f>
        <v>21</v>
      </c>
      <c r="C186" s="191">
        <v>55</v>
      </c>
      <c r="D186" s="177">
        <f t="shared" si="11"/>
        <v>1155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55</v>
      </c>
      <c r="B187" s="179">
        <f>'Données projet'!D175</f>
        <v>18</v>
      </c>
      <c r="C187" s="191">
        <v>55</v>
      </c>
      <c r="D187" s="177">
        <f t="shared" si="11"/>
        <v>990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60</v>
      </c>
      <c r="B188" s="179">
        <f>'Données projet'!D176</f>
        <v>17</v>
      </c>
      <c r="C188" s="191">
        <v>55</v>
      </c>
      <c r="D188" s="177">
        <f t="shared" si="11"/>
        <v>935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65</v>
      </c>
      <c r="B189" s="179">
        <f>'Données projet'!D177</f>
        <v>16</v>
      </c>
      <c r="C189" s="191">
        <v>55</v>
      </c>
      <c r="D189" s="177">
        <f t="shared" si="11"/>
        <v>880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70</v>
      </c>
      <c r="B190" s="179">
        <f>'Données projet'!D178</f>
        <v>15</v>
      </c>
      <c r="C190" s="191">
        <v>55</v>
      </c>
      <c r="D190" s="177">
        <f t="shared" si="11"/>
        <v>825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75</v>
      </c>
      <c r="B191" s="179">
        <f>'Données projet'!D179</f>
        <v>14</v>
      </c>
      <c r="C191" s="191">
        <v>55</v>
      </c>
      <c r="D191" s="177">
        <f t="shared" si="11"/>
        <v>770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80</v>
      </c>
      <c r="B192" s="179">
        <f>'Données projet'!D180</f>
        <v>13</v>
      </c>
      <c r="C192" s="191">
        <v>55</v>
      </c>
      <c r="D192" s="177">
        <f t="shared" si="11"/>
        <v>715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>Douglas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2073.89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17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18</v>
      </c>
      <c r="B210" s="179">
        <f>'Données projet'!D193</f>
        <v>74.819999999999993</v>
      </c>
      <c r="C210" s="191">
        <v>20</v>
      </c>
      <c r="D210" s="177">
        <f t="shared" ref="D210:D228" si="12">B210*C210</f>
        <v>1496.3999999999999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24</v>
      </c>
      <c r="B211" s="179">
        <f>'Données projet'!D194</f>
        <v>51.39</v>
      </c>
      <c r="C211" s="191">
        <v>20</v>
      </c>
      <c r="D211" s="177">
        <f t="shared" si="12"/>
        <v>1027.8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30</v>
      </c>
      <c r="B212" s="179">
        <f>'Données projet'!D195</f>
        <v>80.97</v>
      </c>
      <c r="C212" s="191">
        <v>20</v>
      </c>
      <c r="D212" s="177">
        <f t="shared" si="12"/>
        <v>1619.4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36</v>
      </c>
      <c r="B213" s="179">
        <f>'Données projet'!D196</f>
        <v>85.88</v>
      </c>
      <c r="C213" s="191">
        <v>72</v>
      </c>
      <c r="D213" s="177">
        <f t="shared" si="12"/>
        <v>6183.36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42</v>
      </c>
      <c r="B214" s="179">
        <f>'Données projet'!D197</f>
        <v>91.25</v>
      </c>
      <c r="C214" s="191">
        <v>72</v>
      </c>
      <c r="D214" s="177">
        <f t="shared" si="12"/>
        <v>6570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48</v>
      </c>
      <c r="B215" s="179">
        <f>'Données projet'!D198</f>
        <v>101.34</v>
      </c>
      <c r="C215" s="191">
        <v>72</v>
      </c>
      <c r="D215" s="177">
        <f t="shared" si="12"/>
        <v>7296.4800000000005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54</v>
      </c>
      <c r="B216" s="179">
        <f>'Données projet'!D199</f>
        <v>707.75</v>
      </c>
      <c r="C216" s="191">
        <v>72</v>
      </c>
      <c r="D216" s="177">
        <f t="shared" si="12"/>
        <v>50958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>Peuplier Robusta</v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>
        <v>2331.56</v>
      </c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4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9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14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19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24</v>
      </c>
      <c r="B244" s="179">
        <f>'Données projet'!D222</f>
        <v>319.8717949</v>
      </c>
      <c r="C244" s="191">
        <v>58</v>
      </c>
      <c r="D244" s="177">
        <f t="shared" si="13"/>
        <v>18552.564104199999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2025-01-07T11:38:07Z</dcterms:modified>
</cp:coreProperties>
</file>