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PDLB\ZA - MULSANE 72 - COTTEREAU\dossier déposé le 03 10 2024\"/>
    </mc:Choice>
  </mc:AlternateContent>
  <xr:revisionPtr revIDLastSave="0" documentId="13_ncr:1_{F17B8847-11D0-4F1F-A67A-97C1E0B0A9CB}" xr6:coauthVersionLast="36" xr6:coauthVersionMax="36" xr10:uidLastSave="{00000000-0000-0000-0000-000000000000}"/>
  <bookViews>
    <workbookView xWindow="0" yWindow="0" windowWidth="21576" windowHeight="9336" tabRatio="866" activeTab="6" xr2:uid="{00000000-000D-0000-FFFF-FFFF00000000}"/>
  </bookViews>
  <sheets>
    <sheet name="Accueil" sheetId="5" r:id="rId1"/>
    <sheet name="Données projet" sheetId="1" r:id="rId2"/>
    <sheet name="Calculateur" sheetId="2" state="hidden" r:id="rId3"/>
    <sheet name="Paramètres" sheetId="3" state="hidden" r:id="rId4"/>
    <sheet name="Scénario référence" sheetId="7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<sst xmlns="http://schemas.openxmlformats.org/spreadsheetml/2006/main" count="1168" uniqueCount="325">
  <si>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</si>
  <si>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</si>
  <si>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</si>
  <si>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</si>
  <si>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</si>
  <si>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</si>
  <si>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</si>
  <si>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</si>
  <si>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</si>
  <si>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</si>
  <si>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</si>
  <si>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</si>
  <si>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</si>
  <si>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</si>
  <si>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</si>
  <si>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</si>
  <si>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</si>
  <si>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</si>
  <si>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</si>
  <si>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</si>
  <si>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</si>
  <si>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</si>
  <si>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</si>
  <si>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</si>
  <si>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</si>
  <si>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</si>
  <si>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</si>
  <si>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</si>
  <si>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</si>
  <si>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</si>
  <si>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</si>
  <si>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</si>
  <si>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</si>
  <si>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</si>
  <si>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</si>
  <si>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</si>
  <si>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</si>
  <si>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</si>
  <si>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</si>
  <si>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</si>
  <si>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</si>
  <si>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</si>
  <si>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</si>
  <si>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</si>
  <si>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</si>
  <si>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</si>
  <si>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</si>
  <si>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</si>
  <si>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</si>
  <si>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</si>
  <si>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</si>
  <si>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</si>
  <si>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</si>
  <si>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</si>
  <si>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</si>
  <si>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</si>
  <si>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</si>
  <si>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</si>
  <si>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</si>
  <si>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</si>
  <si>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</si>
  <si>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</si>
  <si>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</si>
  <si>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</si>
  <si>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</si>
  <si>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</si>
  <si>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</si>
  <si>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</si>
  <si>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</si>
  <si>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</si>
  <si>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</si>
  <si>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</si>
  <si>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</si>
  <si>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</si>
  <si>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</si>
  <si>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</si>
  <si>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</si>
  <si>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</si>
  <si>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</si>
  <si>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</si>
  <si>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</si>
  <si>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</si>
  <si>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</si>
  <si>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</si>
  <si>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</si>
  <si>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</si>
  <si>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</si>
  <si>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</si>
  <si>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</si>
  <si>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</si>
  <si>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</si>
  <si>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</si>
  <si>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</si>
  <si>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</si>
  <si>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</si>
  <si>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</si>
  <si>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</si>
  <si>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</si>
  <si>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</si>
  <si>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</si>
  <si>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</si>
  <si>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</si>
  <si>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</si>
  <si>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</si>
  <si>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</si>
  <si>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</si>
  <si>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</si>
  <si>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</si>
  <si>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</si>
  <si>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</si>
  <si>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</si>
  <si>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</si>
  <si>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</si>
  <si>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</si>
  <si>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</si>
  <si>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</si>
  <si>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</si>
  <si>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</si>
  <si>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</si>
  <si>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</si>
  <si>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</si>
  <si>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</si>
  <si>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</si>
  <si>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</si>
  <si>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</si>
  <si>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</si>
  <si>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</si>
  <si>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</si>
  <si>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</si>
  <si>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</si>
  <si>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</si>
  <si>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</si>
  <si>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</si>
  <si>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</si>
  <si>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</si>
  <si>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</si>
  <si>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</si>
  <si>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</si>
  <si>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</si>
  <si>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</si>
  <si>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</si>
  <si>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</si>
  <si>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</si>
  <si>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</si>
  <si>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</si>
  <si>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</si>
  <si>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</si>
  <si>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</si>
  <si>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</si>
  <si>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</si>
  <si>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</si>
  <si>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</si>
  <si>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</si>
  <si>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</si>
  <si>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</si>
  <si>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</si>
  <si>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</si>
  <si>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</si>
  <si>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</si>
  <si>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</si>
  <si>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</si>
  <si>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</si>
  <si>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</si>
  <si>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</si>
  <si>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</si>
  <si>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</si>
  <si>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</si>
  <si>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</si>
  <si>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</si>
  <si>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</si>
  <si>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</si>
  <si>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</si>
  <si>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</si>
  <si>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</si>
  <si>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</si>
  <si>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</si>
  <si>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</si>
  <si>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</si>
  <si>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</si>
  <si>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</si>
  <si>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</si>
  <si>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</si>
  <si>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</si>
  <si>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</si>
  <si>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</si>
  <si>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</si>
  <si>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</si>
  <si>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</si>
  <si>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</si>
  <si>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</si>
  <si>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</si>
  <si>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</si>
  <si>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</si>
  <si>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</si>
  <si>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</si>
  <si>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</si>
  <si>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</si>
  <si>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</si>
  <si>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</si>
  <si>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</si>
  <si>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</si>
  <si>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</si>
  <si>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</si>
  <si>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</si>
  <si>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</si>
  <si>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</si>
  <si>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</si>
  <si>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</si>
  <si>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</si>
  <si>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</si>
  <si>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</si>
  <si>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</si>
  <si>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</si>
  <si>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</si>
  <si>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</si>
  <si>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</si>
  <si>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</si>
  <si>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</si>
  <si>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</si>
  <si>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</si>
  <si>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</si>
  <si>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</si>
  <si>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</si>
  <si>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</si>
  <si>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</si>
  <si>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</si>
  <si>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</si>
  <si>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</si>
  <si>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</si>
  <si>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</si>
  <si>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</si>
  <si>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</si>
  <si>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</si>
  <si>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</si>
  <si>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</si>
  <si>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</si>
  <si>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</si>
  <si>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</si>
  <si>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</si>
  <si>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</si>
  <si>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</si>
  <si>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</si>
  <si>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</si>
  <si>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</si>
  <si>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</si>
  <si>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</si>
  <si>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</si>
  <si>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</si>
  <si>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</si>
  <si>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</si>
  <si>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</si>
  <si>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</si>
  <si>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</si>
  <si>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</si>
  <si>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</si>
  <si>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</si>
  <si>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</si>
  <si>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</si>
  <si>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</si>
  <si>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</si>
  <si>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</si>
  <si>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</si>
  <si>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</si>
  <si>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</si>
  <si>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</si>
  <si>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</si>
  <si>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</si>
  <si>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</si>
  <si>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</si>
  <si>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</si>
  <si>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</si>
  <si>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</si>
  <si>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</si>
  <si>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</si>
  <si>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</si>
  <si>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</si>
  <si>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</si>
  <si>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</si>
  <si>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</si>
  <si>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</si>
  <si>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</si>
  <si>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</si>
  <si>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</si>
  <si>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</si>
  <si>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</si>
  <si>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</si>
  <si>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</si>
  <si>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</si>
  <si>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</si>
  <si>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</si>
  <si>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</si>
  <si>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</si>
  <si>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</si>
  <si>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</si>
  <si>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</si>
  <si>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</si>
  <si>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</si>
  <si>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</si>
  <si>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</si>
  <si>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</si>
  <si>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</si>
  <si>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</si>
  <si>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</si>
  <si>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</si>
  <si>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</si>
  <si>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</si>
  <si>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</si>
  <si>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</si>
  <si>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</si>
  <si>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</si>
  <si>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</si>
  <si>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</si>
  <si>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</si>
  <si>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</si>
  <si>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</si>
  <si>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</si>
  <si>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</si>
  <si>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</si>
  <si>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</si>
  <si>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</si>
  <si>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</si>
  <si>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</si>
  <si>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</si>
  <si>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</si>
  <si>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pin maritime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</si>
</sst>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2.1351543089605536</c:v>
                </c:pt>
                <c:pt idx="2">
                  <c:v>2.9400965887437809</c:v>
                </c:pt>
                <c:pt idx="3">
                  <c:v>4.0497962162231431</c:v>
                </c:pt>
                <c:pt idx="4">
                  <c:v>5.5800993020168193</c:v>
                </c:pt>
                <c:pt idx="5">
                  <c:v>7.6910522052796955</c:v>
                </c:pt>
                <c:pt idx="6">
                  <c:v>10.603823838311754</c:v>
                </c:pt>
                <c:pt idx="7">
                  <c:v>14.624127196100055</c:v>
                </c:pt>
                <c:pt idx="8">
                  <c:v>20.174643388865338</c:v>
                </c:pt>
                <c:pt idx="9">
                  <c:v>27.839918139949148</c:v>
                </c:pt>
                <c:pt idx="10">
                  <c:v>38.428541572191371</c:v>
                </c:pt>
                <c:pt idx="11">
                  <c:v>53.059282280913983</c:v>
                </c:pt>
                <c:pt idx="12">
                  <c:v>73.28042772070998</c:v>
                </c:pt>
                <c:pt idx="13">
                  <c:v>101.2351647140362</c:v>
                </c:pt>
                <c:pt idx="14">
                  <c:v>104.08100470949104</c:v>
                </c:pt>
                <c:pt idx="15">
                  <c:v>126.56525127580693</c:v>
                </c:pt>
                <c:pt idx="16">
                  <c:v>148.95241602484973</c:v>
                </c:pt>
                <c:pt idx="17">
                  <c:v>171.25918074522826</c:v>
                </c:pt>
                <c:pt idx="18">
                  <c:v>193.49750480852299</c:v>
                </c:pt>
                <c:pt idx="19">
                  <c:v>215.67636522938469</c:v>
                </c:pt>
                <c:pt idx="20">
                  <c:v>185.30042247535178</c:v>
                </c:pt>
                <c:pt idx="21">
                  <c:v>206.63925413557971</c:v>
                </c:pt>
                <c:pt idx="22">
                  <c:v>227.92715942733059</c:v>
                </c:pt>
                <c:pt idx="23">
                  <c:v>249.16956379358496</c:v>
                </c:pt>
                <c:pt idx="24">
                  <c:v>270.37089120353011</c:v>
                </c:pt>
                <c:pt idx="25">
                  <c:v>291.53481477536712</c:v>
                </c:pt>
                <c:pt idx="26">
                  <c:v>239.90544326410898</c:v>
                </c:pt>
                <c:pt idx="27">
                  <c:v>257.6548036297558</c:v>
                </c:pt>
                <c:pt idx="28">
                  <c:v>275.37652518894964</c:v>
                </c:pt>
                <c:pt idx="29">
                  <c:v>293.0726366827804</c:v>
                </c:pt>
                <c:pt idx="30">
                  <c:v>310.74490180919639</c:v>
                </c:pt>
                <c:pt idx="31">
                  <c:v>326.89289569121826</c:v>
                </c:pt>
                <c:pt idx="32">
                  <c:v>343.02327921316777</c:v>
                </c:pt>
                <c:pt idx="33">
                  <c:v>359.13699693842636</c:v>
                </c:pt>
                <c:pt idx="34">
                  <c:v>375.23490175863373</c:v>
                </c:pt>
                <c:pt idx="35">
                  <c:v>391.31776742377127</c:v>
                </c:pt>
                <c:pt idx="36">
                  <c:v>407.38629890446555</c:v>
                </c:pt>
                <c:pt idx="37">
                  <c:v>423.44114103397595</c:v>
                </c:pt>
                <c:pt idx="38">
                  <c:v>439.48288577116256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3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3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3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3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3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3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3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3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3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3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3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3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3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3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3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3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3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3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8" zoomScale="90" zoomScaleNormal="90" workbookViewId="0">
      <selection activeCell="D22" sqref="D22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8" t="s">
        <v>190</v>
      </c>
      <c r="D1" s="298"/>
      <c r="E1" s="29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5" t="s">
        <v>231</v>
      </c>
      <c r="B5" s="305"/>
      <c r="C5" s="26">
        <v>2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36</v>
      </c>
      <c r="C9" s="35">
        <v>1</v>
      </c>
      <c r="D9" s="36">
        <f t="shared" ref="D9:D18" si="0">C9*$C$5</f>
        <v>2</v>
      </c>
      <c r="E9" s="37">
        <v>38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1</v>
      </c>
      <c r="D19" s="41">
        <f>SUM(D9:D18)</f>
        <v>2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13</v>
      </c>
      <c r="B36" s="63">
        <v>75</v>
      </c>
      <c r="C36" s="63">
        <v>1</v>
      </c>
      <c r="D36" s="63">
        <v>15</v>
      </c>
      <c r="E36" s="54"/>
      <c r="F36" s="54"/>
      <c r="G36" s="54">
        <v>1</v>
      </c>
      <c r="H36" s="54"/>
      <c r="I36" s="52">
        <f>IFERROR(B36/A36,"")</f>
        <v>5.7692307692307692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19</v>
      </c>
      <c r="B37" s="63">
        <v>163</v>
      </c>
      <c r="C37" s="63">
        <v>2</v>
      </c>
      <c r="D37" s="63">
        <v>40</v>
      </c>
      <c r="E37" s="54">
        <v>0.3</v>
      </c>
      <c r="F37" s="292"/>
      <c r="G37" s="54">
        <v>0.7</v>
      </c>
      <c r="H37" s="54"/>
      <c r="I37" s="56">
        <f t="shared" ref="I37:I55" si="1">IF(A37&lt;&gt;0,(B37-(B36-D36))/(A37-A36),"")</f>
        <v>17.166666666666668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25</v>
      </c>
      <c r="B38" s="63">
        <v>222</v>
      </c>
      <c r="C38" s="63">
        <v>3</v>
      </c>
      <c r="D38" s="63">
        <v>54</v>
      </c>
      <c r="E38" s="54">
        <v>0.4</v>
      </c>
      <c r="F38" s="54">
        <v>0.2</v>
      </c>
      <c r="G38" s="54">
        <v>0.4</v>
      </c>
      <c r="H38" s="54"/>
      <c r="I38" s="56">
        <f t="shared" si="1"/>
        <v>16.5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30</v>
      </c>
      <c r="B39" s="63">
        <v>237</v>
      </c>
      <c r="C39" s="63">
        <v>4</v>
      </c>
      <c r="D39" s="63">
        <v>0</v>
      </c>
      <c r="E39" s="54">
        <v>0.4</v>
      </c>
      <c r="F39" s="54">
        <v>0.2</v>
      </c>
      <c r="G39" s="54">
        <v>0.4</v>
      </c>
      <c r="H39" s="54"/>
      <c r="I39" s="52">
        <f t="shared" si="1"/>
        <v>13.8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38</v>
      </c>
      <c r="B40" s="63">
        <v>338</v>
      </c>
      <c r="C40" s="63">
        <v>5</v>
      </c>
      <c r="D40" s="63">
        <v>338</v>
      </c>
      <c r="E40" s="54">
        <v>0.7</v>
      </c>
      <c r="F40" s="54"/>
      <c r="G40" s="54">
        <v>0.3</v>
      </c>
      <c r="H40" s="54"/>
      <c r="I40" s="52">
        <f t="shared" si="1"/>
        <v>12.625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1" t="s">
        <v>176</v>
      </c>
      <c r="C1" s="312"/>
      <c r="D1" s="312"/>
      <c r="E1" s="312"/>
      <c r="F1" s="312"/>
      <c r="G1" s="312"/>
      <c r="H1" s="313"/>
      <c r="I1" s="308" t="str">
        <f>IF('Données projet'!$B$9="","",'Données projet'!$B$9)</f>
        <v>Pin maritime</v>
      </c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  <c r="U1" s="309"/>
      <c r="V1" s="309"/>
      <c r="W1" s="309"/>
      <c r="X1" s="309"/>
      <c r="Y1" s="309"/>
      <c r="Z1" s="309"/>
      <c r="AA1" s="309"/>
      <c r="AB1" s="309"/>
      <c r="AC1" s="310"/>
      <c r="AD1" s="309" t="str">
        <f>IF('Données projet'!$B$10="","",'Données projet'!$B$10)</f>
        <v/>
      </c>
      <c r="AE1" s="309"/>
      <c r="AF1" s="309"/>
      <c r="AG1" s="309"/>
      <c r="AH1" s="309"/>
      <c r="AI1" s="309"/>
      <c r="AJ1" s="309"/>
      <c r="AK1" s="309"/>
      <c r="AL1" s="309"/>
      <c r="AM1" s="309"/>
      <c r="AN1" s="309"/>
      <c r="AO1" s="309"/>
      <c r="AP1" s="309"/>
      <c r="AQ1" s="309"/>
      <c r="AR1" s="309"/>
      <c r="AS1" s="309"/>
      <c r="AT1" s="309"/>
      <c r="AU1" s="309"/>
      <c r="AV1" s="309"/>
      <c r="AW1" s="309"/>
      <c r="AX1" s="310"/>
      <c r="AY1" s="308" t="str">
        <f>IF('Données projet'!$B$11="","",'Données projet'!$B$11)</f>
        <v/>
      </c>
      <c r="AZ1" s="309"/>
      <c r="BA1" s="309"/>
      <c r="BB1" s="309"/>
      <c r="BC1" s="309"/>
      <c r="BD1" s="309"/>
      <c r="BE1" s="309"/>
      <c r="BF1" s="309"/>
      <c r="BG1" s="309"/>
      <c r="BH1" s="309"/>
      <c r="BI1" s="309"/>
      <c r="BJ1" s="309"/>
      <c r="BK1" s="309"/>
      <c r="BL1" s="309"/>
      <c r="BM1" s="309"/>
      <c r="BN1" s="309"/>
      <c r="BO1" s="309"/>
      <c r="BP1" s="309"/>
      <c r="BQ1" s="309"/>
      <c r="BR1" s="309"/>
      <c r="BS1" s="310"/>
      <c r="BT1" s="308" t="str">
        <f>IF('Données projet'!$B$12="","",'Données projet'!$B$12)</f>
        <v/>
      </c>
      <c r="BU1" s="309"/>
      <c r="BV1" s="309"/>
      <c r="BW1" s="309"/>
      <c r="BX1" s="309"/>
      <c r="BY1" s="309"/>
      <c r="BZ1" s="309"/>
      <c r="CA1" s="309"/>
      <c r="CB1" s="309"/>
      <c r="CC1" s="309"/>
      <c r="CD1" s="309"/>
      <c r="CE1" s="309"/>
      <c r="CF1" s="309"/>
      <c r="CG1" s="309"/>
      <c r="CH1" s="309"/>
      <c r="CI1" s="309"/>
      <c r="CJ1" s="309"/>
      <c r="CK1" s="309"/>
      <c r="CL1" s="309"/>
      <c r="CM1" s="309"/>
      <c r="CN1" s="310"/>
      <c r="CO1" s="308" t="str">
        <f>IF('Données projet'!$B$13="","",'Données projet'!$B$13)</f>
        <v/>
      </c>
      <c r="CP1" s="309"/>
      <c r="CQ1" s="309"/>
      <c r="CR1" s="309"/>
      <c r="CS1" s="309"/>
      <c r="CT1" s="309"/>
      <c r="CU1" s="309"/>
      <c r="CV1" s="309"/>
      <c r="CW1" s="309"/>
      <c r="CX1" s="309"/>
      <c r="CY1" s="309"/>
      <c r="CZ1" s="309"/>
      <c r="DA1" s="309"/>
      <c r="DB1" s="309"/>
      <c r="DC1" s="309"/>
      <c r="DD1" s="309"/>
      <c r="DE1" s="309"/>
      <c r="DF1" s="309"/>
      <c r="DG1" s="309"/>
      <c r="DH1" s="309"/>
      <c r="DI1" s="310"/>
      <c r="DJ1" s="308" t="str">
        <f>IF('Données projet'!$B$14="","",'Données projet'!$B$14)</f>
        <v/>
      </c>
      <c r="DK1" s="309"/>
      <c r="DL1" s="309"/>
      <c r="DM1" s="309"/>
      <c r="DN1" s="309"/>
      <c r="DO1" s="309"/>
      <c r="DP1" s="309"/>
      <c r="DQ1" s="309"/>
      <c r="DR1" s="309"/>
      <c r="DS1" s="309"/>
      <c r="DT1" s="309"/>
      <c r="DU1" s="309"/>
      <c r="DV1" s="309"/>
      <c r="DW1" s="309"/>
      <c r="DX1" s="309"/>
      <c r="DY1" s="309"/>
      <c r="DZ1" s="309"/>
      <c r="EA1" s="309"/>
      <c r="EB1" s="309"/>
      <c r="EC1" s="309"/>
      <c r="ED1" s="310"/>
      <c r="EE1" s="308" t="str">
        <f>IF('Données projet'!$B$15="","",'Données projet'!$B$15)</f>
        <v/>
      </c>
      <c r="EF1" s="309"/>
      <c r="EG1" s="309"/>
      <c r="EH1" s="309"/>
      <c r="EI1" s="309"/>
      <c r="EJ1" s="309"/>
      <c r="EK1" s="309"/>
      <c r="EL1" s="309"/>
      <c r="EM1" s="309"/>
      <c r="EN1" s="309"/>
      <c r="EO1" s="309"/>
      <c r="EP1" s="309"/>
      <c r="EQ1" s="309"/>
      <c r="ER1" s="309"/>
      <c r="ES1" s="309"/>
      <c r="ET1" s="309"/>
      <c r="EU1" s="309"/>
      <c r="EV1" s="309"/>
      <c r="EW1" s="309"/>
      <c r="EX1" s="309"/>
      <c r="EY1" s="310"/>
      <c r="EZ1" s="308" t="str">
        <f>IF('Données projet'!$B$16="","",'Données projet'!$B$16)</f>
        <v/>
      </c>
      <c r="FA1" s="309"/>
      <c r="FB1" s="309"/>
      <c r="FC1" s="309"/>
      <c r="FD1" s="309"/>
      <c r="FE1" s="309"/>
      <c r="FF1" s="309"/>
      <c r="FG1" s="309"/>
      <c r="FH1" s="309"/>
      <c r="FI1" s="309"/>
      <c r="FJ1" s="309"/>
      <c r="FK1" s="309"/>
      <c r="FL1" s="309"/>
      <c r="FM1" s="309"/>
      <c r="FN1" s="309"/>
      <c r="FO1" s="309"/>
      <c r="FP1" s="309"/>
      <c r="FQ1" s="309"/>
      <c r="FR1" s="309"/>
      <c r="FS1" s="309"/>
      <c r="FT1" s="310"/>
      <c r="FU1" s="308" t="str">
        <f>IF('Données projet'!$B$17="","",'Données projet'!$B$17)</f>
        <v/>
      </c>
      <c r="FV1" s="309"/>
      <c r="FW1" s="309"/>
      <c r="FX1" s="309"/>
      <c r="FY1" s="309"/>
      <c r="FZ1" s="309"/>
      <c r="GA1" s="309"/>
      <c r="GB1" s="309"/>
      <c r="GC1" s="309"/>
      <c r="GD1" s="309"/>
      <c r="GE1" s="309"/>
      <c r="GF1" s="309"/>
      <c r="GG1" s="309"/>
      <c r="GH1" s="309"/>
      <c r="GI1" s="309"/>
      <c r="GJ1" s="309"/>
      <c r="GK1" s="309"/>
      <c r="GL1" s="309"/>
      <c r="GM1" s="309"/>
      <c r="GN1" s="309"/>
      <c r="GO1" s="310"/>
      <c r="GP1" s="308" t="str">
        <f>IF('Données projet'!$B$18="","",'Données projet'!$B$18)</f>
        <v/>
      </c>
      <c r="GQ1" s="309"/>
      <c r="GR1" s="309"/>
      <c r="GS1" s="309"/>
      <c r="GT1" s="309"/>
      <c r="GU1" s="309"/>
      <c r="GV1" s="309"/>
      <c r="GW1" s="309"/>
      <c r="GX1" s="309"/>
      <c r="GY1" s="309"/>
      <c r="GZ1" s="309"/>
      <c r="HA1" s="309"/>
      <c r="HB1" s="309"/>
      <c r="HC1" s="309"/>
      <c r="HD1" s="309"/>
      <c r="HE1" s="309"/>
      <c r="HF1" s="309"/>
      <c r="HG1" s="309"/>
      <c r="HH1" s="309"/>
      <c r="HI1" s="309"/>
      <c r="HJ1" s="310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157.98488572680344</v>
      </c>
      <c r="T3" s="62">
        <f>IF('Données projet'!E9&gt;30,$R$33-$H$33,LOOKUP('Données projet'!$E$9,$A$3:$A$203,R3:R203)-LOOKUP('Données projet'!$E$9,$A$3:$A$203,$H$3:$H$203))</f>
        <v>269.20989374735825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5.7692307692307692</v>
      </c>
      <c r="N4" s="14">
        <f>IF('Données projet'!$A$36&gt;35,N3+M4-V3,IF(A4&lt;'Données projet'!$A$36,$K$205^A4,IF(A4='Données projet'!$A$36,'Données projet'!$B$36,N3+M4-V3)))</f>
        <v>1.3939124009120489</v>
      </c>
      <c r="O4" s="14">
        <f>N4*VLOOKUP('Données projet'!$B$9,Paramètres!$A$1:$I$89,3,0)*VLOOKUP('Données projet'!$B$9,Paramètres!$A$1:$I$89,5,0)</f>
        <v>0.83355961574540538</v>
      </c>
      <c r="P4" s="14">
        <f>EXP(-1.0587+0.8836*LN(O4)+0.284)</f>
        <v>0.39236630327500827</v>
      </c>
      <c r="Q4" s="22">
        <f t="shared" ref="Q4:Q34" si="2">(O4+P4)*0.475*44/12</f>
        <v>2.1351543089605536</v>
      </c>
      <c r="R4" s="62">
        <f t="shared" si="0"/>
        <v>295.46848764229389</v>
      </c>
      <c r="S4" s="62">
        <f ca="1">AVERAGE(OFFSET($R$3,0,0,'Données projet'!$E$9+1,1))-AVERAGE(OFFSET($H$3,0,0,'Données projet'!$E$9+1,1))</f>
        <v>157.98488572680344</v>
      </c>
      <c r="T4" s="62">
        <f>$T$3</f>
        <v>269.20989374735825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5.7692307692307692</v>
      </c>
      <c r="N5" s="14">
        <f>IF('Données projet'!$A$36&gt;35,N4+M5-V4,IF(A5&lt;'Données projet'!$A$36,$K$205^A5,IF(A5='Données projet'!$A$36,'Données projet'!$B$36,N4+M5-V4)))</f>
        <v>1.9429917814163926</v>
      </c>
      <c r="O5" s="14">
        <f>N5*VLOOKUP('Données projet'!$B$9,Paramètres!$A$1:$I$89,3,0)*VLOOKUP('Données projet'!$B$9,Paramètres!$A$1:$I$89,5,0)</f>
        <v>1.1619090852870029</v>
      </c>
      <c r="P5" s="14">
        <f t="shared" ref="P5:P68" si="33">EXP(-1.0587+0.8836*LN(O5)+0.284)</f>
        <v>0.52618464987689018</v>
      </c>
      <c r="Q5" s="22">
        <f t="shared" si="2"/>
        <v>2.9400965887437809</v>
      </c>
      <c r="R5" s="62">
        <f t="shared" si="0"/>
        <v>296.27342992207707</v>
      </c>
      <c r="S5" s="62">
        <f ca="1">AVERAGE(OFFSET($R$3,0,0,'Données projet'!$E$9+1,1))-AVERAGE(OFFSET($H$3,0,0,'Données projet'!$E$9+1,1))</f>
        <v>157.98488572680344</v>
      </c>
      <c r="T5" s="62">
        <f t="shared" ref="T5:T68" si="34">$T$3</f>
        <v>269.20989374735825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5.7692307692307692</v>
      </c>
      <c r="N6" s="14">
        <f>IF('Données projet'!$A$36&gt;35,N5+M6-V5,IF(A6&lt;'Données projet'!$A$36,$K$205^A6,IF(A6='Données projet'!$A$36,'Données projet'!$B$36,N5+M6-V5)))</f>
        <v>2.7083603389865027</v>
      </c>
      <c r="O6" s="14">
        <f>N6*VLOOKUP('Données projet'!$B$9,Paramètres!$A$1:$I$89,3,0)*VLOOKUP('Données projet'!$B$9,Paramètres!$A$1:$I$89,5,0)</f>
        <v>1.6195994827139286</v>
      </c>
      <c r="P6" s="14">
        <f t="shared" si="33"/>
        <v>0.70564236392136903</v>
      </c>
      <c r="Q6" s="22">
        <f t="shared" si="2"/>
        <v>4.0497962162231431</v>
      </c>
      <c r="R6" s="62">
        <f t="shared" si="0"/>
        <v>297.38312954955643</v>
      </c>
      <c r="S6" s="62">
        <f ca="1">AVERAGE(OFFSET($R$3,0,0,'Données projet'!$E$9+1,1))-AVERAGE(OFFSET($H$3,0,0,'Données projet'!$E$9+1,1))</f>
        <v>157.98488572680344</v>
      </c>
      <c r="T6" s="62">
        <f t="shared" si="34"/>
        <v>269.20989374735825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5.7692307692307692</v>
      </c>
      <c r="N7" s="14">
        <f>IF('Données projet'!$A$36&gt;35,N6+M7-V6,IF(A7&lt;'Données projet'!$A$36,$K$205^A7,IF(A7='Données projet'!$A$36,'Données projet'!$B$36,N6+M7-V6)))</f>
        <v>3.775217062651647</v>
      </c>
      <c r="O7" s="14">
        <f>N7*VLOOKUP('Données projet'!$B$9,Paramètres!$A$1:$I$89,3,0)*VLOOKUP('Données projet'!$B$9,Paramètres!$A$1:$I$89,5,0)</f>
        <v>2.2575798034656849</v>
      </c>
      <c r="P7" s="14">
        <f t="shared" si="33"/>
        <v>0.94630496324253699</v>
      </c>
      <c r="Q7" s="22">
        <f t="shared" si="2"/>
        <v>5.5800993020168193</v>
      </c>
      <c r="R7" s="62">
        <f t="shared" si="0"/>
        <v>298.91343263535015</v>
      </c>
      <c r="S7" s="62">
        <f ca="1">AVERAGE(OFFSET($R$3,0,0,'Données projet'!$E$9+1,1))-AVERAGE(OFFSET($H$3,0,0,'Données projet'!$E$9+1,1))</f>
        <v>157.98488572680344</v>
      </c>
      <c r="T7" s="62">
        <f t="shared" si="34"/>
        <v>269.20989374735825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5.7692307692307692</v>
      </c>
      <c r="N8" s="14">
        <f>IF('Données projet'!$A$36&gt;35,N7+M8-V7,IF(A8&lt;'Données projet'!$A$36,$K$205^A8,IF(A8='Données projet'!$A$36,'Données projet'!$B$36,N7+M8-V7)))</f>
        <v>5.2623218797648903</v>
      </c>
      <c r="O8" s="14">
        <f>N8*VLOOKUP('Données projet'!$B$9,Paramètres!$A$1:$I$89,3,0)*VLOOKUP('Données projet'!$B$9,Paramètres!$A$1:$I$89,5,0)</f>
        <v>3.1468684840994046</v>
      </c>
      <c r="P8" s="14">
        <f t="shared" si="33"/>
        <v>1.2690466576879811</v>
      </c>
      <c r="Q8" s="22">
        <f t="shared" si="2"/>
        <v>7.6910522052796955</v>
      </c>
      <c r="R8" s="62">
        <f t="shared" si="0"/>
        <v>301.02438553861299</v>
      </c>
      <c r="S8" s="62">
        <f ca="1">AVERAGE(OFFSET($R$3,0,0,'Données projet'!$E$9+1,1))-AVERAGE(OFFSET($H$3,0,0,'Données projet'!$E$9+1,1))</f>
        <v>157.98488572680344</v>
      </c>
      <c r="T8" s="62">
        <f t="shared" si="34"/>
        <v>269.20989374735825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5.7692307692307692</v>
      </c>
      <c r="N9" s="14">
        <f>IF('Données projet'!$A$36&gt;35,N8+M9-V8,IF(A9&lt;'Données projet'!$A$36,$K$205^A9,IF(A9='Données projet'!$A$36,'Données projet'!$B$36,N8+M9-V8)))</f>
        <v>7.3352157257950852</v>
      </c>
      <c r="O9" s="14">
        <f>N9*VLOOKUP('Données projet'!$B$9,Paramètres!$A$1:$I$89,3,0)*VLOOKUP('Données projet'!$B$9,Paramètres!$A$1:$I$89,5,0)</f>
        <v>4.3864590040254612</v>
      </c>
      <c r="P9" s="14">
        <f t="shared" si="33"/>
        <v>1.7018609031391834</v>
      </c>
      <c r="Q9" s="22">
        <f t="shared" si="2"/>
        <v>10.603823838311754</v>
      </c>
      <c r="R9" s="62">
        <f t="shared" si="0"/>
        <v>303.93715717164508</v>
      </c>
      <c r="S9" s="62">
        <f ca="1">AVERAGE(OFFSET($R$3,0,0,'Données projet'!$E$9+1,1))-AVERAGE(OFFSET($H$3,0,0,'Données projet'!$E$9+1,1))</f>
        <v>157.98488572680344</v>
      </c>
      <c r="T9" s="62">
        <f t="shared" si="34"/>
        <v>269.20989374735825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5.7692307692307692</v>
      </c>
      <c r="N10" s="14">
        <f>IF('Données projet'!$A$36&gt;35,N9+M10-V9,IF(A10&lt;'Données projet'!$A$36,$K$205^A10,IF(A10='Données projet'!$A$36,'Données projet'!$B$36,N9+M10-V9)))</f>
        <v>10.224648163550844</v>
      </c>
      <c r="O10" s="14">
        <f>N10*VLOOKUP('Données projet'!$B$9,Paramètres!$A$1:$I$89,3,0)*VLOOKUP('Données projet'!$B$9,Paramètres!$A$1:$I$89,5,0)</f>
        <v>6.1143396018034055</v>
      </c>
      <c r="P10" s="14">
        <f t="shared" si="33"/>
        <v>2.2822884533736612</v>
      </c>
      <c r="Q10" s="22">
        <f t="shared" si="2"/>
        <v>14.624127196100055</v>
      </c>
      <c r="R10" s="62">
        <f t="shared" si="0"/>
        <v>307.95746052943338</v>
      </c>
      <c r="S10" s="62">
        <f ca="1">AVERAGE(OFFSET($R$3,0,0,'Données projet'!$E$9+1,1))-AVERAGE(OFFSET($H$3,0,0,'Données projet'!$E$9+1,1))</f>
        <v>157.98488572680344</v>
      </c>
      <c r="T10" s="62">
        <f t="shared" si="34"/>
        <v>269.20989374735825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5.7692307692307692</v>
      </c>
      <c r="N11" s="14">
        <f>IF('Données projet'!$A$36&gt;35,N10+M11-V10,IF(A11&lt;'Données projet'!$A$36,$K$205^A11,IF(A11='Données projet'!$A$36,'Données projet'!$B$36,N10+M11-V10)))</f>
        <v>14.252263870136129</v>
      </c>
      <c r="O11" s="14">
        <f>N11*VLOOKUP('Données projet'!$B$9,Paramètres!$A$1:$I$89,3,0)*VLOOKUP('Données projet'!$B$9,Paramètres!$A$1:$I$89,5,0)</f>
        <v>8.5228537943414064</v>
      </c>
      <c r="P11" s="14">
        <f t="shared" si="33"/>
        <v>3.0606735102702713</v>
      </c>
      <c r="Q11" s="22">
        <f t="shared" si="2"/>
        <v>20.174643388865338</v>
      </c>
      <c r="R11" s="62">
        <f t="shared" si="0"/>
        <v>313.50797672219863</v>
      </c>
      <c r="S11" s="62">
        <f ca="1">AVERAGE(OFFSET($R$3,0,0,'Données projet'!$E$9+1,1))-AVERAGE(OFFSET($H$3,0,0,'Données projet'!$E$9+1,1))</f>
        <v>157.98488572680344</v>
      </c>
      <c r="T11" s="62">
        <f t="shared" si="34"/>
        <v>269.20989374735825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5.7692307692307692</v>
      </c>
      <c r="N12" s="14">
        <f>IF('Données projet'!$A$36&gt;35,N11+M12-V11,IF(A12&lt;'Données projet'!$A$36,$K$205^A12,IF(A12='Données projet'!$A$36,'Données projet'!$B$36,N11+M12-V11)))</f>
        <v>19.866407349653503</v>
      </c>
      <c r="O12" s="14">
        <f>N12*VLOOKUP('Données projet'!$B$9,Paramètres!$A$1:$I$89,3,0)*VLOOKUP('Données projet'!$B$9,Paramètres!$A$1:$I$89,5,0)</f>
        <v>11.880111595092796</v>
      </c>
      <c r="P12" s="14">
        <f t="shared" si="33"/>
        <v>4.1045303991363813</v>
      </c>
      <c r="Q12" s="22">
        <f t="shared" si="2"/>
        <v>27.839918139949148</v>
      </c>
      <c r="R12" s="62">
        <f t="shared" si="0"/>
        <v>321.17325147328245</v>
      </c>
      <c r="S12" s="62">
        <f ca="1">AVERAGE(OFFSET($R$3,0,0,'Données projet'!$E$9+1,1))-AVERAGE(OFFSET($H$3,0,0,'Données projet'!$E$9+1,1))</f>
        <v>157.98488572680344</v>
      </c>
      <c r="T12" s="62">
        <f t="shared" si="34"/>
        <v>269.20989374735825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5.7692307692307692</v>
      </c>
      <c r="N13" s="14">
        <f>IF('Données projet'!$A$36&gt;35,N12+M13-V12,IF(A13&lt;'Données projet'!$A$36,$K$205^A13,IF(A13='Données projet'!$A$36,'Données projet'!$B$36,N12+M13-V12)))</f>
        <v>27.69203156625229</v>
      </c>
      <c r="O13" s="14">
        <f>N13*VLOOKUP('Données projet'!$B$9,Paramètres!$A$1:$I$89,3,0)*VLOOKUP('Données projet'!$B$9,Paramètres!$A$1:$I$89,5,0)</f>
        <v>16.559834876618869</v>
      </c>
      <c r="P13" s="14">
        <f t="shared" si="33"/>
        <v>5.5043995188977117</v>
      </c>
      <c r="Q13" s="22">
        <f t="shared" si="2"/>
        <v>38.428541572191371</v>
      </c>
      <c r="R13" s="62">
        <f t="shared" si="0"/>
        <v>331.76187490552468</v>
      </c>
      <c r="S13" s="62">
        <f ca="1">AVERAGE(OFFSET($R$3,0,0,'Données projet'!$E$9+1,1))-AVERAGE(OFFSET($H$3,0,0,'Données projet'!$E$9+1,1))</f>
        <v>157.98488572680344</v>
      </c>
      <c r="T13" s="62">
        <f t="shared" si="34"/>
        <v>269.20989374735825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5.7692307692307692</v>
      </c>
      <c r="N14" s="14">
        <f>IF('Données projet'!$A$36&gt;35,N13+M14-V13,IF(A14&lt;'Données projet'!$A$36,$K$205^A14,IF(A14='Données projet'!$A$36,'Données projet'!$B$36,N13+M14-V13)))</f>
        <v>38.600266206646971</v>
      </c>
      <c r="O14" s="14">
        <f>N14*VLOOKUP('Données projet'!$B$9,Paramètres!$A$1:$I$89,3,0)*VLOOKUP('Données projet'!$B$9,Paramètres!$A$1:$I$89,5,0)</f>
        <v>23.08295919157489</v>
      </c>
      <c r="P14" s="14">
        <f t="shared" si="33"/>
        <v>7.3817004912465372</v>
      </c>
      <c r="Q14" s="22">
        <f t="shared" si="2"/>
        <v>53.059282280913983</v>
      </c>
      <c r="R14" s="62">
        <f t="shared" si="0"/>
        <v>346.39261561424729</v>
      </c>
      <c r="S14" s="62">
        <f ca="1">AVERAGE(OFFSET($R$3,0,0,'Données projet'!$E$9+1,1))-AVERAGE(OFFSET($H$3,0,0,'Données projet'!$E$9+1,1))</f>
        <v>157.98488572680344</v>
      </c>
      <c r="T14" s="62">
        <f t="shared" si="34"/>
        <v>269.20989374735825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5.7692307692307692</v>
      </c>
      <c r="N15" s="14">
        <f>IF('Données projet'!$A$36&gt;35,N14+M15-V14,IF(A15&lt;'Données projet'!$A$36,$K$205^A15,IF(A15='Données projet'!$A$36,'Données projet'!$B$36,N14+M15-V14)))</f>
        <v>53.805389743951515</v>
      </c>
      <c r="O15" s="14">
        <f>N15*VLOOKUP('Données projet'!$B$9,Paramètres!$A$1:$I$89,3,0)*VLOOKUP('Données projet'!$B$9,Paramètres!$A$1:$I$89,5,0)</f>
        <v>32.175623066883006</v>
      </c>
      <c r="P15" s="14">
        <f t="shared" si="33"/>
        <v>9.8992636627112418</v>
      </c>
      <c r="Q15" s="22">
        <f t="shared" si="2"/>
        <v>73.28042772070998</v>
      </c>
      <c r="R15" s="62">
        <f t="shared" si="0"/>
        <v>366.61376105404327</v>
      </c>
      <c r="S15" s="62">
        <f ca="1">AVERAGE(OFFSET($R$3,0,0,'Données projet'!$E$9+1,1))-AVERAGE(OFFSET($H$3,0,0,'Données projet'!$E$9+1,1))</f>
        <v>157.98488572680344</v>
      </c>
      <c r="T15" s="62">
        <f t="shared" si="34"/>
        <v>269.20989374735825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>
        <f>VLOOKUP(A16,'Données projet'!$A$35:$I$55,2,0)</f>
        <v>75</v>
      </c>
      <c r="L16" s="13">
        <f>VLOOKUP(A16,'Données projet'!$A$35:$I$55,9,0)</f>
        <v>5.7692307692307692</v>
      </c>
      <c r="M16" s="13">
        <f t="array" ref="M16">INDEX(L:L,MIN(IF(ISNUMBER(L16:L212),ROW(L16:L212),"")))</f>
        <v>5.7692307692307692</v>
      </c>
      <c r="N16" s="14">
        <f>IF('Données projet'!$A$36&gt;35,N15+M16-V15,IF(A16&lt;'Données projet'!$A$36,$K$205^A16,IF(A16='Données projet'!$A$36,'Données projet'!$B$36,N15+M16-V15)))</f>
        <v>75</v>
      </c>
      <c r="O16" s="14">
        <f>N16*VLOOKUP('Données projet'!$B$9,Paramètres!$A$1:$I$89,3,0)*VLOOKUP('Données projet'!$B$9,Paramètres!$A$1:$I$89,5,0)</f>
        <v>44.85</v>
      </c>
      <c r="P16" s="14">
        <f t="shared" si="33"/>
        <v>13.275453424327006</v>
      </c>
      <c r="Q16" s="22">
        <f t="shared" si="2"/>
        <v>101.2351647140362</v>
      </c>
      <c r="R16" s="62">
        <f t="shared" si="0"/>
        <v>394.56849804736953</v>
      </c>
      <c r="S16" s="62">
        <f ca="1">AVERAGE(OFFSET($R$3,0,0,'Données projet'!$E$9+1,1))-AVERAGE(OFFSET($H$3,0,0,'Données projet'!$E$9+1,1))</f>
        <v>157.98488572680344</v>
      </c>
      <c r="T16" s="62">
        <f t="shared" si="34"/>
        <v>269.20989374735825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15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10.1561237088124</v>
      </c>
      <c r="AC16" s="24">
        <f t="shared" si="3"/>
        <v>10.1561237088124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17.166666666666668</v>
      </c>
      <c r="N17" s="14">
        <f>IF('Données projet'!$A$36&gt;35,N16+M17-V16,IF(A17&lt;'Données projet'!$A$36,$K$205^A17,IF(A17='Données projet'!$A$36,'Données projet'!$B$36,N16+M17-V16)))</f>
        <v>77.166666666666671</v>
      </c>
      <c r="O17" s="14">
        <f>N17*VLOOKUP('Données projet'!$B$9,Paramètres!$A$1:$I$89,3,0)*VLOOKUP('Données projet'!$B$9,Paramètres!$A$1:$I$89,5,0)</f>
        <v>46.145666666666671</v>
      </c>
      <c r="P17" s="14">
        <f t="shared" si="33"/>
        <v>13.613761874667908</v>
      </c>
      <c r="Q17" s="22">
        <f t="shared" si="2"/>
        <v>104.08100470949104</v>
      </c>
      <c r="R17" s="62">
        <f t="shared" si="0"/>
        <v>397.41433804282434</v>
      </c>
      <c r="S17" s="62">
        <f ca="1">AVERAGE(OFFSET($R$3,0,0,'Données projet'!$E$9+1,1))-AVERAGE(OFFSET($H$3,0,0,'Données projet'!$E$9+1,1))</f>
        <v>157.98488572680344</v>
      </c>
      <c r="T17" s="62">
        <f t="shared" si="34"/>
        <v>269.20989374735825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7.1814639450707176</v>
      </c>
      <c r="AC17" s="24">
        <f t="shared" si="3"/>
        <v>7.1814639450707176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17.166666666666668</v>
      </c>
      <c r="N18" s="14">
        <f>IF('Données projet'!$A$36&gt;35,N17+M18-V17,IF(A18&lt;'Données projet'!$A$36,$K$205^A18,IF(A18='Données projet'!$A$36,'Données projet'!$B$36,N17+M18-V17)))</f>
        <v>94.333333333333343</v>
      </c>
      <c r="O18" s="14">
        <f>N18*VLOOKUP('Données projet'!$B$9,Paramètres!$A$1:$I$89,3,0)*VLOOKUP('Données projet'!$B$9,Paramètres!$A$1:$I$89,5,0)</f>
        <v>56.411333333333339</v>
      </c>
      <c r="P18" s="14">
        <f t="shared" si="33"/>
        <v>16.257710461388346</v>
      </c>
      <c r="Q18" s="22">
        <f t="shared" si="2"/>
        <v>126.56525127580693</v>
      </c>
      <c r="R18" s="62">
        <f t="shared" si="0"/>
        <v>419.89858460914024</v>
      </c>
      <c r="S18" s="62">
        <f ca="1">AVERAGE(OFFSET($R$3,0,0,'Données projet'!$E$9+1,1))-AVERAGE(OFFSET($H$3,0,0,'Données projet'!$E$9+1,1))</f>
        <v>157.98488572680344</v>
      </c>
      <c r="T18" s="62">
        <f t="shared" si="34"/>
        <v>269.20989374735825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5.0780618544062008</v>
      </c>
      <c r="AC18" s="24">
        <f t="shared" si="3"/>
        <v>5.0780618544062008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17.166666666666668</v>
      </c>
      <c r="N19" s="14">
        <f>IF('Données projet'!$A$36&gt;35,N18+M19-V18,IF(A19&lt;'Données projet'!$A$36,$K$205^A19,IF(A19='Données projet'!$A$36,'Données projet'!$B$36,N18+M19-V18)))</f>
        <v>111.50000000000001</v>
      </c>
      <c r="O19" s="14">
        <f>N19*VLOOKUP('Données projet'!$B$9,Paramètres!$A$1:$I$89,3,0)*VLOOKUP('Données projet'!$B$9,Paramètres!$A$1:$I$89,5,0)</f>
        <v>66.677000000000007</v>
      </c>
      <c r="P19" s="14">
        <f t="shared" si="33"/>
        <v>18.845918291779732</v>
      </c>
      <c r="Q19" s="22">
        <f t="shared" si="2"/>
        <v>148.95241602484973</v>
      </c>
      <c r="R19" s="62">
        <f t="shared" si="0"/>
        <v>442.28574935818301</v>
      </c>
      <c r="S19" s="62">
        <f ca="1">AVERAGE(OFFSET($R$3,0,0,'Données projet'!$E$9+1,1))-AVERAGE(OFFSET($H$3,0,0,'Données projet'!$E$9+1,1))</f>
        <v>157.98488572680344</v>
      </c>
      <c r="T19" s="62">
        <f t="shared" si="34"/>
        <v>269.20989374735825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3.5907319725353593</v>
      </c>
      <c r="AC19" s="24">
        <f t="shared" si="3"/>
        <v>3.5907319725353593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17.166666666666668</v>
      </c>
      <c r="N20" s="14">
        <f>IF('Données projet'!$A$36&gt;35,N19+M20-V19,IF(A20&lt;'Données projet'!$A$36,$K$205^A20,IF(A20='Données projet'!$A$36,'Données projet'!$B$36,N19+M20-V19)))</f>
        <v>128.66666666666669</v>
      </c>
      <c r="O20" s="14">
        <f>N20*VLOOKUP('Données projet'!$B$9,Paramètres!$A$1:$I$89,3,0)*VLOOKUP('Données projet'!$B$9,Paramètres!$A$1:$I$89,5,0)</f>
        <v>76.942666666666682</v>
      </c>
      <c r="P20" s="14">
        <f t="shared" si="33"/>
        <v>21.387963426287346</v>
      </c>
      <c r="Q20" s="22">
        <f t="shared" si="2"/>
        <v>171.25918074522826</v>
      </c>
      <c r="R20" s="62">
        <f t="shared" si="0"/>
        <v>464.59251407856158</v>
      </c>
      <c r="S20" s="62">
        <f ca="1">AVERAGE(OFFSET($R$3,0,0,'Données projet'!$E$9+1,1))-AVERAGE(OFFSET($H$3,0,0,'Données projet'!$E$9+1,1))</f>
        <v>157.98488572680344</v>
      </c>
      <c r="T20" s="62">
        <f t="shared" si="34"/>
        <v>269.20989374735825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2.5390309272031004</v>
      </c>
      <c r="AC20" s="24">
        <f t="shared" si="3"/>
        <v>2.5390309272031004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17.166666666666668</v>
      </c>
      <c r="N21" s="14">
        <f>IF('Données projet'!$A$36&gt;35,N20+M21-V20,IF(A21&lt;'Données projet'!$A$36,$K$205^A21,IF(A21='Données projet'!$A$36,'Données projet'!$B$36,N20+M21-V20)))</f>
        <v>145.83333333333334</v>
      </c>
      <c r="O21" s="14">
        <f>N21*VLOOKUP('Données projet'!$B$9,Paramètres!$A$1:$I$89,3,0)*VLOOKUP('Données projet'!$B$9,Paramètres!$A$1:$I$89,5,0)</f>
        <v>87.208333333333343</v>
      </c>
      <c r="P21" s="14">
        <f t="shared" si="33"/>
        <v>23.890712489742075</v>
      </c>
      <c r="Q21" s="22">
        <f t="shared" si="2"/>
        <v>193.49750480852299</v>
      </c>
      <c r="R21" s="62">
        <f t="shared" si="0"/>
        <v>486.8308381418563</v>
      </c>
      <c r="S21" s="62">
        <f ca="1">AVERAGE(OFFSET($R$3,0,0,'Données projet'!$E$9+1,1))-AVERAGE(OFFSET($H$3,0,0,'Données projet'!$E$9+1,1))</f>
        <v>157.98488572680344</v>
      </c>
      <c r="T21" s="62">
        <f t="shared" si="34"/>
        <v>269.20989374735825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1.7953659862676796</v>
      </c>
      <c r="AC21" s="24">
        <f t="shared" si="3"/>
        <v>1.7953659862676796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>
        <f>VLOOKUP(A22,'Données projet'!$A$35:$I$55,2,0)</f>
        <v>163</v>
      </c>
      <c r="L22" s="13">
        <f>VLOOKUP(A22,'Données projet'!$A$35:$I$55,9,0)</f>
        <v>17.166666666666668</v>
      </c>
      <c r="M22" s="13">
        <f t="array" ref="M22">INDEX(L:L,MIN(IF(ISNUMBER(L22:L218),ROW(L22:L218),"")))</f>
        <v>17.166666666666668</v>
      </c>
      <c r="N22" s="14">
        <f>IF('Données projet'!$A$36&gt;35,N21+M22-V21,IF(A22&lt;'Données projet'!$A$36,$K$205^A22,IF(A22='Données projet'!$A$36,'Données projet'!$B$36,N21+M22-V21)))</f>
        <v>163</v>
      </c>
      <c r="O22" s="14">
        <f>N22*VLOOKUP('Données projet'!$B$9,Paramètres!$A$1:$I$89,3,0)*VLOOKUP('Données projet'!$B$9,Paramètres!$A$1:$I$89,5,0)</f>
        <v>97.474000000000004</v>
      </c>
      <c r="P22" s="14">
        <f t="shared" si="33"/>
        <v>26.359319748929014</v>
      </c>
      <c r="Q22" s="22">
        <f t="shared" si="2"/>
        <v>215.67636522938469</v>
      </c>
      <c r="R22" s="62">
        <f t="shared" si="0"/>
        <v>509.00969856271797</v>
      </c>
      <c r="S22" s="62">
        <f ca="1">AVERAGE(OFFSET($R$3,0,0,'Données projet'!$E$9+1,1))-AVERAGE(OFFSET($H$3,0,0,'Données projet'!$E$9+1,1))</f>
        <v>157.98488572680344</v>
      </c>
      <c r="T22" s="62">
        <f t="shared" si="34"/>
        <v>269.20989374735825</v>
      </c>
      <c r="U22" s="16">
        <f>IF(ISNA(VLOOKUP(A22,'Données projet'!$A$35:$I$55,3,0)),0,VLOOKUP(A22,'Données projet'!$A$35:$I$55,3,0))</f>
        <v>2</v>
      </c>
      <c r="V22" s="16">
        <f>IF(ISNA(VLOOKUP(A22,'Données projet'!$A$35:$I$55,4,0)),0,VLOOKUP(A22,'Données projet'!$A$35:$I$55,4,0))</f>
        <v>40</v>
      </c>
      <c r="W22" s="17">
        <f>IF(ISNA(VLOOKUP(A22,'Données projet'!$A$35:$I$55,5,0)),0%,VLOOKUP(A22,'Données projet'!$A$35:$I$55,5,0)*VLOOKUP('Données projet'!$B$9,Paramètres!$A$1:$I$89,7,0))</f>
        <v>0.13500000000000001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0.7</v>
      </c>
      <c r="Z22" s="23">
        <f>EXP(-LN(2)/35)*Z21+(1-EXP(-LN(2)/35))/(LN(2)/35)*V22*W22*VLOOKUP('Données projet'!$B$9,Paramètres!$A$1:$I$89,3,0)*0.475*44/12</f>
        <v>4.2837419395053642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20.227613053384697</v>
      </c>
      <c r="AC22" s="24">
        <f t="shared" si="3"/>
        <v>24.511354992890062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16.5</v>
      </c>
      <c r="N23" s="14">
        <f>IF('Données projet'!$A$36&gt;35,N22+M23-V22,IF(A23&lt;'Données projet'!$A$36,$K$205^A23,IF(A23='Données projet'!$A$36,'Données projet'!$B$36,N22+M23-V22)))</f>
        <v>139.5</v>
      </c>
      <c r="O23" s="14">
        <f>N23*VLOOKUP('Données projet'!$B$9,Paramètres!$A$1:$I$89,3,0)*VLOOKUP('Données projet'!$B$9,Paramètres!$A$1:$I$89,5,0)</f>
        <v>83.421000000000006</v>
      </c>
      <c r="P23" s="14">
        <f t="shared" si="33"/>
        <v>22.97158706718762</v>
      </c>
      <c r="Q23" s="22">
        <f t="shared" si="2"/>
        <v>185.30042247535178</v>
      </c>
      <c r="R23" s="62">
        <f t="shared" si="0"/>
        <v>478.63375580868512</v>
      </c>
      <c r="S23" s="62">
        <f ca="1">AVERAGE(OFFSET($R$3,0,0,'Données projet'!$E$9+1,1))-AVERAGE(OFFSET($H$3,0,0,'Données projet'!$E$9+1,1))</f>
        <v>157.98488572680344</v>
      </c>
      <c r="T23" s="62">
        <f t="shared" si="34"/>
        <v>269.20989374735825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4.1997403728962519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14.303082357265847</v>
      </c>
      <c r="AC23" s="24">
        <f t="shared" si="3"/>
        <v>18.502822730162098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16.5</v>
      </c>
      <c r="N24" s="14">
        <f>IF('Données projet'!$A$36&gt;35,N23+M24-V23,IF(A24&lt;'Données projet'!$A$36,$K$205^A24,IF(A24='Données projet'!$A$36,'Données projet'!$B$36,N23+M24-V23)))</f>
        <v>156</v>
      </c>
      <c r="O24" s="14">
        <f>N24*VLOOKUP('Données projet'!$B$9,Paramètres!$A$1:$I$89,3,0)*VLOOKUP('Données projet'!$B$9,Paramètres!$A$1:$I$89,5,0)</f>
        <v>93.288000000000011</v>
      </c>
      <c r="P24" s="14">
        <f t="shared" si="33"/>
        <v>25.356547829040977</v>
      </c>
      <c r="Q24" s="22">
        <f t="shared" si="2"/>
        <v>206.63925413557971</v>
      </c>
      <c r="R24" s="62">
        <f t="shared" si="0"/>
        <v>499.97258746891305</v>
      </c>
      <c r="S24" s="62">
        <f ca="1">AVERAGE(OFFSET($R$3,0,0,'Données projet'!$E$9+1,1))-AVERAGE(OFFSET($H$3,0,0,'Données projet'!$E$9+1,1))</f>
        <v>157.98488572680344</v>
      </c>
      <c r="T24" s="62">
        <f t="shared" si="34"/>
        <v>269.20989374735825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4.1173860257724479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10.11380652669235</v>
      </c>
      <c r="AC24" s="24">
        <f t="shared" si="3"/>
        <v>14.231192552464798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16.5</v>
      </c>
      <c r="N25" s="14">
        <f>IF('Données projet'!$A$36&gt;35,N24+M25-V24,IF(A25&lt;'Données projet'!$A$36,$K$205^A25,IF(A25='Données projet'!$A$36,'Données projet'!$B$36,N24+M25-V24)))</f>
        <v>172.5</v>
      </c>
      <c r="O25" s="14">
        <f>N25*VLOOKUP('Données projet'!$B$9,Paramètres!$A$1:$I$89,3,0)*VLOOKUP('Données projet'!$B$9,Paramètres!$A$1:$I$89,5,0)</f>
        <v>103.15500000000002</v>
      </c>
      <c r="P25" s="14">
        <f t="shared" si="33"/>
        <v>27.71226857071613</v>
      </c>
      <c r="Q25" s="22">
        <f t="shared" si="2"/>
        <v>227.92715942733059</v>
      </c>
      <c r="R25" s="62">
        <f t="shared" si="0"/>
        <v>521.26049276066396</v>
      </c>
      <c r="S25" s="62">
        <f ca="1">AVERAGE(OFFSET($R$3,0,0,'Données projet'!$E$9+1,1))-AVERAGE(OFFSET($H$3,0,0,'Données projet'!$E$9+1,1))</f>
        <v>157.98488572680344</v>
      </c>
      <c r="T25" s="62">
        <f t="shared" si="34"/>
        <v>269.20989374735825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4.03664659716455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7.1515411786329244</v>
      </c>
      <c r="AC25" s="24">
        <f t="shared" si="3"/>
        <v>11.188187775797473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16.5</v>
      </c>
      <c r="N26" s="14">
        <f>IF('Données projet'!$A$36&gt;35,N25+M26-V25,IF(A26&lt;'Données projet'!$A$36,$K$205^A26,IF(A26='Données projet'!$A$36,'Données projet'!$B$36,N25+M26-V25)))</f>
        <v>189</v>
      </c>
      <c r="O26" s="14">
        <f>N26*VLOOKUP('Données projet'!$B$9,Paramètres!$A$1:$I$89,3,0)*VLOOKUP('Données projet'!$B$9,Paramètres!$A$1:$I$89,5,0)</f>
        <v>113.02200000000001</v>
      </c>
      <c r="P26" s="14">
        <f t="shared" si="33"/>
        <v>30.041864379091852</v>
      </c>
      <c r="Q26" s="22">
        <f t="shared" si="2"/>
        <v>249.16956379358496</v>
      </c>
      <c r="R26" s="62">
        <f t="shared" si="0"/>
        <v>542.50289712691824</v>
      </c>
      <c r="S26" s="62">
        <f ca="1">AVERAGE(OFFSET($R$3,0,0,'Données projet'!$E$9+1,1))-AVERAGE(OFFSET($H$3,0,0,'Données projet'!$E$9+1,1))</f>
        <v>157.98488572680344</v>
      </c>
      <c r="T26" s="62">
        <f t="shared" si="34"/>
        <v>269.20989374735825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3.9574904195054641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5.0569032633461761</v>
      </c>
      <c r="AC26" s="24">
        <f t="shared" si="3"/>
        <v>9.0143936828516402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16.5</v>
      </c>
      <c r="N27" s="14">
        <f>IF('Données projet'!$A$36&gt;35,N26+M27-V26,IF(A27&lt;'Données projet'!$A$36,$K$205^A27,IF(A27='Données projet'!$A$36,'Données projet'!$B$36,N26+M27-V26)))</f>
        <v>205.5</v>
      </c>
      <c r="O27" s="14">
        <f>N27*VLOOKUP('Données projet'!$B$9,Paramètres!$A$1:$I$89,3,0)*VLOOKUP('Données projet'!$B$9,Paramètres!$A$1:$I$89,5,0)</f>
        <v>122.88900000000001</v>
      </c>
      <c r="P27" s="14">
        <f t="shared" si="33"/>
        <v>32.347875332170432</v>
      </c>
      <c r="Q27" s="22">
        <f t="shared" si="2"/>
        <v>270.37089120353011</v>
      </c>
      <c r="R27" s="62">
        <f t="shared" si="0"/>
        <v>563.70422453686342</v>
      </c>
      <c r="S27" s="62">
        <f ca="1">AVERAGE(OFFSET($R$3,0,0,'Données projet'!$E$9+1,1))-AVERAGE(OFFSET($H$3,0,0,'Données projet'!$E$9+1,1))</f>
        <v>157.98488572680344</v>
      </c>
      <c r="T27" s="62">
        <f t="shared" si="34"/>
        <v>269.20989374735825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3.8798864462097717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3.5757705893164631</v>
      </c>
      <c r="AC27" s="24">
        <f t="shared" si="3"/>
        <v>7.4556570355262348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222</v>
      </c>
      <c r="L28" s="13">
        <f>VLOOKUP(A28,'Données projet'!$A$35:$I$55,9,0)</f>
        <v>16.5</v>
      </c>
      <c r="M28" s="13">
        <f t="array" ref="M28">INDEX(L:L,MIN(IF(ISNUMBER(L28:L224),ROW(L28:L224),"")))</f>
        <v>16.5</v>
      </c>
      <c r="N28" s="14">
        <f>IF('Données projet'!$A$36&gt;35,N27+M28-V27,IF(A28&lt;'Données projet'!$A$36,$K$205^A28,IF(A28='Données projet'!$A$36,'Données projet'!$B$36,N27+M28-V27)))</f>
        <v>222</v>
      </c>
      <c r="O28" s="14">
        <f>N28*VLOOKUP('Données projet'!$B$9,Paramètres!$A$1:$I$89,3,0)*VLOOKUP('Données projet'!$B$9,Paramètres!$A$1:$I$89,5,0)</f>
        <v>132.756</v>
      </c>
      <c r="P28" s="14">
        <f t="shared" si="33"/>
        <v>34.632410397339967</v>
      </c>
      <c r="Q28" s="22">
        <f t="shared" si="2"/>
        <v>291.53481477536712</v>
      </c>
      <c r="R28" s="62">
        <f t="shared" si="0"/>
        <v>584.86814810870044</v>
      </c>
      <c r="S28" s="62">
        <f ca="1">AVERAGE(OFFSET($R$3,0,0,'Données projet'!$E$9+1,1))-AVERAGE(OFFSET($H$3,0,0,'Données projet'!$E$9+1,1))</f>
        <v>157.98488572680344</v>
      </c>
      <c r="T28" s="62">
        <f t="shared" si="34"/>
        <v>269.20989374735825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54</v>
      </c>
      <c r="W28" s="17">
        <f>IF(ISNA(VLOOKUP(A28,'Données projet'!$A$35:$I$55,5,0)),0%,VLOOKUP(A28,'Données projet'!$A$35:$I$55,5,0)*VLOOKUP('Données projet'!$B$9,Paramètres!$A$1:$I$89,7,0))</f>
        <v>0.18000000000000002</v>
      </c>
      <c r="X28" s="17">
        <f>IF(ISNA(VLOOKUP(A28,'Données projet'!$A$35:$I$55,6,0)),0%,VLOOKUP(A28,'Données projet'!$A$35:$I$55,6,0)*VLOOKUP('Données projet'!$B$9,Paramètres!$A$1:$I$89,7,0))</f>
        <v>9.0000000000000011E-2</v>
      </c>
      <c r="Y28" s="17">
        <f>IF(ISNA(VLOOKUP(A28,'Données projet'!$A$35:$I$55,7,0)),0%,VLOOKUP(A28,'Données projet'!$A$35:$I$55,7,0))</f>
        <v>0.4</v>
      </c>
      <c r="Z28" s="23">
        <f>EXP(-LN(2)/35)*Z27+(1-EXP(-LN(2)/35))/(LN(2)/35)*V28*W28*VLOOKUP('Données projet'!$B$9,Paramètres!$A$1:$I$89,3,0)*0.475*44/12</f>
        <v>11.514539730606312</v>
      </c>
      <c r="AA28" s="23">
        <f>EXP(-LN(2)/25)*AA27+(1-EXP(-LN(2)/25))/(LN(2)/25)*Calculateur!V28*Calculateur!X28*VLOOKUP('Données projet'!$B$9,Paramètres!$A$1:$I$89,3,0)*0.475*44/12</f>
        <v>3.8401876937302988</v>
      </c>
      <c r="AB28" s="23">
        <f>EXP(-LN(2)/2)*AB27+(1-EXP(-LN(2)/2))/(LN(2)/2)*V28*Y28*VLOOKUP('Données projet'!$B$9,Paramètres!$A$1:$I$89,3,0)*0.475*44/12</f>
        <v>17.153269772362943</v>
      </c>
      <c r="AC28" s="24">
        <f t="shared" si="3"/>
        <v>32.507997196699556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13.8</v>
      </c>
      <c r="N29" s="14">
        <f>IF('Données projet'!$A$36&gt;35,N28+M29-V28,IF(A29&lt;'Données projet'!$A$36,$K$205^A29,IF(A29='Données projet'!$A$36,'Données projet'!$B$36,N28+M29-V28)))</f>
        <v>181.8</v>
      </c>
      <c r="O29" s="14">
        <f>N29*VLOOKUP('Données projet'!$B$9,Paramètres!$A$1:$I$89,3,0)*VLOOKUP('Données projet'!$B$9,Paramètres!$A$1:$I$89,5,0)</f>
        <v>108.71640000000002</v>
      </c>
      <c r="P29" s="14">
        <f t="shared" si="33"/>
        <v>29.028352113364011</v>
      </c>
      <c r="Q29" s="22">
        <f t="shared" si="2"/>
        <v>239.90544326410898</v>
      </c>
      <c r="R29" s="62">
        <f t="shared" si="0"/>
        <v>533.23877659744232</v>
      </c>
      <c r="S29" s="62">
        <f ca="1">AVERAGE(OFFSET($R$3,0,0,'Données projet'!$E$9+1,1))-AVERAGE(OFFSET($H$3,0,0,'Données projet'!$E$9+1,1))</f>
        <v>157.98488572680344</v>
      </c>
      <c r="T29" s="62">
        <f t="shared" si="34"/>
        <v>269.20989374735825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11.288746629664876</v>
      </c>
      <c r="AA29" s="23">
        <f>EXP(-LN(2)/25)*AA28+(1-EXP(-LN(2)/25))/(LN(2)/25)*Calculateur!V29*Calculateur!X29*VLOOKUP('Données projet'!$B$9,Paramètres!$A$1:$I$89,3,0)*0.475*44/12</f>
        <v>3.7351775592985499</v>
      </c>
      <c r="AB29" s="23">
        <f>EXP(-LN(2)/2)*AB28+(1-EXP(-LN(2)/2))/(LN(2)/2)*V29*Y29*VLOOKUP('Données projet'!$B$9,Paramètres!$A$1:$I$89,3,0)*0.475*44/12</f>
        <v>12.129193375560064</v>
      </c>
      <c r="AC29" s="24">
        <f t="shared" si="3"/>
        <v>27.153117564523491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13.8</v>
      </c>
      <c r="N30" s="14">
        <f>IF('Données projet'!$A$36&gt;35,N29+M30-V29,IF(A30&lt;'Données projet'!$A$36,$K$205^A30,IF(A30='Données projet'!$A$36,'Données projet'!$B$36,N29+M30-V29)))</f>
        <v>195.60000000000002</v>
      </c>
      <c r="O30" s="14">
        <f>N30*VLOOKUP('Données projet'!$B$9,Paramètres!$A$1:$I$89,3,0)*VLOOKUP('Données projet'!$B$9,Paramètres!$A$1:$I$89,5,0)</f>
        <v>116.96880000000002</v>
      </c>
      <c r="P30" s="14">
        <f t="shared" si="33"/>
        <v>30.966972418998537</v>
      </c>
      <c r="Q30" s="22">
        <f t="shared" si="2"/>
        <v>257.6548036297558</v>
      </c>
      <c r="R30" s="62">
        <f t="shared" si="0"/>
        <v>550.98813696308912</v>
      </c>
      <c r="S30" s="62">
        <f ca="1">AVERAGE(OFFSET($R$3,0,0,'Données projet'!$E$9+1,1))-AVERAGE(OFFSET($H$3,0,0,'Données projet'!$E$9+1,1))</f>
        <v>157.98488572680344</v>
      </c>
      <c r="T30" s="62">
        <f t="shared" si="34"/>
        <v>269.20989374735825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11.067381193712711</v>
      </c>
      <c r="AA30" s="23">
        <f>EXP(-LN(2)/25)*AA29+(1-EXP(-LN(2)/25))/(LN(2)/25)*Calculateur!V30*Calculateur!X30*VLOOKUP('Données projet'!$B$9,Paramètres!$A$1:$I$89,3,0)*0.475*44/12</f>
        <v>3.6330389325150803</v>
      </c>
      <c r="AB30" s="23">
        <f>EXP(-LN(2)/2)*AB29+(1-EXP(-LN(2)/2))/(LN(2)/2)*V30*Y30*VLOOKUP('Données projet'!$B$9,Paramètres!$A$1:$I$89,3,0)*0.475*44/12</f>
        <v>8.5766348861814716</v>
      </c>
      <c r="AC30" s="24">
        <f t="shared" si="3"/>
        <v>23.277055012409264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13.8</v>
      </c>
      <c r="N31" s="14">
        <f>IF('Données projet'!$A$36&gt;35,N30+M31-V30,IF(A31&lt;'Données projet'!$A$36,$K$205^A31,IF(A31='Données projet'!$A$36,'Données projet'!$B$36,N30+M31-V30)))</f>
        <v>209.40000000000003</v>
      </c>
      <c r="O31" s="14">
        <f>N31*VLOOKUP('Données projet'!$B$9,Paramètres!$A$1:$I$89,3,0)*VLOOKUP('Données projet'!$B$9,Paramètres!$A$1:$I$89,5,0)</f>
        <v>125.22120000000004</v>
      </c>
      <c r="P31" s="14">
        <f t="shared" si="33"/>
        <v>32.889723553463881</v>
      </c>
      <c r="Q31" s="22">
        <f t="shared" si="2"/>
        <v>275.37652518894964</v>
      </c>
      <c r="R31" s="62">
        <f t="shared" si="0"/>
        <v>568.70985852228296</v>
      </c>
      <c r="S31" s="62">
        <f ca="1">AVERAGE(OFFSET($R$3,0,0,'Données projet'!$E$9+1,1))-AVERAGE(OFFSET($H$3,0,0,'Données projet'!$E$9+1,1))</f>
        <v>157.98488572680344</v>
      </c>
      <c r="T31" s="62">
        <f t="shared" si="34"/>
        <v>269.20989374735825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10.850356598939982</v>
      </c>
      <c r="AA31" s="23">
        <f>EXP(-LN(2)/25)*AA30+(1-EXP(-LN(2)/25))/(LN(2)/25)*Calculateur!V31*Calculateur!X31*VLOOKUP('Données projet'!$B$9,Paramètres!$A$1:$I$89,3,0)*0.475*44/12</f>
        <v>3.5336932918522415</v>
      </c>
      <c r="AB31" s="23">
        <f>EXP(-LN(2)/2)*AB30+(1-EXP(-LN(2)/2))/(LN(2)/2)*V31*Y31*VLOOKUP('Données projet'!$B$9,Paramètres!$A$1:$I$89,3,0)*0.475*44/12</f>
        <v>6.0645966877800319</v>
      </c>
      <c r="AC31" s="24">
        <f t="shared" si="3"/>
        <v>20.448646578572255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13.8</v>
      </c>
      <c r="N32" s="14">
        <f>IF('Données projet'!$A$36&gt;35,N31+M32-V31,IF(A32&lt;'Données projet'!$A$36,$K$205^A32,IF(A32='Données projet'!$A$36,'Données projet'!$B$36,N31+M32-V31)))</f>
        <v>223.20000000000005</v>
      </c>
      <c r="O32" s="14">
        <f>N32*VLOOKUP('Données projet'!$B$9,Paramètres!$A$1:$I$89,3,0)*VLOOKUP('Données projet'!$B$9,Paramètres!$A$1:$I$89,5,0)</f>
        <v>133.47360000000003</v>
      </c>
      <c r="P32" s="14">
        <f t="shared" si="33"/>
        <v>34.79777034418013</v>
      </c>
      <c r="Q32" s="22">
        <f t="shared" si="2"/>
        <v>293.0726366827804</v>
      </c>
      <c r="R32" s="62">
        <f t="shared" si="0"/>
        <v>586.40597001611377</v>
      </c>
      <c r="S32" s="62">
        <f ca="1">AVERAGE(OFFSET($R$3,0,0,'Données projet'!$E$9+1,1))-AVERAGE(OFFSET($H$3,0,0,'Données projet'!$E$9+1,1))</f>
        <v>157.98488572680344</v>
      </c>
      <c r="T32" s="62">
        <f t="shared" si="34"/>
        <v>269.20989374735825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10.637587724098815</v>
      </c>
      <c r="AA32" s="23">
        <f>EXP(-LN(2)/25)*AA31+(1-EXP(-LN(2)/25))/(LN(2)/25)*Calculateur!V32*Calculateur!X32*VLOOKUP('Données projet'!$B$9,Paramètres!$A$1:$I$89,3,0)*0.475*44/12</f>
        <v>3.437064262957688</v>
      </c>
      <c r="AB32" s="23">
        <f>EXP(-LN(2)/2)*AB31+(1-EXP(-LN(2)/2))/(LN(2)/2)*V32*Y32*VLOOKUP('Données projet'!$B$9,Paramètres!$A$1:$I$89,3,0)*0.475*44/12</f>
        <v>4.2883174430907358</v>
      </c>
      <c r="AC32" s="24">
        <f t="shared" si="3"/>
        <v>18.362969430147238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237</v>
      </c>
      <c r="L33" s="13">
        <f>VLOOKUP(A33,'Données projet'!$A$35:$I$55,9,0)</f>
        <v>13.8</v>
      </c>
      <c r="M33" s="13">
        <f t="array" ref="M33">INDEX(L:L,MIN(IF(ISNUMBER(L33:L229),ROW(L33:L229),"")))</f>
        <v>13.8</v>
      </c>
      <c r="N33" s="14">
        <f>IF('Données projet'!$A$36&gt;35,N32+M33-V32,IF(A33&lt;'Données projet'!$A$36,$K$205^A33,IF(A33='Données projet'!$A$36,'Données projet'!$B$36,N32+M33-V32)))</f>
        <v>237.00000000000006</v>
      </c>
      <c r="O33" s="14">
        <f>N33*VLOOKUP('Données projet'!$B$9,Paramètres!$A$1:$I$89,3,0)*VLOOKUP('Données projet'!$B$9,Paramètres!$A$1:$I$89,5,0)</f>
        <v>141.72600000000003</v>
      </c>
      <c r="P33" s="14">
        <f t="shared" si="33"/>
        <v>36.692125440686915</v>
      </c>
      <c r="Q33" s="22">
        <f t="shared" si="2"/>
        <v>310.74490180919639</v>
      </c>
      <c r="R33" s="62">
        <f t="shared" si="0"/>
        <v>604.07823514252971</v>
      </c>
      <c r="S33" s="62">
        <f ca="1">AVERAGE(OFFSET($R$3,0,0,'Données projet'!$E$9+1,1))-AVERAGE(OFFSET($H$3,0,0,'Données projet'!$E$9+1,1))</f>
        <v>157.98488572680344</v>
      </c>
      <c r="T33" s="62">
        <f t="shared" si="34"/>
        <v>269.20989374735825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9.0000000000000011E-2</v>
      </c>
      <c r="Y33" s="17">
        <f>IF(ISNA(VLOOKUP(A33,'Données projet'!$A$35:$I$55,7,0)),0%,VLOOKUP(A33,'Données projet'!$A$35:$I$55,7,0))</f>
        <v>0.4</v>
      </c>
      <c r="Z33" s="23">
        <f>EXP(-LN(2)/35)*Z32+(1-EXP(-LN(2)/35))/(LN(2)/35)*V33*W33*VLOOKUP('Données projet'!$B$9,Paramètres!$A$1:$I$89,3,0)*0.475*44/12</f>
        <v>10.428991117117084</v>
      </c>
      <c r="AA33" s="23">
        <f>EXP(-LN(2)/25)*AA32+(1-EXP(-LN(2)/25))/(LN(2)/25)*Calculateur!V33*Calculateur!X33*VLOOKUP('Données projet'!$B$9,Paramètres!$A$1:$I$89,3,0)*0.475*44/12</f>
        <v>3.343077559939756</v>
      </c>
      <c r="AB33" s="23">
        <f>EXP(-LN(2)/2)*AB32+(1-EXP(-LN(2)/2))/(LN(2)/2)*V33*Y33*VLOOKUP('Données projet'!$B$9,Paramètres!$A$1:$I$89,3,0)*0.475*44/12</f>
        <v>3.032298343890016</v>
      </c>
      <c r="AC33" s="24">
        <f t="shared" si="3"/>
        <v>16.804367020946856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12.625</v>
      </c>
      <c r="N34" s="14">
        <f>IF('Données projet'!$A$36&gt;35,N33+M34-V33,IF(A34&lt;'Données projet'!$A$36,$K$205^A34,IF(A34='Données projet'!$A$36,'Données projet'!$B$36,N33+M34-V33)))</f>
        <v>249.62500000000006</v>
      </c>
      <c r="O34" s="14">
        <f>N34*VLOOKUP('Données projet'!$B$9,Paramètres!$A$1:$I$89,3,0)*VLOOKUP('Données projet'!$B$9,Paramètres!$A$1:$I$89,5,0)</f>
        <v>149.27575000000004</v>
      </c>
      <c r="P34" s="14">
        <f t="shared" si="33"/>
        <v>38.413950875340568</v>
      </c>
      <c r="Q34" s="22">
        <f t="shared" si="2"/>
        <v>326.89289569121826</v>
      </c>
      <c r="R34" s="62">
        <f t="shared" si="0"/>
        <v>620.22622902455157</v>
      </c>
      <c r="S34" s="62">
        <f ca="1">AVERAGE(OFFSET($R$3,0,0,'Données projet'!$E$9+1,1))-AVERAGE(OFFSET($H$3,0,0,'Données projet'!$E$9+1,1))</f>
        <v>157.98488572680344</v>
      </c>
      <c r="T34" s="62">
        <f t="shared" si="34"/>
        <v>269.20989374735825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10.224484962366898</v>
      </c>
      <c r="AA34" s="23">
        <f>EXP(-LN(2)/25)*AA33+(1-EXP(-LN(2)/25))/(LN(2)/25)*Calculateur!V34*Calculateur!X34*VLOOKUP('Données projet'!$B$9,Paramètres!$A$1:$I$89,3,0)*0.475*44/12</f>
        <v>3.2516609282583953</v>
      </c>
      <c r="AB34" s="23">
        <f>EXP(-LN(2)/2)*AB33+(1-EXP(-LN(2)/2))/(LN(2)/2)*V34*Y34*VLOOKUP('Données projet'!$B$9,Paramètres!$A$1:$I$89,3,0)*0.475*44/12</f>
        <v>2.1441587215453679</v>
      </c>
      <c r="AC34" s="24">
        <f t="shared" si="3"/>
        <v>15.620304612170662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12.625</v>
      </c>
      <c r="N35" s="14">
        <f>IF('Données projet'!$A$36&gt;35,N34+M35-V34,IF(A35&lt;'Données projet'!$A$36,$K$205^A35,IF(A35='Données projet'!$A$36,'Données projet'!$B$36,N34+M35-V34)))</f>
        <v>262.25000000000006</v>
      </c>
      <c r="O35" s="14">
        <f>N35*VLOOKUP('Données projet'!$B$9,Paramètres!$A$1:$I$89,3,0)*VLOOKUP('Données projet'!$B$9,Paramètres!$A$1:$I$89,5,0)</f>
        <v>156.82550000000006</v>
      </c>
      <c r="P35" s="14">
        <f t="shared" si="33"/>
        <v>40.12566509846944</v>
      </c>
      <c r="Q35" s="22">
        <f t="shared" ref="Q35:Q66" si="53">(O35+P35)*0.475*44/12</f>
        <v>343.02327921316777</v>
      </c>
      <c r="R35" s="62">
        <f t="shared" si="0"/>
        <v>636.35661254650108</v>
      </c>
      <c r="S35" s="62">
        <f ca="1">AVERAGE(OFFSET($R$3,0,0,'Données projet'!$E$9+1,1))-AVERAGE(OFFSET($H$3,0,0,'Données projet'!$E$9+1,1))</f>
        <v>157.98488572680344</v>
      </c>
      <c r="T35" s="62">
        <f t="shared" si="34"/>
        <v>269.20989374735825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10.023989048574924</v>
      </c>
      <c r="AA35" s="23">
        <f>EXP(-LN(2)/25)*AA34+(1-EXP(-LN(2)/25))/(LN(2)/25)*Calculateur!V35*Calculateur!X35*VLOOKUP('Données projet'!$B$9,Paramètres!$A$1:$I$89,3,0)*0.475*44/12</f>
        <v>3.1627440891777532</v>
      </c>
      <c r="AB35" s="23">
        <f>EXP(-LN(2)/2)*AB34+(1-EXP(-LN(2)/2))/(LN(2)/2)*V35*Y35*VLOOKUP('Données projet'!$B$9,Paramètres!$A$1:$I$89,3,0)*0.475*44/12</f>
        <v>1.516149171945008</v>
      </c>
      <c r="AC35" s="24">
        <f t="shared" si="3"/>
        <v>14.702882309697685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12.625</v>
      </c>
      <c r="N36" s="14">
        <f>IF('Données projet'!$A$36&gt;35,N35+M36-V35,IF(A36&lt;'Données projet'!$A$36,$K$205^A36,IF(A36='Données projet'!$A$36,'Données projet'!$B$36,N35+M36-V35)))</f>
        <v>274.87500000000006</v>
      </c>
      <c r="O36" s="14">
        <f>N36*VLOOKUP('Données projet'!$B$9,Paramètres!$A$1:$I$89,3,0)*VLOOKUP('Données projet'!$B$9,Paramètres!$A$1:$I$89,5,0)</f>
        <v>164.37525000000005</v>
      </c>
      <c r="P36" s="14">
        <f t="shared" si="33"/>
        <v>41.827810443115574</v>
      </c>
      <c r="Q36" s="22">
        <f t="shared" si="53"/>
        <v>359.13699693842636</v>
      </c>
      <c r="R36" s="62">
        <f t="shared" si="0"/>
        <v>652.47033027175962</v>
      </c>
      <c r="S36" s="62">
        <f ca="1">AVERAGE(OFFSET($R$3,0,0,'Données projet'!$E$9+1,1))-AVERAGE(OFFSET($H$3,0,0,'Données projet'!$E$9+1,1))</f>
        <v>157.98488572680344</v>
      </c>
      <c r="T36" s="62">
        <f t="shared" si="34"/>
        <v>269.20989374735825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9.8274247373619783</v>
      </c>
      <c r="AA36" s="23">
        <f>EXP(-LN(2)/25)*AA35+(1-EXP(-LN(2)/25))/(LN(2)/25)*Calculateur!V36*Calculateur!X36*VLOOKUP('Données projet'!$B$9,Paramètres!$A$1:$I$89,3,0)*0.475*44/12</f>
        <v>3.0762586857377046</v>
      </c>
      <c r="AB36" s="23">
        <f>EXP(-LN(2)/2)*AB35+(1-EXP(-LN(2)/2))/(LN(2)/2)*V36*Y36*VLOOKUP('Données projet'!$B$9,Paramètres!$A$1:$I$89,3,0)*0.475*44/12</f>
        <v>1.072079360772684</v>
      </c>
      <c r="AC36" s="24">
        <f t="shared" si="3"/>
        <v>13.975762783872366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12.625</v>
      </c>
      <c r="N37" s="14">
        <f>IF('Données projet'!$A$36&gt;35,N36+M37-V36,IF(A37&lt;'Données projet'!$A$36,$K$205^A37,IF(A37='Données projet'!$A$36,'Données projet'!$B$36,N36+M37-V36)))</f>
        <v>287.50000000000006</v>
      </c>
      <c r="O37" s="14">
        <f>N37*VLOOKUP('Données projet'!$B$9,Paramètres!$A$1:$I$89,3,0)*VLOOKUP('Données projet'!$B$9,Paramètres!$A$1:$I$89,5,0)</f>
        <v>171.92500000000004</v>
      </c>
      <c r="P37" s="14">
        <f t="shared" si="33"/>
        <v>43.520876607827979</v>
      </c>
      <c r="Q37" s="22">
        <f t="shared" si="53"/>
        <v>375.23490175863373</v>
      </c>
      <c r="R37" s="62">
        <f t="shared" si="0"/>
        <v>668.56823509196704</v>
      </c>
      <c r="S37" s="62">
        <f ca="1">AVERAGE(OFFSET($R$3,0,0,'Données projet'!$E$9+1,1))-AVERAGE(OFFSET($H$3,0,0,'Données projet'!$E$9+1,1))</f>
        <v>157.98488572680344</v>
      </c>
      <c r="T37" s="62">
        <f t="shared" si="34"/>
        <v>269.20989374735825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9.6347149323995271</v>
      </c>
      <c r="AA37" s="23">
        <f>EXP(-LN(2)/25)*AA36+(1-EXP(-LN(2)/25))/(LN(2)/25)*Calculateur!V37*Calculateur!X37*VLOOKUP('Données projet'!$B$9,Paramètres!$A$1:$I$89,3,0)*0.475*44/12</f>
        <v>2.9921382302027935</v>
      </c>
      <c r="AB37" s="23">
        <f>EXP(-LN(2)/2)*AB36+(1-EXP(-LN(2)/2))/(LN(2)/2)*V37*Y37*VLOOKUP('Données projet'!$B$9,Paramètres!$A$1:$I$89,3,0)*0.475*44/12</f>
        <v>0.75807458597250399</v>
      </c>
      <c r="AC37" s="24">
        <f t="shared" si="3"/>
        <v>13.384927748574825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12.625</v>
      </c>
      <c r="N38" s="14">
        <f>IF('Données projet'!$A$36&gt;35,N37+M38-V37,IF(A38&lt;'Données projet'!$A$36,$K$205^A38,IF(A38='Données projet'!$A$36,'Données projet'!$B$36,N37+M38-V37)))</f>
        <v>300.12500000000006</v>
      </c>
      <c r="O38" s="14">
        <f>N38*VLOOKUP('Données projet'!$B$9,Paramètres!$A$1:$I$89,3,0)*VLOOKUP('Données projet'!$B$9,Paramètres!$A$1:$I$89,5,0)</f>
        <v>179.47475000000006</v>
      </c>
      <c r="P38" s="14">
        <f t="shared" si="33"/>
        <v>45.205307850969106</v>
      </c>
      <c r="Q38" s="22">
        <f t="shared" si="53"/>
        <v>391.31776742377127</v>
      </c>
      <c r="R38" s="62">
        <f t="shared" si="0"/>
        <v>684.65110075710459</v>
      </c>
      <c r="S38" s="62">
        <f ca="1">AVERAGE(OFFSET($R$3,0,0,'Données projet'!$E$9+1,1))-AVERAGE(OFFSET($H$3,0,0,'Données projet'!$E$9+1,1))</f>
        <v>157.98488572680344</v>
      </c>
      <c r="T38" s="62">
        <f t="shared" si="34"/>
        <v>269.20989374735825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9.4457840491710154</v>
      </c>
      <c r="AA38" s="23">
        <f>EXP(-LN(2)/25)*AA37+(1-EXP(-LN(2)/25))/(LN(2)/25)*Calculateur!V38*Calculateur!X38*VLOOKUP('Données projet'!$B$9,Paramètres!$A$1:$I$89,3,0)*0.475*44/12</f>
        <v>2.9103180529481874</v>
      </c>
      <c r="AB38" s="23">
        <f>EXP(-LN(2)/2)*AB37+(1-EXP(-LN(2)/2))/(LN(2)/2)*V38*Y38*VLOOKUP('Données projet'!$B$9,Paramètres!$A$1:$I$89,3,0)*0.475*44/12</f>
        <v>0.53603968038634198</v>
      </c>
      <c r="AC38" s="24">
        <f t="shared" si="3"/>
        <v>12.892141782505544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12.625</v>
      </c>
      <c r="N39" s="14">
        <f>IF('Données projet'!$A$36&gt;35,N38+M39-V38,IF(A39&lt;'Données projet'!$A$36,$K$205^A39,IF(A39='Données projet'!$A$36,'Données projet'!$B$36,N38+M39-V38)))</f>
        <v>312.75000000000006</v>
      </c>
      <c r="O39" s="14">
        <f>N39*VLOOKUP('Données projet'!$B$9,Paramètres!$A$1:$I$89,3,0)*VLOOKUP('Données projet'!$B$9,Paramètres!$A$1:$I$89,5,0)</f>
        <v>187.02450000000005</v>
      </c>
      <c r="P39" s="14">
        <f t="shared" si="33"/>
        <v>46.881508940362963</v>
      </c>
      <c r="Q39" s="22">
        <f t="shared" si="53"/>
        <v>407.38629890446555</v>
      </c>
      <c r="R39" s="62">
        <f t="shared" si="0"/>
        <v>700.71963223779881</v>
      </c>
      <c r="S39" s="62">
        <f ca="1">AVERAGE(OFFSET($R$3,0,0,'Données projet'!$E$9+1,1))-AVERAGE(OFFSET($H$3,0,0,'Données projet'!$E$9+1,1))</f>
        <v>157.98488572680344</v>
      </c>
      <c r="T39" s="62">
        <f t="shared" si="34"/>
        <v>269.20989374735825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9.2605579853261553</v>
      </c>
      <c r="AA39" s="23">
        <f>EXP(-LN(2)/25)*AA38+(1-EXP(-LN(2)/25))/(LN(2)/25)*Calculateur!V39*Calculateur!X39*VLOOKUP('Données projet'!$B$9,Paramètres!$A$1:$I$89,3,0)*0.475*44/12</f>
        <v>2.8307352527433443</v>
      </c>
      <c r="AB39" s="23">
        <f>EXP(-LN(2)/2)*AB38+(1-EXP(-LN(2)/2))/(LN(2)/2)*V39*Y39*VLOOKUP('Données projet'!$B$9,Paramètres!$A$1:$I$89,3,0)*0.475*44/12</f>
        <v>0.37903729298625199</v>
      </c>
      <c r="AC39" s="24">
        <f t="shared" si="3"/>
        <v>12.470330531055753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12.625</v>
      </c>
      <c r="N40" s="14">
        <f>IF('Données projet'!$A$36&gt;35,N39+M40-V39,IF(A40&lt;'Données projet'!$A$36,$K$205^A40,IF(A40='Données projet'!$A$36,'Données projet'!$B$36,N39+M40-V39)))</f>
        <v>325.37500000000006</v>
      </c>
      <c r="O40" s="14">
        <f>N40*VLOOKUP('Données projet'!$B$9,Paramètres!$A$1:$I$89,3,0)*VLOOKUP('Données projet'!$B$9,Paramètres!$A$1:$I$89,5,0)</f>
        <v>194.57425000000006</v>
      </c>
      <c r="P40" s="14">
        <f t="shared" si="33"/>
        <v>48.54985011520143</v>
      </c>
      <c r="Q40" s="22">
        <f t="shared" si="53"/>
        <v>423.44114103397595</v>
      </c>
      <c r="R40" s="62">
        <f t="shared" si="0"/>
        <v>716.77447436730927</v>
      </c>
      <c r="S40" s="62">
        <f ca="1">AVERAGE(OFFSET($R$3,0,0,'Données projet'!$E$9+1,1))-AVERAGE(OFFSET($H$3,0,0,'Données projet'!$E$9+1,1))</f>
        <v>157.98488572680344</v>
      </c>
      <c r="T40" s="62">
        <f t="shared" si="34"/>
        <v>269.20989374735825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9.0789640916165482</v>
      </c>
      <c r="AA40" s="23">
        <f>EXP(-LN(2)/25)*AA39+(1-EXP(-LN(2)/25))/(LN(2)/25)*Calculateur!V40*Calculateur!X40*VLOOKUP('Données projet'!$B$9,Paramètres!$A$1:$I$89,3,0)*0.475*44/12</f>
        <v>2.7533286483951804</v>
      </c>
      <c r="AB40" s="23">
        <f>EXP(-LN(2)/2)*AB39+(1-EXP(-LN(2)/2))/(LN(2)/2)*V40*Y40*VLOOKUP('Données projet'!$B$9,Paramètres!$A$1:$I$89,3,0)*0.475*44/12</f>
        <v>0.26801984019317099</v>
      </c>
      <c r="AC40" s="24">
        <f t="shared" si="3"/>
        <v>12.1003125802049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>
        <f>VLOOKUP(A41,'Données projet'!$A$35:$I$55,2,0)</f>
        <v>338</v>
      </c>
      <c r="L41" s="13">
        <f>VLOOKUP(A41,'Données projet'!$A$35:$I$55,9,0)</f>
        <v>12.625</v>
      </c>
      <c r="M41" s="13">
        <f t="array" ref="M41">INDEX(L:L,MIN(IF(ISNUMBER(L41:L237),ROW(L41:L237),"")))</f>
        <v>12.625</v>
      </c>
      <c r="N41" s="14">
        <f>IF('Données projet'!$A$36&gt;35,N40+M41-V40,IF(A41&lt;'Données projet'!$A$36,$K$205^A41,IF(A41='Données projet'!$A$36,'Données projet'!$B$36,N40+M41-V40)))</f>
        <v>338.00000000000006</v>
      </c>
      <c r="O41" s="14">
        <f>N41*VLOOKUP('Données projet'!$B$9,Paramètres!$A$1:$I$89,3,0)*VLOOKUP('Données projet'!$B$9,Paramètres!$A$1:$I$89,5,0)</f>
        <v>202.12400000000008</v>
      </c>
      <c r="P41" s="14">
        <f t="shared" si="33"/>
        <v>50.210671256169846</v>
      </c>
      <c r="Q41" s="22">
        <f t="shared" si="53"/>
        <v>439.48288577116256</v>
      </c>
      <c r="R41" s="62">
        <f t="shared" si="0"/>
        <v>732.81621910449587</v>
      </c>
      <c r="S41" s="62">
        <f ca="1">AVERAGE(OFFSET($R$3,0,0,'Données projet'!$E$9+1,1))-AVERAGE(OFFSET($H$3,0,0,'Données projet'!$E$9+1,1))</f>
        <v>157.98488572680344</v>
      </c>
      <c r="T41" s="62">
        <f t="shared" si="34"/>
        <v>269.20989374735825</v>
      </c>
      <c r="U41" s="16">
        <f>IF(ISNA(VLOOKUP(A41,'Données projet'!$A$35:$I$55,3,0)),0,VLOOKUP(A41,'Données projet'!$A$35:$I$55,3,0))</f>
        <v>5</v>
      </c>
      <c r="V41" s="16">
        <f>IF(ISNA(VLOOKUP(A41,'Données projet'!$A$35:$I$55,4,0)),0,VLOOKUP(A41,'Données projet'!$A$35:$I$55,4,0))</f>
        <v>338</v>
      </c>
      <c r="W41" s="17">
        <f>IF(ISNA(VLOOKUP(A41,'Données projet'!$A$35:$I$55,5,0)),0%,VLOOKUP(A41,'Données projet'!$A$35:$I$55,5,0)*VLOOKUP('Données projet'!$B$9,Paramètres!$A$1:$I$89,7,0))</f>
        <v>0.315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0.3</v>
      </c>
      <c r="Z41" s="23">
        <f>EXP(-LN(2)/35)*Z40+(1-EXP(-LN(2)/35))/(LN(2)/35)*V41*W41*VLOOKUP('Données projet'!$B$9,Paramètres!$A$1:$I$89,3,0)*0.475*44/12</f>
        <v>93.362043050648666</v>
      </c>
      <c r="AA41" s="23">
        <f>EXP(-LN(2)/25)*AA40+(1-EXP(-LN(2)/25))/(LN(2)/25)*Calculateur!V41*Calculateur!X41*VLOOKUP('Données projet'!$B$9,Paramètres!$A$1:$I$89,3,0)*0.475*44/12</f>
        <v>2.6780387317135532</v>
      </c>
      <c r="AB41" s="23">
        <f>EXP(-LN(2)/2)*AB40+(1-EXP(-LN(2)/2))/(LN(2)/2)*V41*Y41*VLOOKUP('Données projet'!$B$9,Paramètres!$A$1:$I$89,3,0)*0.475*44/12</f>
        <v>68.844914918064944</v>
      </c>
      <c r="AC41" s="24">
        <f t="shared" si="3"/>
        <v>164.88499670042717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5.6843418860808015E-14</v>
      </c>
      <c r="O42" s="14">
        <f>N42*VLOOKUP('Données projet'!$B$9,Paramètres!$A$1:$I$89,3,0)*VLOOKUP('Données projet'!$B$9,Paramètres!$A$1:$I$89,5,0)</f>
        <v>3.3992364478763198E-14</v>
      </c>
      <c r="P42" s="14">
        <f t="shared" si="33"/>
        <v>5.790027782444094E-13</v>
      </c>
      <c r="Q42" s="22">
        <f t="shared" si="53"/>
        <v>1.0676332069095257E-12</v>
      </c>
      <c r="R42" s="62">
        <f t="shared" si="0"/>
        <v>293.33333333333439</v>
      </c>
      <c r="S42" s="62">
        <f ca="1">AVERAGE(OFFSET($R$3,0,0,'Données projet'!$E$9+1,1))-AVERAGE(OFFSET($H$3,0,0,'Données projet'!$E$9+1,1))</f>
        <v>157.98488572680344</v>
      </c>
      <c r="T42" s="62">
        <f t="shared" si="34"/>
        <v>269.20989374735825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91.531270331648827</v>
      </c>
      <c r="AA42" s="23">
        <f>EXP(-LN(2)/25)*AA41+(1-EXP(-LN(2)/25))/(LN(2)/25)*Calculateur!V42*Calculateur!X42*VLOOKUP('Données projet'!$B$9,Paramètres!$A$1:$I$89,3,0)*0.475*44/12</f>
        <v>2.6048076217629101</v>
      </c>
      <c r="AB42" s="23">
        <f>EXP(-LN(2)/2)*AB41+(1-EXP(-LN(2)/2))/(LN(2)/2)*V42*Y42*VLOOKUP('Données projet'!$B$9,Paramètres!$A$1:$I$89,3,0)*0.475*44/12</f>
        <v>48.680706188774636</v>
      </c>
      <c r="AC42" s="24">
        <f t="shared" si="3"/>
        <v>142.81678414218638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5.6843418860808015E-14</v>
      </c>
      <c r="O43" s="14">
        <f>N43*VLOOKUP('Données projet'!$B$9,Paramètres!$A$1:$I$89,3,0)*VLOOKUP('Données projet'!$B$9,Paramètres!$A$1:$I$89,5,0)</f>
        <v>3.3992364478763198E-14</v>
      </c>
      <c r="P43" s="14">
        <f t="shared" si="33"/>
        <v>5.790027782444094E-13</v>
      </c>
      <c r="Q43" s="22">
        <f t="shared" si="53"/>
        <v>1.0676332069095257E-12</v>
      </c>
      <c r="R43" s="62">
        <f t="shared" si="0"/>
        <v>293.33333333333439</v>
      </c>
      <c r="S43" s="62">
        <f ca="1">AVERAGE(OFFSET($R$3,0,0,'Données projet'!$E$9+1,1))-AVERAGE(OFFSET($H$3,0,0,'Données projet'!$E$9+1,1))</f>
        <v>157.98488572680344</v>
      </c>
      <c r="T43" s="62">
        <f t="shared" si="34"/>
        <v>269.20989374735825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89.736397949007483</v>
      </c>
      <c r="AA43" s="23">
        <f>EXP(-LN(2)/25)*AA42+(1-EXP(-LN(2)/25))/(LN(2)/25)*Calculateur!V43*Calculateur!X43*VLOOKUP('Données projet'!$B$9,Paramètres!$A$1:$I$89,3,0)*0.475*44/12</f>
        <v>2.533579020364924</v>
      </c>
      <c r="AB43" s="23">
        <f>EXP(-LN(2)/2)*AB42+(1-EXP(-LN(2)/2))/(LN(2)/2)*V43*Y43*VLOOKUP('Données projet'!$B$9,Paramètres!$A$1:$I$89,3,0)*0.475*44/12</f>
        <v>34.422457459032479</v>
      </c>
      <c r="AC43" s="24">
        <f t="shared" si="3"/>
        <v>126.69243442840488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5.6843418860808015E-14</v>
      </c>
      <c r="O44" s="14">
        <f>N44*VLOOKUP('Données projet'!$B$9,Paramètres!$A$1:$I$89,3,0)*VLOOKUP('Données projet'!$B$9,Paramètres!$A$1:$I$89,5,0)</f>
        <v>3.3992364478763198E-14</v>
      </c>
      <c r="P44" s="14">
        <f t="shared" si="33"/>
        <v>5.790027782444094E-13</v>
      </c>
      <c r="Q44" s="22">
        <f t="shared" si="53"/>
        <v>1.0676332069095257E-12</v>
      </c>
      <c r="R44" s="62">
        <f t="shared" si="0"/>
        <v>293.33333333333439</v>
      </c>
      <c r="S44" s="62">
        <f ca="1">AVERAGE(OFFSET($R$3,0,0,'Données projet'!$E$9+1,1))-AVERAGE(OFFSET($H$3,0,0,'Données projet'!$E$9+1,1))</f>
        <v>157.98488572680344</v>
      </c>
      <c r="T44" s="62">
        <f t="shared" si="34"/>
        <v>269.20989374735825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87.976721919025678</v>
      </c>
      <c r="AA44" s="23">
        <f>EXP(-LN(2)/25)*AA43+(1-EXP(-LN(2)/25))/(LN(2)/25)*Calculateur!V44*Calculateur!X44*VLOOKUP('Données projet'!$B$9,Paramètres!$A$1:$I$89,3,0)*0.475*44/12</f>
        <v>2.4642981688179151</v>
      </c>
      <c r="AB44" s="23">
        <f>EXP(-LN(2)/2)*AB43+(1-EXP(-LN(2)/2))/(LN(2)/2)*V44*Y44*VLOOKUP('Données projet'!$B$9,Paramètres!$A$1:$I$89,3,0)*0.475*44/12</f>
        <v>24.340353094387321</v>
      </c>
      <c r="AC44" s="24">
        <f t="shared" si="3"/>
        <v>114.78137318223092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5.6843418860808015E-14</v>
      </c>
      <c r="O45" s="14">
        <f>N45*VLOOKUP('Données projet'!$B$9,Paramètres!$A$1:$I$89,3,0)*VLOOKUP('Données projet'!$B$9,Paramètres!$A$1:$I$89,5,0)</f>
        <v>3.3992364478763198E-14</v>
      </c>
      <c r="P45" s="14">
        <f t="shared" si="33"/>
        <v>5.790027782444094E-13</v>
      </c>
      <c r="Q45" s="22">
        <f t="shared" si="53"/>
        <v>1.0676332069095257E-12</v>
      </c>
      <c r="R45" s="62">
        <f t="shared" si="0"/>
        <v>293.33333333333439</v>
      </c>
      <c r="S45" s="62">
        <f ca="1">AVERAGE(OFFSET($R$3,0,0,'Données projet'!$E$9+1,1))-AVERAGE(OFFSET($H$3,0,0,'Données projet'!$E$9+1,1))</f>
        <v>157.98488572680344</v>
      </c>
      <c r="T45" s="62">
        <f t="shared" si="34"/>
        <v>269.20989374735825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86.251552062695424</v>
      </c>
      <c r="AA45" s="23">
        <f>EXP(-LN(2)/25)*AA44+(1-EXP(-LN(2)/25))/(LN(2)/25)*Calculateur!V45*Calculateur!X45*VLOOKUP('Données projet'!$B$9,Paramètres!$A$1:$I$89,3,0)*0.475*44/12</f>
        <v>2.3969118057997809</v>
      </c>
      <c r="AB45" s="23">
        <f>EXP(-LN(2)/2)*AB44+(1-EXP(-LN(2)/2))/(LN(2)/2)*V45*Y45*VLOOKUP('Données projet'!$B$9,Paramètres!$A$1:$I$89,3,0)*0.475*44/12</f>
        <v>17.211228729516243</v>
      </c>
      <c r="AC45" s="24">
        <f t="shared" si="3"/>
        <v>105.85969259801143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5.6843418860808015E-14</v>
      </c>
      <c r="O46" s="14">
        <f>N46*VLOOKUP('Données projet'!$B$9,Paramètres!$A$1:$I$89,3,0)*VLOOKUP('Données projet'!$B$9,Paramètres!$A$1:$I$89,5,0)</f>
        <v>3.3992364478763198E-14</v>
      </c>
      <c r="P46" s="14">
        <f t="shared" si="33"/>
        <v>5.790027782444094E-13</v>
      </c>
      <c r="Q46" s="22">
        <f t="shared" si="53"/>
        <v>1.0676332069095257E-12</v>
      </c>
      <c r="R46" s="62">
        <f t="shared" si="0"/>
        <v>293.33333333333439</v>
      </c>
      <c r="S46" s="62">
        <f ca="1">AVERAGE(OFFSET($R$3,0,0,'Données projet'!$E$9+1,1))-AVERAGE(OFFSET($H$3,0,0,'Données projet'!$E$9+1,1))</f>
        <v>157.98488572680344</v>
      </c>
      <c r="T46" s="62">
        <f t="shared" si="34"/>
        <v>269.20989374735825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84.560211734998092</v>
      </c>
      <c r="AA46" s="23">
        <f>EXP(-LN(2)/25)*AA45+(1-EXP(-LN(2)/25))/(LN(2)/25)*Calculateur!V46*Calculateur!X46*VLOOKUP('Données projet'!$B$9,Paramètres!$A$1:$I$89,3,0)*0.475*44/12</f>
        <v>2.3313681264220723</v>
      </c>
      <c r="AB46" s="23">
        <f>EXP(-LN(2)/2)*AB45+(1-EXP(-LN(2)/2))/(LN(2)/2)*V46*Y46*VLOOKUP('Données projet'!$B$9,Paramètres!$A$1:$I$89,3,0)*0.475*44/12</f>
        <v>12.170176547193662</v>
      </c>
      <c r="AC46" s="24">
        <f t="shared" si="3"/>
        <v>99.061756408613832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5.6843418860808015E-14</v>
      </c>
      <c r="O47" s="14">
        <f>N47*VLOOKUP('Données projet'!$B$9,Paramètres!$A$1:$I$89,3,0)*VLOOKUP('Données projet'!$B$9,Paramètres!$A$1:$I$89,5,0)</f>
        <v>3.3992364478763198E-14</v>
      </c>
      <c r="P47" s="14">
        <f t="shared" si="33"/>
        <v>5.790027782444094E-13</v>
      </c>
      <c r="Q47" s="22">
        <f t="shared" si="53"/>
        <v>1.0676332069095257E-12</v>
      </c>
      <c r="R47" s="62">
        <f t="shared" si="0"/>
        <v>293.33333333333439</v>
      </c>
      <c r="S47" s="62">
        <f ca="1">AVERAGE(OFFSET($R$3,0,0,'Données projet'!$E$9+1,1))-AVERAGE(OFFSET($H$3,0,0,'Données projet'!$E$9+1,1))</f>
        <v>157.98488572680344</v>
      </c>
      <c r="T47" s="62">
        <f t="shared" si="34"/>
        <v>269.20989374735825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82.902037559511172</v>
      </c>
      <c r="AA47" s="23">
        <f>EXP(-LN(2)/25)*AA46+(1-EXP(-LN(2)/25))/(LN(2)/25)*Calculateur!V47*Calculateur!X47*VLOOKUP('Données projet'!$B$9,Paramètres!$A$1:$I$89,3,0)*0.475*44/12</f>
        <v>2.2676167424037392</v>
      </c>
      <c r="AB47" s="23">
        <f>EXP(-LN(2)/2)*AB46+(1-EXP(-LN(2)/2))/(LN(2)/2)*V47*Y47*VLOOKUP('Données projet'!$B$9,Paramètres!$A$1:$I$89,3,0)*0.475*44/12</f>
        <v>8.6056143647581216</v>
      </c>
      <c r="AC47" s="24">
        <f t="shared" si="3"/>
        <v>93.775268666673043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5.6843418860808015E-14</v>
      </c>
      <c r="O48" s="14">
        <f>N48*VLOOKUP('Données projet'!$B$9,Paramètres!$A$1:$I$89,3,0)*VLOOKUP('Données projet'!$B$9,Paramètres!$A$1:$I$89,5,0)</f>
        <v>3.3992364478763198E-14</v>
      </c>
      <c r="P48" s="14">
        <f t="shared" si="33"/>
        <v>5.790027782444094E-13</v>
      </c>
      <c r="Q48" s="22">
        <f t="shared" si="53"/>
        <v>1.0676332069095257E-12</v>
      </c>
      <c r="R48" s="62">
        <f t="shared" si="0"/>
        <v>293.33333333333439</v>
      </c>
      <c r="S48" s="62">
        <f ca="1">AVERAGE(OFFSET($R$3,0,0,'Données projet'!$E$9+1,1))-AVERAGE(OFFSET($H$3,0,0,'Données projet'!$E$9+1,1))</f>
        <v>157.98488572680344</v>
      </c>
      <c r="T48" s="62">
        <f t="shared" si="34"/>
        <v>269.20989374735825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81.276379168219165</v>
      </c>
      <c r="AA48" s="23">
        <f>EXP(-LN(2)/25)*AA47+(1-EXP(-LN(2)/25))/(LN(2)/25)*Calculateur!V48*Calculateur!X48*VLOOKUP('Données projet'!$B$9,Paramètres!$A$1:$I$89,3,0)*0.475*44/12</f>
        <v>2.2056086433339273</v>
      </c>
      <c r="AB48" s="23">
        <f>EXP(-LN(2)/2)*AB47+(1-EXP(-LN(2)/2))/(LN(2)/2)*V48*Y48*VLOOKUP('Données projet'!$B$9,Paramètres!$A$1:$I$89,3,0)*0.475*44/12</f>
        <v>6.0850882735968312</v>
      </c>
      <c r="AC48" s="24">
        <f t="shared" si="3"/>
        <v>89.567076085149921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5.6843418860808015E-14</v>
      </c>
      <c r="O49" s="14">
        <f>N49*VLOOKUP('Données projet'!$B$9,Paramètres!$A$1:$I$89,3,0)*VLOOKUP('Données projet'!$B$9,Paramètres!$A$1:$I$89,5,0)</f>
        <v>3.3992364478763198E-14</v>
      </c>
      <c r="P49" s="14">
        <f t="shared" si="33"/>
        <v>5.790027782444094E-13</v>
      </c>
      <c r="Q49" s="22">
        <f t="shared" si="53"/>
        <v>1.0676332069095257E-12</v>
      </c>
      <c r="R49" s="62">
        <f t="shared" si="0"/>
        <v>293.33333333333439</v>
      </c>
      <c r="S49" s="62">
        <f ca="1">AVERAGE(OFFSET($R$3,0,0,'Données projet'!$E$9+1,1))-AVERAGE(OFFSET($H$3,0,0,'Données projet'!$E$9+1,1))</f>
        <v>157.98488572680344</v>
      </c>
      <c r="T49" s="62">
        <f t="shared" si="34"/>
        <v>269.20989374735825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79.68259894642668</v>
      </c>
      <c r="AA49" s="23">
        <f>EXP(-LN(2)/25)*AA48+(1-EXP(-LN(2)/25))/(LN(2)/25)*Calculateur!V49*Calculateur!X49*VLOOKUP('Données projet'!$B$9,Paramètres!$A$1:$I$89,3,0)*0.475*44/12</f>
        <v>2.1452961589940434</v>
      </c>
      <c r="AB49" s="23">
        <f>EXP(-LN(2)/2)*AB48+(1-EXP(-LN(2)/2))/(LN(2)/2)*V49*Y49*VLOOKUP('Données projet'!$B$9,Paramètres!$A$1:$I$89,3,0)*0.475*44/12</f>
        <v>4.3028071823790608</v>
      </c>
      <c r="AC49" s="24">
        <f t="shared" si="3"/>
        <v>86.130702287799778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5.6843418860808015E-14</v>
      </c>
      <c r="O50" s="14">
        <f>N50*VLOOKUP('Données projet'!$B$9,Paramètres!$A$1:$I$89,3,0)*VLOOKUP('Données projet'!$B$9,Paramètres!$A$1:$I$89,5,0)</f>
        <v>3.3992364478763198E-14</v>
      </c>
      <c r="P50" s="14">
        <f t="shared" si="33"/>
        <v>5.790027782444094E-13</v>
      </c>
      <c r="Q50" s="22">
        <f t="shared" si="53"/>
        <v>1.0676332069095257E-12</v>
      </c>
      <c r="R50" s="62">
        <f t="shared" si="0"/>
        <v>293.33333333333439</v>
      </c>
      <c r="S50" s="62">
        <f ca="1">AVERAGE(OFFSET($R$3,0,0,'Données projet'!$E$9+1,1))-AVERAGE(OFFSET($H$3,0,0,'Données projet'!$E$9+1,1))</f>
        <v>157.98488572680344</v>
      </c>
      <c r="T50" s="62">
        <f t="shared" si="34"/>
        <v>269.20989374735825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78.120071782673605</v>
      </c>
      <c r="AA50" s="23">
        <f>EXP(-LN(2)/25)*AA49+(1-EXP(-LN(2)/25))/(LN(2)/25)*Calculateur!V50*Calculateur!X50*VLOOKUP('Données projet'!$B$9,Paramètres!$A$1:$I$89,3,0)*0.475*44/12</f>
        <v>2.0866329227101295</v>
      </c>
      <c r="AB50" s="23">
        <f>EXP(-LN(2)/2)*AB49+(1-EXP(-LN(2)/2))/(LN(2)/2)*V50*Y50*VLOOKUP('Données projet'!$B$9,Paramètres!$A$1:$I$89,3,0)*0.475*44/12</f>
        <v>3.0425441367984156</v>
      </c>
      <c r="AC50" s="24">
        <f t="shared" si="3"/>
        <v>83.249248842182141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5.6843418860808015E-14</v>
      </c>
      <c r="O51" s="14">
        <f>N51*VLOOKUP('Données projet'!$B$9,Paramètres!$A$1:$I$89,3,0)*VLOOKUP('Données projet'!$B$9,Paramètres!$A$1:$I$89,5,0)</f>
        <v>3.3992364478763198E-14</v>
      </c>
      <c r="P51" s="14">
        <f t="shared" si="33"/>
        <v>5.790027782444094E-13</v>
      </c>
      <c r="Q51" s="22">
        <f t="shared" si="53"/>
        <v>1.0676332069095257E-12</v>
      </c>
      <c r="R51" s="62">
        <f t="shared" si="0"/>
        <v>293.33333333333439</v>
      </c>
      <c r="S51" s="62">
        <f ca="1">AVERAGE(OFFSET($R$3,0,0,'Données projet'!$E$9+1,1))-AVERAGE(OFFSET($H$3,0,0,'Données projet'!$E$9+1,1))</f>
        <v>157.98488572680344</v>
      </c>
      <c r="T51" s="62">
        <f t="shared" si="34"/>
        <v>269.20989374735825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76.588184823554258</v>
      </c>
      <c r="AA51" s="23">
        <f>EXP(-LN(2)/25)*AA50+(1-EXP(-LN(2)/25))/(LN(2)/25)*Calculateur!V51*Calculateur!X51*VLOOKUP('Données projet'!$B$9,Paramètres!$A$1:$I$89,3,0)*0.475*44/12</f>
        <v>2.0295738357073647</v>
      </c>
      <c r="AB51" s="23">
        <f>EXP(-LN(2)/2)*AB50+(1-EXP(-LN(2)/2))/(LN(2)/2)*V51*Y51*VLOOKUP('Données projet'!$B$9,Paramètres!$A$1:$I$89,3,0)*0.475*44/12</f>
        <v>2.1514035911895304</v>
      </c>
      <c r="AC51" s="24">
        <f t="shared" si="3"/>
        <v>80.76916225045116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5.6843418860808015E-14</v>
      </c>
      <c r="O52" s="14">
        <f>N52*VLOOKUP('Données projet'!$B$9,Paramètres!$A$1:$I$89,3,0)*VLOOKUP('Données projet'!$B$9,Paramètres!$A$1:$I$89,5,0)</f>
        <v>3.3992364478763198E-14</v>
      </c>
      <c r="P52" s="14">
        <f t="shared" si="33"/>
        <v>5.790027782444094E-13</v>
      </c>
      <c r="Q52" s="22">
        <f t="shared" si="53"/>
        <v>1.0676332069095257E-12</v>
      </c>
      <c r="R52" s="62">
        <f t="shared" si="0"/>
        <v>293.33333333333439</v>
      </c>
      <c r="S52" s="62">
        <f ca="1">AVERAGE(OFFSET($R$3,0,0,'Données projet'!$E$9+1,1))-AVERAGE(OFFSET($H$3,0,0,'Données projet'!$E$9+1,1))</f>
        <v>157.98488572680344</v>
      </c>
      <c r="T52" s="62">
        <f t="shared" si="34"/>
        <v>269.20989374735825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75.086337233344466</v>
      </c>
      <c r="AA52" s="23">
        <f>EXP(-LN(2)/25)*AA51+(1-EXP(-LN(2)/25))/(LN(2)/25)*Calculateur!V52*Calculateur!X52*VLOOKUP('Données projet'!$B$9,Paramètres!$A$1:$I$89,3,0)*0.475*44/12</f>
        <v>1.9740750324392975</v>
      </c>
      <c r="AB52" s="23">
        <f>EXP(-LN(2)/2)*AB51+(1-EXP(-LN(2)/2))/(LN(2)/2)*V52*Y52*VLOOKUP('Données projet'!$B$9,Paramètres!$A$1:$I$89,3,0)*0.475*44/12</f>
        <v>1.5212720683992078</v>
      </c>
      <c r="AC52" s="24">
        <f t="shared" si="3"/>
        <v>78.581684334182981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5.6843418860808015E-14</v>
      </c>
      <c r="O53" s="14">
        <f>N53*VLOOKUP('Données projet'!$B$9,Paramètres!$A$1:$I$89,3,0)*VLOOKUP('Données projet'!$B$9,Paramètres!$A$1:$I$89,5,0)</f>
        <v>3.3992364478763198E-14</v>
      </c>
      <c r="P53" s="14">
        <f t="shared" si="33"/>
        <v>5.790027782444094E-13</v>
      </c>
      <c r="Q53" s="22">
        <f t="shared" si="53"/>
        <v>1.0676332069095257E-12</v>
      </c>
      <c r="R53" s="62">
        <f t="shared" si="0"/>
        <v>293.33333333333439</v>
      </c>
      <c r="S53" s="62">
        <f ca="1">AVERAGE(OFFSET($R$3,0,0,'Données projet'!$E$9+1,1))-AVERAGE(OFFSET($H$3,0,0,'Données projet'!$E$9+1,1))</f>
        <v>157.98488572680344</v>
      </c>
      <c r="T53" s="62">
        <f t="shared" si="34"/>
        <v>269.20989374735825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73.613939958342101</v>
      </c>
      <c r="AA53" s="23">
        <f>EXP(-LN(2)/25)*AA52+(1-EXP(-LN(2)/25))/(LN(2)/25)*Calculateur!V53*Calculateur!X53*VLOOKUP('Données projet'!$B$9,Paramètres!$A$1:$I$89,3,0)*0.475*44/12</f>
        <v>1.9200938468651507</v>
      </c>
      <c r="AB53" s="23">
        <f>EXP(-LN(2)/2)*AB52+(1-EXP(-LN(2)/2))/(LN(2)/2)*V53*Y53*VLOOKUP('Données projet'!$B$9,Paramètres!$A$1:$I$89,3,0)*0.475*44/12</f>
        <v>1.0757017955947652</v>
      </c>
      <c r="AC53" s="24">
        <f t="shared" si="3"/>
        <v>76.609735600802026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5.6843418860808015E-14</v>
      </c>
      <c r="O54" s="14">
        <f>N54*VLOOKUP('Données projet'!$B$9,Paramètres!$A$1:$I$89,3,0)*VLOOKUP('Données projet'!$B$9,Paramètres!$A$1:$I$89,5,0)</f>
        <v>3.3992364478763198E-14</v>
      </c>
      <c r="P54" s="14">
        <f t="shared" si="33"/>
        <v>5.790027782444094E-13</v>
      </c>
      <c r="Q54" s="22">
        <f t="shared" si="53"/>
        <v>1.0676332069095257E-12</v>
      </c>
      <c r="R54" s="62">
        <f t="shared" si="0"/>
        <v>293.33333333333439</v>
      </c>
      <c r="S54" s="62">
        <f ca="1">AVERAGE(OFFSET($R$3,0,0,'Données projet'!$E$9+1,1))-AVERAGE(OFFSET($H$3,0,0,'Données projet'!$E$9+1,1))</f>
        <v>157.98488572680344</v>
      </c>
      <c r="T54" s="62">
        <f t="shared" si="34"/>
        <v>269.20989374735825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72.170415495828877</v>
      </c>
      <c r="AA54" s="23">
        <f>EXP(-LN(2)/25)*AA53+(1-EXP(-LN(2)/25))/(LN(2)/25)*Calculateur!V54*Calculateur!X54*VLOOKUP('Données projet'!$B$9,Paramètres!$A$1:$I$89,3,0)*0.475*44/12</f>
        <v>1.8675887796492763</v>
      </c>
      <c r="AB54" s="23">
        <f>EXP(-LN(2)/2)*AB53+(1-EXP(-LN(2)/2))/(LN(2)/2)*V54*Y54*VLOOKUP('Données projet'!$B$9,Paramètres!$A$1:$I$89,3,0)*0.475*44/12</f>
        <v>0.76063603419960391</v>
      </c>
      <c r="AC54" s="24">
        <f t="shared" si="3"/>
        <v>74.798640309677765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5.6843418860808015E-14</v>
      </c>
      <c r="O55" s="14">
        <f>N55*VLOOKUP('Données projet'!$B$9,Paramètres!$A$1:$I$89,3,0)*VLOOKUP('Données projet'!$B$9,Paramètres!$A$1:$I$89,5,0)</f>
        <v>3.3992364478763198E-14</v>
      </c>
      <c r="P55" s="14">
        <f t="shared" si="33"/>
        <v>5.790027782444094E-13</v>
      </c>
      <c r="Q55" s="22">
        <f t="shared" si="53"/>
        <v>1.0676332069095257E-12</v>
      </c>
      <c r="R55" s="62">
        <f t="shared" si="0"/>
        <v>293.33333333333439</v>
      </c>
      <c r="S55" s="62">
        <f ca="1">AVERAGE(OFFSET($R$3,0,0,'Données projet'!$E$9+1,1))-AVERAGE(OFFSET($H$3,0,0,'Données projet'!$E$9+1,1))</f>
        <v>157.98488572680344</v>
      </c>
      <c r="T55" s="62">
        <f t="shared" si="34"/>
        <v>269.20989374735825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70.755197667562555</v>
      </c>
      <c r="AA55" s="23">
        <f>EXP(-LN(2)/25)*AA54+(1-EXP(-LN(2)/25))/(LN(2)/25)*Calculateur!V55*Calculateur!X55*VLOOKUP('Données projet'!$B$9,Paramètres!$A$1:$I$89,3,0)*0.475*44/12</f>
        <v>1.8165194662575412</v>
      </c>
      <c r="AB55" s="23">
        <f>EXP(-LN(2)/2)*AB54+(1-EXP(-LN(2)/2))/(LN(2)/2)*V55*Y55*VLOOKUP('Données projet'!$B$9,Paramètres!$A$1:$I$89,3,0)*0.475*44/12</f>
        <v>0.5378508977973826</v>
      </c>
      <c r="AC55" s="24">
        <f t="shared" si="3"/>
        <v>73.109568031617485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5.6843418860808015E-14</v>
      </c>
      <c r="O56" s="14">
        <f>N56*VLOOKUP('Données projet'!$B$9,Paramètres!$A$1:$I$89,3,0)*VLOOKUP('Données projet'!$B$9,Paramètres!$A$1:$I$89,5,0)</f>
        <v>3.3992364478763198E-14</v>
      </c>
      <c r="P56" s="14">
        <f t="shared" si="33"/>
        <v>5.790027782444094E-13</v>
      </c>
      <c r="Q56" s="22">
        <f t="shared" si="53"/>
        <v>1.0676332069095257E-12</v>
      </c>
      <c r="R56" s="62">
        <f t="shared" si="0"/>
        <v>293.33333333333439</v>
      </c>
      <c r="S56" s="62">
        <f ca="1">AVERAGE(OFFSET($R$3,0,0,'Données projet'!$E$9+1,1))-AVERAGE(OFFSET($H$3,0,0,'Données projet'!$E$9+1,1))</f>
        <v>157.98488572680344</v>
      </c>
      <c r="T56" s="62">
        <f t="shared" si="34"/>
        <v>269.20989374735825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69.367731397710884</v>
      </c>
      <c r="AA56" s="23">
        <f>EXP(-LN(2)/25)*AA55+(1-EXP(-LN(2)/25))/(LN(2)/25)*Calculateur!V56*Calculateur!X56*VLOOKUP('Données projet'!$B$9,Paramètres!$A$1:$I$89,3,0)*0.475*44/12</f>
        <v>1.7668466459261218</v>
      </c>
      <c r="AB56" s="23">
        <f>EXP(-LN(2)/2)*AB55+(1-EXP(-LN(2)/2))/(LN(2)/2)*V56*Y56*VLOOKUP('Données projet'!$B$9,Paramètres!$A$1:$I$89,3,0)*0.475*44/12</f>
        <v>0.38031801709980195</v>
      </c>
      <c r="AC56" s="24">
        <f t="shared" si="3"/>
        <v>71.514896060736802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5.6843418860808015E-14</v>
      </c>
      <c r="O57" s="14">
        <f>N57*VLOOKUP('Données projet'!$B$9,Paramètres!$A$1:$I$89,3,0)*VLOOKUP('Données projet'!$B$9,Paramètres!$A$1:$I$89,5,0)</f>
        <v>3.3992364478763198E-14</v>
      </c>
      <c r="P57" s="14">
        <f t="shared" si="33"/>
        <v>5.790027782444094E-13</v>
      </c>
      <c r="Q57" s="22">
        <f t="shared" si="53"/>
        <v>1.0676332069095257E-12</v>
      </c>
      <c r="R57" s="62">
        <f t="shared" si="0"/>
        <v>293.33333333333439</v>
      </c>
      <c r="S57" s="62">
        <f ca="1">AVERAGE(OFFSET($R$3,0,0,'Données projet'!$E$9+1,1))-AVERAGE(OFFSET($H$3,0,0,'Données projet'!$E$9+1,1))</f>
        <v>157.98488572680344</v>
      </c>
      <c r="T57" s="62">
        <f t="shared" si="34"/>
        <v>269.20989374735825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68.007472495140149</v>
      </c>
      <c r="AA57" s="23">
        <f>EXP(-LN(2)/25)*AA56+(1-EXP(-LN(2)/25))/(LN(2)/25)*Calculateur!V57*Calculateur!X57*VLOOKUP('Données projet'!$B$9,Paramètres!$A$1:$I$89,3,0)*0.475*44/12</f>
        <v>1.7185321314788451</v>
      </c>
      <c r="AB57" s="23">
        <f>EXP(-LN(2)/2)*AB56+(1-EXP(-LN(2)/2))/(LN(2)/2)*V57*Y57*VLOOKUP('Données projet'!$B$9,Paramètres!$A$1:$I$89,3,0)*0.475*44/12</f>
        <v>0.2689254488986913</v>
      </c>
      <c r="AC57" s="24">
        <f t="shared" si="3"/>
        <v>69.994930075517672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5.6843418860808015E-14</v>
      </c>
      <c r="O58" s="14">
        <f>N58*VLOOKUP('Données projet'!$B$9,Paramètres!$A$1:$I$89,3,0)*VLOOKUP('Données projet'!$B$9,Paramètres!$A$1:$I$89,5,0)</f>
        <v>3.3992364478763198E-14</v>
      </c>
      <c r="P58" s="14">
        <f t="shared" si="33"/>
        <v>5.790027782444094E-13</v>
      </c>
      <c r="Q58" s="22">
        <f t="shared" si="53"/>
        <v>1.0676332069095257E-12</v>
      </c>
      <c r="R58" s="62">
        <f t="shared" si="0"/>
        <v>293.33333333333439</v>
      </c>
      <c r="S58" s="62">
        <f ca="1">AVERAGE(OFFSET($R$3,0,0,'Données projet'!$E$9+1,1))-AVERAGE(OFFSET($H$3,0,0,'Données projet'!$E$9+1,1))</f>
        <v>157.98488572680344</v>
      </c>
      <c r="T58" s="62">
        <f t="shared" si="34"/>
        <v>269.20989374735825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66.673887439972816</v>
      </c>
      <c r="AA58" s="23">
        <f>EXP(-LN(2)/25)*AA57+(1-EXP(-LN(2)/25))/(LN(2)/25)*Calculateur!V58*Calculateur!X58*VLOOKUP('Données projet'!$B$9,Paramètres!$A$1:$I$89,3,0)*0.475*44/12</f>
        <v>1.6715387799698791</v>
      </c>
      <c r="AB58" s="23">
        <f>EXP(-LN(2)/2)*AB57+(1-EXP(-LN(2)/2))/(LN(2)/2)*V58*Y58*VLOOKUP('Données projet'!$B$9,Paramètres!$A$1:$I$89,3,0)*0.475*44/12</f>
        <v>0.19015900854990098</v>
      </c>
      <c r="AC58" s="24">
        <f t="shared" si="3"/>
        <v>68.535585228492593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5.6843418860808015E-14</v>
      </c>
      <c r="O59" s="14">
        <f>N59*VLOOKUP('Données projet'!$B$9,Paramètres!$A$1:$I$89,3,0)*VLOOKUP('Données projet'!$B$9,Paramètres!$A$1:$I$89,5,0)</f>
        <v>3.3992364478763198E-14</v>
      </c>
      <c r="P59" s="14">
        <f t="shared" si="33"/>
        <v>5.790027782444094E-13</v>
      </c>
      <c r="Q59" s="22">
        <f t="shared" si="53"/>
        <v>1.0676332069095257E-12</v>
      </c>
      <c r="R59" s="62">
        <f t="shared" si="0"/>
        <v>293.33333333333439</v>
      </c>
      <c r="S59" s="62">
        <f ca="1">AVERAGE(OFFSET($R$3,0,0,'Données projet'!$E$9+1,1))-AVERAGE(OFFSET($H$3,0,0,'Données projet'!$E$9+1,1))</f>
        <v>157.98488572680344</v>
      </c>
      <c r="T59" s="62">
        <f t="shared" si="34"/>
        <v>269.20989374735825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65.366453174330744</v>
      </c>
      <c r="AA59" s="23">
        <f>EXP(-LN(2)/25)*AA58+(1-EXP(-LN(2)/25))/(LN(2)/25)*Calculateur!V59*Calculateur!X59*VLOOKUP('Données projet'!$B$9,Paramètres!$A$1:$I$89,3,0)*0.475*44/12</f>
        <v>1.6258304641291987</v>
      </c>
      <c r="AB59" s="23">
        <f>EXP(-LN(2)/2)*AB58+(1-EXP(-LN(2)/2))/(LN(2)/2)*V59*Y59*VLOOKUP('Données projet'!$B$9,Paramètres!$A$1:$I$89,3,0)*0.475*44/12</f>
        <v>0.13446272444934565</v>
      </c>
      <c r="AC59" s="24">
        <f t="shared" si="3"/>
        <v>67.126746362909287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5.6843418860808015E-14</v>
      </c>
      <c r="O60" s="14">
        <f>N60*VLOOKUP('Données projet'!$B$9,Paramètres!$A$1:$I$89,3,0)*VLOOKUP('Données projet'!$B$9,Paramètres!$A$1:$I$89,5,0)</f>
        <v>3.3992364478763198E-14</v>
      </c>
      <c r="P60" s="14">
        <f t="shared" si="33"/>
        <v>5.790027782444094E-13</v>
      </c>
      <c r="Q60" s="22">
        <f t="shared" si="53"/>
        <v>1.0676332069095257E-12</v>
      </c>
      <c r="R60" s="62">
        <f t="shared" si="0"/>
        <v>293.33333333333439</v>
      </c>
      <c r="S60" s="62">
        <f ca="1">AVERAGE(OFFSET($R$3,0,0,'Données projet'!$E$9+1,1))-AVERAGE(OFFSET($H$3,0,0,'Données projet'!$E$9+1,1))</f>
        <v>157.98488572680344</v>
      </c>
      <c r="T60" s="62">
        <f t="shared" si="34"/>
        <v>269.20989374735825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64.084656897181759</v>
      </c>
      <c r="AA60" s="23">
        <f>EXP(-LN(2)/25)*AA59+(1-EXP(-LN(2)/25))/(LN(2)/25)*Calculateur!V60*Calculateur!X60*VLOOKUP('Données projet'!$B$9,Paramètres!$A$1:$I$89,3,0)*0.475*44/12</f>
        <v>1.5813720445888775</v>
      </c>
      <c r="AB60" s="23">
        <f>EXP(-LN(2)/2)*AB59+(1-EXP(-LN(2)/2))/(LN(2)/2)*V60*Y60*VLOOKUP('Données projet'!$B$9,Paramètres!$A$1:$I$89,3,0)*0.475*44/12</f>
        <v>9.5079504274950488E-2</v>
      </c>
      <c r="AC60" s="24">
        <f t="shared" si="3"/>
        <v>65.761108446045583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5.6843418860808015E-14</v>
      </c>
      <c r="O61" s="14">
        <f>N61*VLOOKUP('Données projet'!$B$9,Paramètres!$A$1:$I$89,3,0)*VLOOKUP('Données projet'!$B$9,Paramètres!$A$1:$I$89,5,0)</f>
        <v>3.3992364478763198E-14</v>
      </c>
      <c r="P61" s="14">
        <f t="shared" si="33"/>
        <v>5.790027782444094E-13</v>
      </c>
      <c r="Q61" s="22">
        <f t="shared" si="53"/>
        <v>1.0676332069095257E-12</v>
      </c>
      <c r="R61" s="62">
        <f t="shared" si="0"/>
        <v>293.33333333333439</v>
      </c>
      <c r="S61" s="62">
        <f ca="1">AVERAGE(OFFSET($R$3,0,0,'Données projet'!$E$9+1,1))-AVERAGE(OFFSET($H$3,0,0,'Données projet'!$E$9+1,1))</f>
        <v>157.98488572680344</v>
      </c>
      <c r="T61" s="62">
        <f t="shared" si="34"/>
        <v>269.20989374735825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62.827995863209132</v>
      </c>
      <c r="AA61" s="23">
        <f>EXP(-LN(2)/25)*AA60+(1-EXP(-LN(2)/25))/(LN(2)/25)*Calculateur!V61*Calculateur!X61*VLOOKUP('Données projet'!$B$9,Paramètres!$A$1:$I$89,3,0)*0.475*44/12</f>
        <v>1.5381293428688532</v>
      </c>
      <c r="AB61" s="23">
        <f>EXP(-LN(2)/2)*AB60+(1-EXP(-LN(2)/2))/(LN(2)/2)*V61*Y61*VLOOKUP('Données projet'!$B$9,Paramètres!$A$1:$I$89,3,0)*0.475*44/12</f>
        <v>6.7231362224672825E-2</v>
      </c>
      <c r="AC61" s="24">
        <f t="shared" si="3"/>
        <v>64.433356568302656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5.6843418860808015E-14</v>
      </c>
      <c r="O62" s="14">
        <f>N62*VLOOKUP('Données projet'!$B$9,Paramètres!$A$1:$I$89,3,0)*VLOOKUP('Données projet'!$B$9,Paramètres!$A$1:$I$89,5,0)</f>
        <v>3.3992364478763198E-14</v>
      </c>
      <c r="P62" s="14">
        <f t="shared" si="33"/>
        <v>5.790027782444094E-13</v>
      </c>
      <c r="Q62" s="22">
        <f t="shared" si="53"/>
        <v>1.0676332069095257E-12</v>
      </c>
      <c r="R62" s="62">
        <f t="shared" si="0"/>
        <v>293.33333333333439</v>
      </c>
      <c r="S62" s="62">
        <f ca="1">AVERAGE(OFFSET($R$3,0,0,'Données projet'!$E$9+1,1))-AVERAGE(OFFSET($H$3,0,0,'Données projet'!$E$9+1,1))</f>
        <v>157.98488572680344</v>
      </c>
      <c r="T62" s="62">
        <f t="shared" si="34"/>
        <v>269.20989374735825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61.595977185625166</v>
      </c>
      <c r="AA62" s="23">
        <f>EXP(-LN(2)/25)*AA61+(1-EXP(-LN(2)/25))/(LN(2)/25)*Calculateur!V62*Calculateur!X62*VLOOKUP('Données projet'!$B$9,Paramètres!$A$1:$I$89,3,0)*0.475*44/12</f>
        <v>1.4960691151013976</v>
      </c>
      <c r="AB62" s="23">
        <f>EXP(-LN(2)/2)*AB61+(1-EXP(-LN(2)/2))/(LN(2)/2)*V62*Y62*VLOOKUP('Données projet'!$B$9,Paramètres!$A$1:$I$89,3,0)*0.475*44/12</f>
        <v>4.7539752137475244E-2</v>
      </c>
      <c r="AC62" s="24">
        <f t="shared" si="3"/>
        <v>63.13958605286404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5.6843418860808015E-14</v>
      </c>
      <c r="O63" s="14">
        <f>N63*VLOOKUP('Données projet'!$B$9,Paramètres!$A$1:$I$89,3,0)*VLOOKUP('Données projet'!$B$9,Paramètres!$A$1:$I$89,5,0)</f>
        <v>3.3992364478763198E-14</v>
      </c>
      <c r="P63" s="14">
        <f t="shared" si="33"/>
        <v>5.790027782444094E-13</v>
      </c>
      <c r="Q63" s="22">
        <f t="shared" si="53"/>
        <v>1.0676332069095257E-12</v>
      </c>
      <c r="R63" s="62">
        <f t="shared" si="0"/>
        <v>293.33333333333439</v>
      </c>
      <c r="S63" s="62">
        <f ca="1">AVERAGE(OFFSET($R$3,0,0,'Données projet'!$E$9+1,1))-AVERAGE(OFFSET($H$3,0,0,'Données projet'!$E$9+1,1))</f>
        <v>157.98488572680344</v>
      </c>
      <c r="T63" s="62">
        <f t="shared" si="34"/>
        <v>269.20989374735825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60.388117642851427</v>
      </c>
      <c r="AA63" s="23">
        <f>EXP(-LN(2)/25)*AA62+(1-EXP(-LN(2)/25))/(LN(2)/25)*Calculateur!V63*Calculateur!X63*VLOOKUP('Données projet'!$B$9,Paramètres!$A$1:$I$89,3,0)*0.475*44/12</f>
        <v>1.4551590264740943</v>
      </c>
      <c r="AB63" s="23">
        <f>EXP(-LN(2)/2)*AB62+(1-EXP(-LN(2)/2))/(LN(2)/2)*V63*Y63*VLOOKUP('Données projet'!$B$9,Paramètres!$A$1:$I$89,3,0)*0.475*44/12</f>
        <v>3.3615681112336412E-2</v>
      </c>
      <c r="AC63" s="24">
        <f t="shared" si="3"/>
        <v>61.876892350437856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5.6843418860808015E-14</v>
      </c>
      <c r="O64" s="14">
        <f>N64*VLOOKUP('Données projet'!$B$9,Paramètres!$A$1:$I$89,3,0)*VLOOKUP('Données projet'!$B$9,Paramètres!$A$1:$I$89,5,0)</f>
        <v>3.3992364478763198E-14</v>
      </c>
      <c r="P64" s="14">
        <f t="shared" si="33"/>
        <v>5.790027782444094E-13</v>
      </c>
      <c r="Q64" s="22">
        <f t="shared" si="53"/>
        <v>1.0676332069095257E-12</v>
      </c>
      <c r="R64" s="62">
        <f t="shared" si="0"/>
        <v>293.33333333333439</v>
      </c>
      <c r="S64" s="62">
        <f ca="1">AVERAGE(OFFSET($R$3,0,0,'Données projet'!$E$9+1,1))-AVERAGE(OFFSET($H$3,0,0,'Données projet'!$E$9+1,1))</f>
        <v>157.98488572680344</v>
      </c>
      <c r="T64" s="62">
        <f t="shared" si="34"/>
        <v>269.20989374735825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59.203943488989907</v>
      </c>
      <c r="AA64" s="23">
        <f>EXP(-LN(2)/25)*AA63+(1-EXP(-LN(2)/25))/(LN(2)/25)*Calculateur!V64*Calculateur!X64*VLOOKUP('Données projet'!$B$9,Paramètres!$A$1:$I$89,3,0)*0.475*44/12</f>
        <v>1.4153676263716728</v>
      </c>
      <c r="AB64" s="23">
        <f>EXP(-LN(2)/2)*AB63+(1-EXP(-LN(2)/2))/(LN(2)/2)*V64*Y64*VLOOKUP('Données projet'!$B$9,Paramètres!$A$1:$I$89,3,0)*0.475*44/12</f>
        <v>2.3769876068737622E-2</v>
      </c>
      <c r="AC64" s="24">
        <f t="shared" si="3"/>
        <v>60.643080991430324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5.6843418860808015E-14</v>
      </c>
      <c r="O65" s="14">
        <f>N65*VLOOKUP('Données projet'!$B$9,Paramètres!$A$1:$I$89,3,0)*VLOOKUP('Données projet'!$B$9,Paramètres!$A$1:$I$89,5,0)</f>
        <v>3.3992364478763198E-14</v>
      </c>
      <c r="P65" s="14">
        <f t="shared" si="33"/>
        <v>5.790027782444094E-13</v>
      </c>
      <c r="Q65" s="22">
        <f t="shared" si="53"/>
        <v>1.0676332069095257E-12</v>
      </c>
      <c r="R65" s="62">
        <f t="shared" si="0"/>
        <v>293.33333333333439</v>
      </c>
      <c r="S65" s="62">
        <f ca="1">AVERAGE(OFFSET($R$3,0,0,'Données projet'!$E$9+1,1))-AVERAGE(OFFSET($H$3,0,0,'Données projet'!$E$9+1,1))</f>
        <v>157.98488572680344</v>
      </c>
      <c r="T65" s="62">
        <f t="shared" si="34"/>
        <v>269.20989374735825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58.042990268010691</v>
      </c>
      <c r="AA65" s="23">
        <f>EXP(-LN(2)/25)*AA64+(1-EXP(-LN(2)/25))/(LN(2)/25)*Calculateur!V65*Calculateur!X65*VLOOKUP('Données projet'!$B$9,Paramètres!$A$1:$I$89,3,0)*0.475*44/12</f>
        <v>1.3766643241975909</v>
      </c>
      <c r="AB65" s="23">
        <f>EXP(-LN(2)/2)*AB64+(1-EXP(-LN(2)/2))/(LN(2)/2)*V65*Y65*VLOOKUP('Données projet'!$B$9,Paramètres!$A$1:$I$89,3,0)*0.475*44/12</f>
        <v>1.6807840556168206E-2</v>
      </c>
      <c r="AC65" s="24">
        <f t="shared" si="3"/>
        <v>59.436462432764451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5.6843418860808015E-14</v>
      </c>
      <c r="O66" s="14">
        <f>N66*VLOOKUP('Données projet'!$B$9,Paramètres!$A$1:$I$89,3,0)*VLOOKUP('Données projet'!$B$9,Paramètres!$A$1:$I$89,5,0)</f>
        <v>3.3992364478763198E-14</v>
      </c>
      <c r="P66" s="14">
        <f t="shared" si="33"/>
        <v>5.790027782444094E-13</v>
      </c>
      <c r="Q66" s="22">
        <f t="shared" si="53"/>
        <v>1.0676332069095257E-12</v>
      </c>
      <c r="R66" s="62">
        <f t="shared" si="0"/>
        <v>293.33333333333439</v>
      </c>
      <c r="S66" s="62">
        <f ca="1">AVERAGE(OFFSET($R$3,0,0,'Données projet'!$E$9+1,1))-AVERAGE(OFFSET($H$3,0,0,'Données projet'!$E$9+1,1))</f>
        <v>157.98488572680344</v>
      </c>
      <c r="T66" s="62">
        <f t="shared" si="34"/>
        <v>269.20989374735825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56.904802631583337</v>
      </c>
      <c r="AA66" s="23">
        <f>EXP(-LN(2)/25)*AA65+(1-EXP(-LN(2)/25))/(LN(2)/25)*Calculateur!V66*Calculateur!X66*VLOOKUP('Données projet'!$B$9,Paramètres!$A$1:$I$89,3,0)*0.475*44/12</f>
        <v>1.3390193658567773</v>
      </c>
      <c r="AB66" s="23">
        <f>EXP(-LN(2)/2)*AB65+(1-EXP(-LN(2)/2))/(LN(2)/2)*V66*Y66*VLOOKUP('Données projet'!$B$9,Paramètres!$A$1:$I$89,3,0)*0.475*44/12</f>
        <v>1.1884938034368811E-2</v>
      </c>
      <c r="AC66" s="24">
        <f t="shared" si="3"/>
        <v>58.255706935474485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5.6843418860808015E-14</v>
      </c>
      <c r="O67" s="14">
        <f>N67*VLOOKUP('Données projet'!$B$9,Paramètres!$A$1:$I$89,3,0)*VLOOKUP('Données projet'!$B$9,Paramètres!$A$1:$I$89,5,0)</f>
        <v>3.3992364478763198E-14</v>
      </c>
      <c r="P67" s="14">
        <f t="shared" si="33"/>
        <v>5.790027782444094E-13</v>
      </c>
      <c r="Q67" s="22">
        <f t="shared" ref="Q67:Q98" si="54">(O67+P67)*0.475*44/12</f>
        <v>1.0676332069095257E-12</v>
      </c>
      <c r="R67" s="62">
        <f t="shared" ref="R67:R130" si="55">Q67+(I67+J67)*44/12</f>
        <v>293.33333333333439</v>
      </c>
      <c r="S67" s="62">
        <f ca="1">AVERAGE(OFFSET($R$3,0,0,'Données projet'!$E$9+1,1))-AVERAGE(OFFSET($H$3,0,0,'Données projet'!$E$9+1,1))</f>
        <v>157.98488572680344</v>
      </c>
      <c r="T67" s="62">
        <f t="shared" si="34"/>
        <v>269.20989374735825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55.788934160480416</v>
      </c>
      <c r="AA67" s="23">
        <f>EXP(-LN(2)/25)*AA66+(1-EXP(-LN(2)/25))/(LN(2)/25)*Calculateur!V67*Calculateur!X67*VLOOKUP('Données projet'!$B$9,Paramètres!$A$1:$I$89,3,0)*0.475*44/12</f>
        <v>1.3024038108814555</v>
      </c>
      <c r="AB67" s="23">
        <f>EXP(-LN(2)/2)*AB66+(1-EXP(-LN(2)/2))/(LN(2)/2)*V67*Y67*VLOOKUP('Données projet'!$B$9,Paramètres!$A$1:$I$89,3,0)*0.475*44/12</f>
        <v>8.4039202780841031E-3</v>
      </c>
      <c r="AC67" s="24">
        <f t="shared" si="3"/>
        <v>57.099741891639958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5.6843418860808015E-14</v>
      </c>
      <c r="O68" s="14">
        <f>N68*VLOOKUP('Données projet'!$B$9,Paramètres!$A$1:$I$89,3,0)*VLOOKUP('Données projet'!$B$9,Paramètres!$A$1:$I$89,5,0)</f>
        <v>3.3992364478763198E-14</v>
      </c>
      <c r="P68" s="14">
        <f t="shared" si="33"/>
        <v>5.790027782444094E-13</v>
      </c>
      <c r="Q68" s="22">
        <f t="shared" si="54"/>
        <v>1.0676332069095257E-12</v>
      </c>
      <c r="R68" s="62">
        <f t="shared" si="55"/>
        <v>293.33333333333439</v>
      </c>
      <c r="S68" s="62">
        <f ca="1">AVERAGE(OFFSET($R$3,0,0,'Données projet'!$E$9+1,1))-AVERAGE(OFFSET($H$3,0,0,'Données projet'!$E$9+1,1))</f>
        <v>157.98488572680344</v>
      </c>
      <c r="T68" s="62">
        <f t="shared" si="34"/>
        <v>269.20989374735825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54.694947189483258</v>
      </c>
      <c r="AA68" s="23">
        <f>EXP(-LN(2)/25)*AA67+(1-EXP(-LN(2)/25))/(LN(2)/25)*Calculateur!V68*Calculateur!X68*VLOOKUP('Données projet'!$B$9,Paramètres!$A$1:$I$89,3,0)*0.475*44/12</f>
        <v>1.2667895101824624</v>
      </c>
      <c r="AB68" s="23">
        <f>EXP(-LN(2)/2)*AB67+(1-EXP(-LN(2)/2))/(LN(2)/2)*V68*Y68*VLOOKUP('Données projet'!$B$9,Paramètres!$A$1:$I$89,3,0)*0.475*44/12</f>
        <v>5.9424690171844055E-3</v>
      </c>
      <c r="AC68" s="24">
        <f t="shared" ref="AC68:AC131" si="57">SUM(Z68:AB68)</f>
        <v>55.967679168682906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5.6843418860808015E-14</v>
      </c>
      <c r="O69" s="14">
        <f>N69*VLOOKUP('Données projet'!$B$9,Paramètres!$A$1:$I$89,3,0)*VLOOKUP('Données projet'!$B$9,Paramètres!$A$1:$I$89,5,0)</f>
        <v>3.3992364478763198E-14</v>
      </c>
      <c r="P69" s="14">
        <f t="shared" ref="P69:P132" si="87">EXP(-1.0587+0.8836*LN(O69)+0.284)</f>
        <v>5.790027782444094E-13</v>
      </c>
      <c r="Q69" s="22">
        <f t="shared" si="54"/>
        <v>1.0676332069095257E-12</v>
      </c>
      <c r="R69" s="62">
        <f t="shared" si="55"/>
        <v>293.33333333333439</v>
      </c>
      <c r="S69" s="62">
        <f ca="1">AVERAGE(OFFSET($R$3,0,0,'Données projet'!$E$9+1,1))-AVERAGE(OFFSET($H$3,0,0,'Données projet'!$E$9+1,1))</f>
        <v>157.98488572680344</v>
      </c>
      <c r="T69" s="62">
        <f t="shared" ref="T69:T132" si="88">$T$3</f>
        <v>269.20989374735825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53.62241263572119</v>
      </c>
      <c r="AA69" s="23">
        <f>EXP(-LN(2)/25)*AA68+(1-EXP(-LN(2)/25))/(LN(2)/25)*Calculateur!V69*Calculateur!X69*VLOOKUP('Données projet'!$B$9,Paramètres!$A$1:$I$89,3,0)*0.475*44/12</f>
        <v>1.232149084408958</v>
      </c>
      <c r="AB69" s="23">
        <f>EXP(-LN(2)/2)*AB68+(1-EXP(-LN(2)/2))/(LN(2)/2)*V69*Y69*VLOOKUP('Données projet'!$B$9,Paramètres!$A$1:$I$89,3,0)*0.475*44/12</f>
        <v>4.2019601390420516E-3</v>
      </c>
      <c r="AC69" s="24">
        <f t="shared" si="57"/>
        <v>54.858763680269192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5.6843418860808015E-14</v>
      </c>
      <c r="O70" s="14">
        <f>N70*VLOOKUP('Données projet'!$B$9,Paramètres!$A$1:$I$89,3,0)*VLOOKUP('Données projet'!$B$9,Paramètres!$A$1:$I$89,5,0)</f>
        <v>3.3992364478763198E-14</v>
      </c>
      <c r="P70" s="14">
        <f t="shared" si="87"/>
        <v>5.790027782444094E-13</v>
      </c>
      <c r="Q70" s="22">
        <f t="shared" si="54"/>
        <v>1.0676332069095257E-12</v>
      </c>
      <c r="R70" s="62">
        <f t="shared" si="55"/>
        <v>293.33333333333439</v>
      </c>
      <c r="S70" s="62">
        <f ca="1">AVERAGE(OFFSET($R$3,0,0,'Données projet'!$E$9+1,1))-AVERAGE(OFFSET($H$3,0,0,'Données projet'!$E$9+1,1))</f>
        <v>157.98488572680344</v>
      </c>
      <c r="T70" s="62">
        <f t="shared" si="88"/>
        <v>269.20989374735825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52.570909830376912</v>
      </c>
      <c r="AA70" s="23">
        <f>EXP(-LN(2)/25)*AA69+(1-EXP(-LN(2)/25))/(LN(2)/25)*Calculateur!V70*Calculateur!X70*VLOOKUP('Données projet'!$B$9,Paramètres!$A$1:$I$89,3,0)*0.475*44/12</f>
        <v>1.1984559028998909</v>
      </c>
      <c r="AB70" s="23">
        <f>EXP(-LN(2)/2)*AB69+(1-EXP(-LN(2)/2))/(LN(2)/2)*V70*Y70*VLOOKUP('Données projet'!$B$9,Paramètres!$A$1:$I$89,3,0)*0.475*44/12</f>
        <v>2.9712345085922028E-3</v>
      </c>
      <c r="AC70" s="24">
        <f t="shared" si="57"/>
        <v>53.772336967785392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5.6843418860808015E-14</v>
      </c>
      <c r="O71" s="14">
        <f>N71*VLOOKUP('Données projet'!$B$9,Paramètres!$A$1:$I$89,3,0)*VLOOKUP('Données projet'!$B$9,Paramètres!$A$1:$I$89,5,0)</f>
        <v>3.3992364478763198E-14</v>
      </c>
      <c r="P71" s="14">
        <f t="shared" si="87"/>
        <v>5.790027782444094E-13</v>
      </c>
      <c r="Q71" s="22">
        <f t="shared" si="54"/>
        <v>1.0676332069095257E-12</v>
      </c>
      <c r="R71" s="62">
        <f t="shared" si="55"/>
        <v>293.33333333333439</v>
      </c>
      <c r="S71" s="62">
        <f ca="1">AVERAGE(OFFSET($R$3,0,0,'Données projet'!$E$9+1,1))-AVERAGE(OFFSET($H$3,0,0,'Données projet'!$E$9+1,1))</f>
        <v>157.98488572680344</v>
      </c>
      <c r="T71" s="62">
        <f t="shared" si="88"/>
        <v>269.20989374735825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51.540026353692056</v>
      </c>
      <c r="AA71" s="23">
        <f>EXP(-LN(2)/25)*AA70+(1-EXP(-LN(2)/25))/(LN(2)/25)*Calculateur!V71*Calculateur!X71*VLOOKUP('Données projet'!$B$9,Paramètres!$A$1:$I$89,3,0)*0.475*44/12</f>
        <v>1.1656840632110366</v>
      </c>
      <c r="AB71" s="23">
        <f>EXP(-LN(2)/2)*AB70+(1-EXP(-LN(2)/2))/(LN(2)/2)*V71*Y71*VLOOKUP('Données projet'!$B$9,Paramètres!$A$1:$I$89,3,0)*0.475*44/12</f>
        <v>2.1009800695210258E-3</v>
      </c>
      <c r="AC71" s="24">
        <f t="shared" si="57"/>
        <v>52.707811396972616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5.6843418860808015E-14</v>
      </c>
      <c r="O72" s="14">
        <f>N72*VLOOKUP('Données projet'!$B$9,Paramètres!$A$1:$I$89,3,0)*VLOOKUP('Données projet'!$B$9,Paramètres!$A$1:$I$89,5,0)</f>
        <v>3.3992364478763198E-14</v>
      </c>
      <c r="P72" s="14">
        <f t="shared" si="87"/>
        <v>5.790027782444094E-13</v>
      </c>
      <c r="Q72" s="22">
        <f t="shared" si="54"/>
        <v>1.0676332069095257E-12</v>
      </c>
      <c r="R72" s="62">
        <f t="shared" si="55"/>
        <v>293.33333333333439</v>
      </c>
      <c r="S72" s="62">
        <f ca="1">AVERAGE(OFFSET($R$3,0,0,'Données projet'!$E$9+1,1))-AVERAGE(OFFSET($H$3,0,0,'Données projet'!$E$9+1,1))</f>
        <v>157.98488572680344</v>
      </c>
      <c r="T72" s="62">
        <f t="shared" si="88"/>
        <v>269.20989374735825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50.529357873208156</v>
      </c>
      <c r="AA72" s="23">
        <f>EXP(-LN(2)/25)*AA71+(1-EXP(-LN(2)/25))/(LN(2)/25)*Calculateur!V72*Calculateur!X72*VLOOKUP('Données projet'!$B$9,Paramètres!$A$1:$I$89,3,0)*0.475*44/12</f>
        <v>1.1338083712018701</v>
      </c>
      <c r="AB72" s="23">
        <f>EXP(-LN(2)/2)*AB71+(1-EXP(-LN(2)/2))/(LN(2)/2)*V72*Y72*VLOOKUP('Données projet'!$B$9,Paramètres!$A$1:$I$89,3,0)*0.475*44/12</f>
        <v>1.4856172542961014E-3</v>
      </c>
      <c r="AC72" s="24">
        <f t="shared" si="57"/>
        <v>51.664651861664325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5.6843418860808015E-14</v>
      </c>
      <c r="O73" s="14">
        <f>N73*VLOOKUP('Données projet'!$B$9,Paramètres!$A$1:$I$89,3,0)*VLOOKUP('Données projet'!$B$9,Paramètres!$A$1:$I$89,5,0)</f>
        <v>3.3992364478763198E-14</v>
      </c>
      <c r="P73" s="14">
        <f t="shared" si="87"/>
        <v>5.790027782444094E-13</v>
      </c>
      <c r="Q73" s="22">
        <f t="shared" si="54"/>
        <v>1.0676332069095257E-12</v>
      </c>
      <c r="R73" s="62">
        <f t="shared" si="55"/>
        <v>293.33333333333439</v>
      </c>
      <c r="S73" s="62">
        <f ca="1">AVERAGE(OFFSET($R$3,0,0,'Données projet'!$E$9+1,1))-AVERAGE(OFFSET($H$3,0,0,'Données projet'!$E$9+1,1))</f>
        <v>157.98488572680344</v>
      </c>
      <c r="T73" s="62">
        <f t="shared" si="88"/>
        <v>269.20989374735825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49.538507985179635</v>
      </c>
      <c r="AA73" s="23">
        <f>EXP(-LN(2)/25)*AA72+(1-EXP(-LN(2)/25))/(LN(2)/25)*Calculateur!V73*Calculateur!X73*VLOOKUP('Données projet'!$B$9,Paramètres!$A$1:$I$89,3,0)*0.475*44/12</f>
        <v>1.1028043216669641</v>
      </c>
      <c r="AB73" s="23">
        <f>EXP(-LN(2)/2)*AB72+(1-EXP(-LN(2)/2))/(LN(2)/2)*V73*Y73*VLOOKUP('Données projet'!$B$9,Paramètres!$A$1:$I$89,3,0)*0.475*44/12</f>
        <v>1.0504900347605129E-3</v>
      </c>
      <c r="AC73" s="24">
        <f t="shared" si="57"/>
        <v>50.642362796881358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5.6843418860808015E-14</v>
      </c>
      <c r="O74" s="14">
        <f>N74*VLOOKUP('Données projet'!$B$9,Paramètres!$A$1:$I$89,3,0)*VLOOKUP('Données projet'!$B$9,Paramètres!$A$1:$I$89,5,0)</f>
        <v>3.3992364478763198E-14</v>
      </c>
      <c r="P74" s="14">
        <f t="shared" si="87"/>
        <v>5.790027782444094E-13</v>
      </c>
      <c r="Q74" s="22">
        <f t="shared" si="54"/>
        <v>1.0676332069095257E-12</v>
      </c>
      <c r="R74" s="62">
        <f t="shared" si="55"/>
        <v>293.33333333333439</v>
      </c>
      <c r="S74" s="62">
        <f ca="1">AVERAGE(OFFSET($R$3,0,0,'Données projet'!$E$9+1,1))-AVERAGE(OFFSET($H$3,0,0,'Données projet'!$E$9+1,1))</f>
        <v>157.98488572680344</v>
      </c>
      <c r="T74" s="62">
        <f t="shared" si="88"/>
        <v>269.20989374735825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48.567088059096598</v>
      </c>
      <c r="AA74" s="23">
        <f>EXP(-LN(2)/25)*AA73+(1-EXP(-LN(2)/25))/(LN(2)/25)*Calculateur!V74*Calculateur!X74*VLOOKUP('Données projet'!$B$9,Paramètres!$A$1:$I$89,3,0)*0.475*44/12</f>
        <v>1.0726480794970221</v>
      </c>
      <c r="AB74" s="23">
        <f>EXP(-LN(2)/2)*AB73+(1-EXP(-LN(2)/2))/(LN(2)/2)*V74*Y74*VLOOKUP('Données projet'!$B$9,Paramètres!$A$1:$I$89,3,0)*0.475*44/12</f>
        <v>7.4280862714805069E-4</v>
      </c>
      <c r="AC74" s="24">
        <f t="shared" si="57"/>
        <v>49.640478947220764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5.6843418860808015E-14</v>
      </c>
      <c r="O75" s="14">
        <f>N75*VLOOKUP('Données projet'!$B$9,Paramètres!$A$1:$I$89,3,0)*VLOOKUP('Données projet'!$B$9,Paramètres!$A$1:$I$89,5,0)</f>
        <v>3.3992364478763198E-14</v>
      </c>
      <c r="P75" s="14">
        <f t="shared" si="87"/>
        <v>5.790027782444094E-13</v>
      </c>
      <c r="Q75" s="22">
        <f t="shared" si="54"/>
        <v>1.0676332069095257E-12</v>
      </c>
      <c r="R75" s="62">
        <f t="shared" si="55"/>
        <v>293.33333333333439</v>
      </c>
      <c r="S75" s="62">
        <f ca="1">AVERAGE(OFFSET($R$3,0,0,'Données projet'!$E$9+1,1))-AVERAGE(OFFSET($H$3,0,0,'Données projet'!$E$9+1,1))</f>
        <v>157.98488572680344</v>
      </c>
      <c r="T75" s="62">
        <f t="shared" si="88"/>
        <v>269.20989374735825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47.614717085256402</v>
      </c>
      <c r="AA75" s="23">
        <f>EXP(-LN(2)/25)*AA74+(1-EXP(-LN(2)/25))/(LN(2)/25)*Calculateur!V75*Calculateur!X75*VLOOKUP('Données projet'!$B$9,Paramètres!$A$1:$I$89,3,0)*0.475*44/12</f>
        <v>1.0433164613550652</v>
      </c>
      <c r="AB75" s="23">
        <f>EXP(-LN(2)/2)*AB74+(1-EXP(-LN(2)/2))/(LN(2)/2)*V75*Y75*VLOOKUP('Données projet'!$B$9,Paramètres!$A$1:$I$89,3,0)*0.475*44/12</f>
        <v>5.2524501738025644E-4</v>
      </c>
      <c r="AC75" s="24">
        <f t="shared" si="57"/>
        <v>48.658558791628842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5.6843418860808015E-14</v>
      </c>
      <c r="O76" s="14">
        <f>N76*VLOOKUP('Données projet'!$B$9,Paramètres!$A$1:$I$89,3,0)*VLOOKUP('Données projet'!$B$9,Paramètres!$A$1:$I$89,5,0)</f>
        <v>3.3992364478763198E-14</v>
      </c>
      <c r="P76" s="14">
        <f t="shared" si="87"/>
        <v>5.790027782444094E-13</v>
      </c>
      <c r="Q76" s="22">
        <f t="shared" si="54"/>
        <v>1.0676332069095257E-12</v>
      </c>
      <c r="R76" s="62">
        <f t="shared" si="55"/>
        <v>293.33333333333439</v>
      </c>
      <c r="S76" s="62">
        <f ca="1">AVERAGE(OFFSET($R$3,0,0,'Données projet'!$E$9+1,1))-AVERAGE(OFFSET($H$3,0,0,'Données projet'!$E$9+1,1))</f>
        <v>157.98488572680344</v>
      </c>
      <c r="T76" s="62">
        <f t="shared" si="88"/>
        <v>269.20989374735825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46.681021525324276</v>
      </c>
      <c r="AA76" s="23">
        <f>EXP(-LN(2)/25)*AA75+(1-EXP(-LN(2)/25))/(LN(2)/25)*Calculateur!V76*Calculateur!X76*VLOOKUP('Données projet'!$B$9,Paramètres!$A$1:$I$89,3,0)*0.475*44/12</f>
        <v>1.0147869178536828</v>
      </c>
      <c r="AB76" s="23">
        <f>EXP(-LN(2)/2)*AB75+(1-EXP(-LN(2)/2))/(LN(2)/2)*V76*Y76*VLOOKUP('Données projet'!$B$9,Paramètres!$A$1:$I$89,3,0)*0.475*44/12</f>
        <v>3.7140431357402534E-4</v>
      </c>
      <c r="AC76" s="24">
        <f t="shared" si="57"/>
        <v>47.696179847491535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5.6843418860808015E-14</v>
      </c>
      <c r="O77" s="14">
        <f>N77*VLOOKUP('Données projet'!$B$9,Paramètres!$A$1:$I$89,3,0)*VLOOKUP('Données projet'!$B$9,Paramètres!$A$1:$I$89,5,0)</f>
        <v>3.3992364478763198E-14</v>
      </c>
      <c r="P77" s="14">
        <f t="shared" si="87"/>
        <v>5.790027782444094E-13</v>
      </c>
      <c r="Q77" s="22">
        <f t="shared" si="54"/>
        <v>1.0676332069095257E-12</v>
      </c>
      <c r="R77" s="62">
        <f t="shared" si="55"/>
        <v>293.33333333333439</v>
      </c>
      <c r="S77" s="62">
        <f ca="1">AVERAGE(OFFSET($R$3,0,0,'Données projet'!$E$9+1,1))-AVERAGE(OFFSET($H$3,0,0,'Données projet'!$E$9+1,1))</f>
        <v>157.98488572680344</v>
      </c>
      <c r="T77" s="62">
        <f t="shared" si="88"/>
        <v>269.20989374735825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45.765635165824364</v>
      </c>
      <c r="AA77" s="23">
        <f>EXP(-LN(2)/25)*AA76+(1-EXP(-LN(2)/25))/(LN(2)/25)*Calculateur!V77*Calculateur!X77*VLOOKUP('Données projet'!$B$9,Paramètres!$A$1:$I$89,3,0)*0.475*44/12</f>
        <v>0.98703751621964919</v>
      </c>
      <c r="AB77" s="23">
        <f>EXP(-LN(2)/2)*AB76+(1-EXP(-LN(2)/2))/(LN(2)/2)*V77*Y77*VLOOKUP('Données projet'!$B$9,Paramètres!$A$1:$I$89,3,0)*0.475*44/12</f>
        <v>2.6262250869012822E-4</v>
      </c>
      <c r="AC77" s="24">
        <f t="shared" si="57"/>
        <v>46.752935304552707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5.6843418860808015E-14</v>
      </c>
      <c r="O78" s="14">
        <f>N78*VLOOKUP('Données projet'!$B$9,Paramètres!$A$1:$I$89,3,0)*VLOOKUP('Données projet'!$B$9,Paramètres!$A$1:$I$89,5,0)</f>
        <v>3.3992364478763198E-14</v>
      </c>
      <c r="P78" s="14">
        <f t="shared" si="87"/>
        <v>5.790027782444094E-13</v>
      </c>
      <c r="Q78" s="22">
        <f t="shared" si="54"/>
        <v>1.0676332069095257E-12</v>
      </c>
      <c r="R78" s="62">
        <f t="shared" si="55"/>
        <v>293.33333333333439</v>
      </c>
      <c r="S78" s="62">
        <f ca="1">AVERAGE(OFFSET($R$3,0,0,'Données projet'!$E$9+1,1))-AVERAGE(OFFSET($H$3,0,0,'Données projet'!$E$9+1,1))</f>
        <v>157.98488572680344</v>
      </c>
      <c r="T78" s="62">
        <f t="shared" si="88"/>
        <v>269.20989374735825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44.868198974503692</v>
      </c>
      <c r="AA78" s="23">
        <f>EXP(-LN(2)/25)*AA77+(1-EXP(-LN(2)/25))/(LN(2)/25)*Calculateur!V78*Calculateur!X78*VLOOKUP('Données projet'!$B$9,Paramètres!$A$1:$I$89,3,0)*0.475*44/12</f>
        <v>0.96004692343257581</v>
      </c>
      <c r="AB78" s="23">
        <f>EXP(-LN(2)/2)*AB77+(1-EXP(-LN(2)/2))/(LN(2)/2)*V78*Y78*VLOOKUP('Données projet'!$B$9,Paramètres!$A$1:$I$89,3,0)*0.475*44/12</f>
        <v>1.8570215678701267E-4</v>
      </c>
      <c r="AC78" s="24">
        <f t="shared" si="57"/>
        <v>45.828431600093054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5.6843418860808015E-14</v>
      </c>
      <c r="O79" s="14">
        <f>N79*VLOOKUP('Données projet'!$B$9,Paramètres!$A$1:$I$89,3,0)*VLOOKUP('Données projet'!$B$9,Paramètres!$A$1:$I$89,5,0)</f>
        <v>3.3992364478763198E-14</v>
      </c>
      <c r="P79" s="14">
        <f t="shared" si="87"/>
        <v>5.790027782444094E-13</v>
      </c>
      <c r="Q79" s="22">
        <f t="shared" si="54"/>
        <v>1.0676332069095257E-12</v>
      </c>
      <c r="R79" s="62">
        <f t="shared" si="55"/>
        <v>293.33333333333439</v>
      </c>
      <c r="S79" s="62">
        <f ca="1">AVERAGE(OFFSET($R$3,0,0,'Données projet'!$E$9+1,1))-AVERAGE(OFFSET($H$3,0,0,'Données projet'!$E$9+1,1))</f>
        <v>157.98488572680344</v>
      </c>
      <c r="T79" s="62">
        <f t="shared" si="88"/>
        <v>269.20989374735825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43.988360959512789</v>
      </c>
      <c r="AA79" s="23">
        <f>EXP(-LN(2)/25)*AA78+(1-EXP(-LN(2)/25))/(LN(2)/25)*Calculateur!V79*Calculateur!X79*VLOOKUP('Données projet'!$B$9,Paramètres!$A$1:$I$89,3,0)*0.475*44/12</f>
        <v>0.93379438982463858</v>
      </c>
      <c r="AB79" s="23">
        <f>EXP(-LN(2)/2)*AB78+(1-EXP(-LN(2)/2))/(LN(2)/2)*V79*Y79*VLOOKUP('Données projet'!$B$9,Paramètres!$A$1:$I$89,3,0)*0.475*44/12</f>
        <v>1.3131125434506411E-4</v>
      </c>
      <c r="AC79" s="24">
        <f t="shared" si="57"/>
        <v>44.922286660591773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5.6843418860808015E-14</v>
      </c>
      <c r="O80" s="14">
        <f>N80*VLOOKUP('Données projet'!$B$9,Paramètres!$A$1:$I$89,3,0)*VLOOKUP('Données projet'!$B$9,Paramètres!$A$1:$I$89,5,0)</f>
        <v>3.3992364478763198E-14</v>
      </c>
      <c r="P80" s="14">
        <f t="shared" si="87"/>
        <v>5.790027782444094E-13</v>
      </c>
      <c r="Q80" s="22">
        <f t="shared" si="54"/>
        <v>1.0676332069095257E-12</v>
      </c>
      <c r="R80" s="62">
        <f t="shared" si="55"/>
        <v>293.33333333333439</v>
      </c>
      <c r="S80" s="62">
        <f ca="1">AVERAGE(OFFSET($R$3,0,0,'Données projet'!$E$9+1,1))-AVERAGE(OFFSET($H$3,0,0,'Données projet'!$E$9+1,1))</f>
        <v>157.98488572680344</v>
      </c>
      <c r="T80" s="62">
        <f t="shared" si="88"/>
        <v>269.20989374735825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43.125776031347662</v>
      </c>
      <c r="AA80" s="23">
        <f>EXP(-LN(2)/25)*AA79+(1-EXP(-LN(2)/25))/(LN(2)/25)*Calculateur!V80*Calculateur!X80*VLOOKUP('Données projet'!$B$9,Paramètres!$A$1:$I$89,3,0)*0.475*44/12</f>
        <v>0.90825973312877106</v>
      </c>
      <c r="AB80" s="23">
        <f>EXP(-LN(2)/2)*AB79+(1-EXP(-LN(2)/2))/(LN(2)/2)*V80*Y80*VLOOKUP('Données projet'!$B$9,Paramètres!$A$1:$I$89,3,0)*0.475*44/12</f>
        <v>9.2851078393506336E-5</v>
      </c>
      <c r="AC80" s="24">
        <f t="shared" si="57"/>
        <v>44.034128615554827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5.6843418860808015E-14</v>
      </c>
      <c r="O81" s="14">
        <f>N81*VLOOKUP('Données projet'!$B$9,Paramètres!$A$1:$I$89,3,0)*VLOOKUP('Données projet'!$B$9,Paramètres!$A$1:$I$89,5,0)</f>
        <v>3.3992364478763198E-14</v>
      </c>
      <c r="P81" s="14">
        <f t="shared" si="87"/>
        <v>5.790027782444094E-13</v>
      </c>
      <c r="Q81" s="22">
        <f t="shared" si="54"/>
        <v>1.0676332069095257E-12</v>
      </c>
      <c r="R81" s="62">
        <f t="shared" si="55"/>
        <v>293.33333333333439</v>
      </c>
      <c r="S81" s="62">
        <f ca="1">AVERAGE(OFFSET($R$3,0,0,'Données projet'!$E$9+1,1))-AVERAGE(OFFSET($H$3,0,0,'Données projet'!$E$9+1,1))</f>
        <v>157.98488572680344</v>
      </c>
      <c r="T81" s="62">
        <f t="shared" si="88"/>
        <v>269.20989374735825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42.280105867498996</v>
      </c>
      <c r="AA81" s="23">
        <f>EXP(-LN(2)/25)*AA80+(1-EXP(-LN(2)/25))/(LN(2)/25)*Calculateur!V81*Calculateur!X81*VLOOKUP('Données projet'!$B$9,Paramètres!$A$1:$I$89,3,0)*0.475*44/12</f>
        <v>0.88342332296306136</v>
      </c>
      <c r="AB81" s="23">
        <f>EXP(-LN(2)/2)*AB80+(1-EXP(-LN(2)/2))/(LN(2)/2)*V81*Y81*VLOOKUP('Données projet'!$B$9,Paramètres!$A$1:$I$89,3,0)*0.475*44/12</f>
        <v>6.5655627172532056E-5</v>
      </c>
      <c r="AC81" s="24">
        <f t="shared" si="57"/>
        <v>43.163594846089232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5.6843418860808015E-14</v>
      </c>
      <c r="O82" s="14">
        <f>N82*VLOOKUP('Données projet'!$B$9,Paramètres!$A$1:$I$89,3,0)*VLOOKUP('Données projet'!$B$9,Paramètres!$A$1:$I$89,5,0)</f>
        <v>3.3992364478763198E-14</v>
      </c>
      <c r="P82" s="14">
        <f t="shared" si="87"/>
        <v>5.790027782444094E-13</v>
      </c>
      <c r="Q82" s="22">
        <f t="shared" si="54"/>
        <v>1.0676332069095257E-12</v>
      </c>
      <c r="R82" s="62">
        <f t="shared" si="55"/>
        <v>293.33333333333439</v>
      </c>
      <c r="S82" s="62">
        <f ca="1">AVERAGE(OFFSET($R$3,0,0,'Données projet'!$E$9+1,1))-AVERAGE(OFFSET($H$3,0,0,'Données projet'!$E$9+1,1))</f>
        <v>157.98488572680344</v>
      </c>
      <c r="T82" s="62">
        <f t="shared" si="88"/>
        <v>269.20989374735825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41.451018779755536</v>
      </c>
      <c r="AA82" s="23">
        <f>EXP(-LN(2)/25)*AA81+(1-EXP(-LN(2)/25))/(LN(2)/25)*Calculateur!V82*Calculateur!X82*VLOOKUP('Données projet'!$B$9,Paramètres!$A$1:$I$89,3,0)*0.475*44/12</f>
        <v>0.85926606573942299</v>
      </c>
      <c r="AB82" s="23">
        <f>EXP(-LN(2)/2)*AB81+(1-EXP(-LN(2)/2))/(LN(2)/2)*V82*Y82*VLOOKUP('Données projet'!$B$9,Paramètres!$A$1:$I$89,3,0)*0.475*44/12</f>
        <v>4.6425539196753168E-5</v>
      </c>
      <c r="AC82" s="24">
        <f t="shared" si="57"/>
        <v>42.310331271034158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5.6843418860808015E-14</v>
      </c>
      <c r="O83" s="14">
        <f>N83*VLOOKUP('Données projet'!$B$9,Paramètres!$A$1:$I$89,3,0)*VLOOKUP('Données projet'!$B$9,Paramètres!$A$1:$I$89,5,0)</f>
        <v>3.3992364478763198E-14</v>
      </c>
      <c r="P83" s="14">
        <f t="shared" si="87"/>
        <v>5.790027782444094E-13</v>
      </c>
      <c r="Q83" s="22">
        <f t="shared" si="54"/>
        <v>1.0676332069095257E-12</v>
      </c>
      <c r="R83" s="62">
        <f t="shared" si="55"/>
        <v>293.33333333333439</v>
      </c>
      <c r="S83" s="62">
        <f ca="1">AVERAGE(OFFSET($R$3,0,0,'Données projet'!$E$9+1,1))-AVERAGE(OFFSET($H$3,0,0,'Données projet'!$E$9+1,1))</f>
        <v>157.98488572680344</v>
      </c>
      <c r="T83" s="62">
        <f t="shared" si="88"/>
        <v>269.20989374735825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40.638189584109533</v>
      </c>
      <c r="AA83" s="23">
        <f>EXP(-LN(2)/25)*AA82+(1-EXP(-LN(2)/25))/(LN(2)/25)*Calculateur!V83*Calculateur!X83*VLOOKUP('Données projet'!$B$9,Paramètres!$A$1:$I$89,3,0)*0.475*44/12</f>
        <v>0.83576938998493999</v>
      </c>
      <c r="AB83" s="23">
        <f>EXP(-LN(2)/2)*AB82+(1-EXP(-LN(2)/2))/(LN(2)/2)*V83*Y83*VLOOKUP('Données projet'!$B$9,Paramètres!$A$1:$I$89,3,0)*0.475*44/12</f>
        <v>3.2827813586266028E-5</v>
      </c>
      <c r="AC83" s="24">
        <f t="shared" si="57"/>
        <v>41.473991801908056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5.6843418860808015E-14</v>
      </c>
      <c r="O84" s="14">
        <f>N84*VLOOKUP('Données projet'!$B$9,Paramètres!$A$1:$I$89,3,0)*VLOOKUP('Données projet'!$B$9,Paramètres!$A$1:$I$89,5,0)</f>
        <v>3.3992364478763198E-14</v>
      </c>
      <c r="P84" s="14">
        <f t="shared" si="87"/>
        <v>5.790027782444094E-13</v>
      </c>
      <c r="Q84" s="22">
        <f t="shared" si="54"/>
        <v>1.0676332069095257E-12</v>
      </c>
      <c r="R84" s="62">
        <f t="shared" si="55"/>
        <v>293.33333333333439</v>
      </c>
      <c r="S84" s="62">
        <f ca="1">AVERAGE(OFFSET($R$3,0,0,'Données projet'!$E$9+1,1))-AVERAGE(OFFSET($H$3,0,0,'Données projet'!$E$9+1,1))</f>
        <v>157.98488572680344</v>
      </c>
      <c r="T84" s="62">
        <f t="shared" si="88"/>
        <v>269.20989374735825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39.84129947321329</v>
      </c>
      <c r="AA84" s="23">
        <f>EXP(-LN(2)/25)*AA83+(1-EXP(-LN(2)/25))/(LN(2)/25)*Calculateur!V84*Calculateur!X84*VLOOKUP('Données projet'!$B$9,Paramètres!$A$1:$I$89,3,0)*0.475*44/12</f>
        <v>0.81291523206459981</v>
      </c>
      <c r="AB84" s="23">
        <f>EXP(-LN(2)/2)*AB83+(1-EXP(-LN(2)/2))/(LN(2)/2)*V84*Y84*VLOOKUP('Données projet'!$B$9,Paramètres!$A$1:$I$89,3,0)*0.475*44/12</f>
        <v>2.3212769598376584E-5</v>
      </c>
      <c r="AC84" s="24">
        <f t="shared" si="57"/>
        <v>40.654237918047485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5.6843418860808015E-14</v>
      </c>
      <c r="O85" s="14">
        <f>N85*VLOOKUP('Données projet'!$B$9,Paramètres!$A$1:$I$89,3,0)*VLOOKUP('Données projet'!$B$9,Paramètres!$A$1:$I$89,5,0)</f>
        <v>3.3992364478763198E-14</v>
      </c>
      <c r="P85" s="14">
        <f t="shared" si="87"/>
        <v>5.790027782444094E-13</v>
      </c>
      <c r="Q85" s="22">
        <f t="shared" si="54"/>
        <v>1.0676332069095257E-12</v>
      </c>
      <c r="R85" s="62">
        <f t="shared" si="55"/>
        <v>293.33333333333439</v>
      </c>
      <c r="S85" s="62">
        <f ca="1">AVERAGE(OFFSET($R$3,0,0,'Données projet'!$E$9+1,1))-AVERAGE(OFFSET($H$3,0,0,'Données projet'!$E$9+1,1))</f>
        <v>157.98488572680344</v>
      </c>
      <c r="T85" s="62">
        <f t="shared" si="88"/>
        <v>269.20989374735825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39.060035891336753</v>
      </c>
      <c r="AA85" s="23">
        <f>EXP(-LN(2)/25)*AA84+(1-EXP(-LN(2)/25))/(LN(2)/25)*Calculateur!V85*Calculateur!X85*VLOOKUP('Données projet'!$B$9,Paramètres!$A$1:$I$89,3,0)*0.475*44/12</f>
        <v>0.79068602229443918</v>
      </c>
      <c r="AB85" s="23">
        <f>EXP(-LN(2)/2)*AB84+(1-EXP(-LN(2)/2))/(LN(2)/2)*V85*Y85*VLOOKUP('Données projet'!$B$9,Paramètres!$A$1:$I$89,3,0)*0.475*44/12</f>
        <v>1.6413906793133014E-5</v>
      </c>
      <c r="AC85" s="24">
        <f t="shared" si="57"/>
        <v>39.850738327537982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5.6843418860808015E-14</v>
      </c>
      <c r="O86" s="14">
        <f>N86*VLOOKUP('Données projet'!$B$9,Paramètres!$A$1:$I$89,3,0)*VLOOKUP('Données projet'!$B$9,Paramètres!$A$1:$I$89,5,0)</f>
        <v>3.3992364478763198E-14</v>
      </c>
      <c r="P86" s="14">
        <f t="shared" si="87"/>
        <v>5.790027782444094E-13</v>
      </c>
      <c r="Q86" s="22">
        <f t="shared" si="54"/>
        <v>1.0676332069095257E-12</v>
      </c>
      <c r="R86" s="62">
        <f t="shared" si="55"/>
        <v>293.33333333333439</v>
      </c>
      <c r="S86" s="62">
        <f ca="1">AVERAGE(OFFSET($R$3,0,0,'Données projet'!$E$9+1,1))-AVERAGE(OFFSET($H$3,0,0,'Données projet'!$E$9+1,1))</f>
        <v>157.98488572680344</v>
      </c>
      <c r="T86" s="62">
        <f t="shared" si="88"/>
        <v>269.20989374735825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38.294092411777079</v>
      </c>
      <c r="AA86" s="23">
        <f>EXP(-LN(2)/25)*AA85+(1-EXP(-LN(2)/25))/(LN(2)/25)*Calculateur!V86*Calculateur!X86*VLOOKUP('Données projet'!$B$9,Paramètres!$A$1:$I$89,3,0)*0.475*44/12</f>
        <v>0.76906467143442692</v>
      </c>
      <c r="AB86" s="23">
        <f>EXP(-LN(2)/2)*AB85+(1-EXP(-LN(2)/2))/(LN(2)/2)*V86*Y86*VLOOKUP('Données projet'!$B$9,Paramètres!$A$1:$I$89,3,0)*0.475*44/12</f>
        <v>1.1606384799188292E-5</v>
      </c>
      <c r="AC86" s="24">
        <f t="shared" si="57"/>
        <v>39.06316868959631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5.6843418860808015E-14</v>
      </c>
      <c r="O87" s="14">
        <f>N87*VLOOKUP('Données projet'!$B$9,Paramètres!$A$1:$I$89,3,0)*VLOOKUP('Données projet'!$B$9,Paramètres!$A$1:$I$89,5,0)</f>
        <v>3.3992364478763198E-14</v>
      </c>
      <c r="P87" s="14">
        <f t="shared" si="87"/>
        <v>5.790027782444094E-13</v>
      </c>
      <c r="Q87" s="22">
        <f t="shared" si="54"/>
        <v>1.0676332069095257E-12</v>
      </c>
      <c r="R87" s="62">
        <f t="shared" si="55"/>
        <v>293.33333333333439</v>
      </c>
      <c r="S87" s="62">
        <f ca="1">AVERAGE(OFFSET($R$3,0,0,'Données projet'!$E$9+1,1))-AVERAGE(OFFSET($H$3,0,0,'Données projet'!$E$9+1,1))</f>
        <v>157.98488572680344</v>
      </c>
      <c r="T87" s="62">
        <f t="shared" si="88"/>
        <v>269.20989374735825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37.543168616672183</v>
      </c>
      <c r="AA87" s="23">
        <f>EXP(-LN(2)/25)*AA86+(1-EXP(-LN(2)/25))/(LN(2)/25)*Calculateur!V87*Calculateur!X87*VLOOKUP('Données projet'!$B$9,Paramètres!$A$1:$I$89,3,0)*0.475*44/12</f>
        <v>0.74803455755069914</v>
      </c>
      <c r="AB87" s="23">
        <f>EXP(-LN(2)/2)*AB86+(1-EXP(-LN(2)/2))/(LN(2)/2)*V87*Y87*VLOOKUP('Données projet'!$B$9,Paramètres!$A$1:$I$89,3,0)*0.475*44/12</f>
        <v>8.2069533965665069E-6</v>
      </c>
      <c r="AC87" s="24">
        <f t="shared" si="57"/>
        <v>38.291211381176275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5.6843418860808015E-14</v>
      </c>
      <c r="O88" s="14">
        <f>N88*VLOOKUP('Données projet'!$B$9,Paramètres!$A$1:$I$89,3,0)*VLOOKUP('Données projet'!$B$9,Paramètres!$A$1:$I$89,5,0)</f>
        <v>3.3992364478763198E-14</v>
      </c>
      <c r="P88" s="14">
        <f t="shared" si="87"/>
        <v>5.790027782444094E-13</v>
      </c>
      <c r="Q88" s="22">
        <f t="shared" si="54"/>
        <v>1.0676332069095257E-12</v>
      </c>
      <c r="R88" s="62">
        <f t="shared" si="55"/>
        <v>293.33333333333439</v>
      </c>
      <c r="S88" s="62">
        <f ca="1">AVERAGE(OFFSET($R$3,0,0,'Données projet'!$E$9+1,1))-AVERAGE(OFFSET($H$3,0,0,'Données projet'!$E$9+1,1))</f>
        <v>157.98488572680344</v>
      </c>
      <c r="T88" s="62">
        <f t="shared" si="88"/>
        <v>269.20989374735825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36.806969979171001</v>
      </c>
      <c r="AA88" s="23">
        <f>EXP(-LN(2)/25)*AA87+(1-EXP(-LN(2)/25))/(LN(2)/25)*Calculateur!V88*Calculateur!X88*VLOOKUP('Données projet'!$B$9,Paramètres!$A$1:$I$89,3,0)*0.475*44/12</f>
        <v>0.7275795132370475</v>
      </c>
      <c r="AB88" s="23">
        <f>EXP(-LN(2)/2)*AB87+(1-EXP(-LN(2)/2))/(LN(2)/2)*V88*Y88*VLOOKUP('Données projet'!$B$9,Paramètres!$A$1:$I$89,3,0)*0.475*44/12</f>
        <v>5.803192399594146E-6</v>
      </c>
      <c r="AC88" s="24">
        <f t="shared" si="57"/>
        <v>37.534555295600448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5.6843418860808015E-14</v>
      </c>
      <c r="O89" s="14">
        <f>N89*VLOOKUP('Données projet'!$B$9,Paramètres!$A$1:$I$89,3,0)*VLOOKUP('Données projet'!$B$9,Paramètres!$A$1:$I$89,5,0)</f>
        <v>3.3992364478763198E-14</v>
      </c>
      <c r="P89" s="14">
        <f t="shared" si="87"/>
        <v>5.790027782444094E-13</v>
      </c>
      <c r="Q89" s="22">
        <f t="shared" si="54"/>
        <v>1.0676332069095257E-12</v>
      </c>
      <c r="R89" s="62">
        <f t="shared" si="55"/>
        <v>293.33333333333439</v>
      </c>
      <c r="S89" s="62">
        <f ca="1">AVERAGE(OFFSET($R$3,0,0,'Données projet'!$E$9+1,1))-AVERAGE(OFFSET($H$3,0,0,'Données projet'!$E$9+1,1))</f>
        <v>157.98488572680344</v>
      </c>
      <c r="T89" s="62">
        <f t="shared" si="88"/>
        <v>269.20989374735825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36.085207747914389</v>
      </c>
      <c r="AA89" s="23">
        <f>EXP(-LN(2)/25)*AA88+(1-EXP(-LN(2)/25))/(LN(2)/25)*Calculateur!V89*Calculateur!X89*VLOOKUP('Données projet'!$B$9,Paramètres!$A$1:$I$89,3,0)*0.475*44/12</f>
        <v>0.70768381318583673</v>
      </c>
      <c r="AB89" s="23">
        <f>EXP(-LN(2)/2)*AB88+(1-EXP(-LN(2)/2))/(LN(2)/2)*V89*Y89*VLOOKUP('Données projet'!$B$9,Paramètres!$A$1:$I$89,3,0)*0.475*44/12</f>
        <v>4.1034766982832535E-6</v>
      </c>
      <c r="AC89" s="24">
        <f t="shared" si="57"/>
        <v>36.792895664576925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5.6843418860808015E-14</v>
      </c>
      <c r="O90" s="14">
        <f>N90*VLOOKUP('Données projet'!$B$9,Paramètres!$A$1:$I$89,3,0)*VLOOKUP('Données projet'!$B$9,Paramètres!$A$1:$I$89,5,0)</f>
        <v>3.3992364478763198E-14</v>
      </c>
      <c r="P90" s="14">
        <f t="shared" si="87"/>
        <v>5.790027782444094E-13</v>
      </c>
      <c r="Q90" s="22">
        <f t="shared" si="54"/>
        <v>1.0676332069095257E-12</v>
      </c>
      <c r="R90" s="62">
        <f t="shared" si="55"/>
        <v>293.33333333333439</v>
      </c>
      <c r="S90" s="62">
        <f ca="1">AVERAGE(OFFSET($R$3,0,0,'Données projet'!$E$9+1,1))-AVERAGE(OFFSET($H$3,0,0,'Données projet'!$E$9+1,1))</f>
        <v>157.98488572680344</v>
      </c>
      <c r="T90" s="62">
        <f t="shared" si="88"/>
        <v>269.20989374735825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35.377598833781228</v>
      </c>
      <c r="AA90" s="23">
        <f>EXP(-LN(2)/25)*AA89+(1-EXP(-LN(2)/25))/(LN(2)/25)*Calculateur!V90*Calculateur!X90*VLOOKUP('Données projet'!$B$9,Paramètres!$A$1:$I$89,3,0)*0.475*44/12</f>
        <v>0.68833216209879577</v>
      </c>
      <c r="AB90" s="23">
        <f>EXP(-LN(2)/2)*AB89+(1-EXP(-LN(2)/2))/(LN(2)/2)*V90*Y90*VLOOKUP('Données projet'!$B$9,Paramètres!$A$1:$I$89,3,0)*0.475*44/12</f>
        <v>2.901596199797073E-6</v>
      </c>
      <c r="AC90" s="24">
        <f t="shared" si="57"/>
        <v>36.065933897476221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5.6843418860808015E-14</v>
      </c>
      <c r="O91" s="14">
        <f>N91*VLOOKUP('Données projet'!$B$9,Paramètres!$A$1:$I$89,3,0)*VLOOKUP('Données projet'!$B$9,Paramètres!$A$1:$I$89,5,0)</f>
        <v>3.3992364478763198E-14</v>
      </c>
      <c r="P91" s="14">
        <f t="shared" si="87"/>
        <v>5.790027782444094E-13</v>
      </c>
      <c r="Q91" s="22">
        <f t="shared" si="54"/>
        <v>1.0676332069095257E-12</v>
      </c>
      <c r="R91" s="62">
        <f t="shared" si="55"/>
        <v>293.33333333333439</v>
      </c>
      <c r="S91" s="62">
        <f ca="1">AVERAGE(OFFSET($R$3,0,0,'Données projet'!$E$9+1,1))-AVERAGE(OFFSET($H$3,0,0,'Données projet'!$E$9+1,1))</f>
        <v>157.98488572680344</v>
      </c>
      <c r="T91" s="62">
        <f t="shared" si="88"/>
        <v>269.20989374735825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34.683865698855399</v>
      </c>
      <c r="AA91" s="23">
        <f>EXP(-LN(2)/25)*AA90+(1-EXP(-LN(2)/25))/(LN(2)/25)*Calculateur!V91*Calculateur!X91*VLOOKUP('Données projet'!$B$9,Paramètres!$A$1:$I$89,3,0)*0.475*44/12</f>
        <v>0.66950968292838897</v>
      </c>
      <c r="AB91" s="23">
        <f>EXP(-LN(2)/2)*AB90+(1-EXP(-LN(2)/2))/(LN(2)/2)*V91*Y91*VLOOKUP('Données projet'!$B$9,Paramètres!$A$1:$I$89,3,0)*0.475*44/12</f>
        <v>2.0517383491416267E-6</v>
      </c>
      <c r="AC91" s="24">
        <f t="shared" si="57"/>
        <v>35.353377433522134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5.6843418860808015E-14</v>
      </c>
      <c r="O92" s="14">
        <f>N92*VLOOKUP('Données projet'!$B$9,Paramètres!$A$1:$I$89,3,0)*VLOOKUP('Données projet'!$B$9,Paramètres!$A$1:$I$89,5,0)</f>
        <v>3.3992364478763198E-14</v>
      </c>
      <c r="P92" s="14">
        <f t="shared" si="87"/>
        <v>5.790027782444094E-13</v>
      </c>
      <c r="Q92" s="22">
        <f t="shared" si="54"/>
        <v>1.0676332069095257E-12</v>
      </c>
      <c r="R92" s="62">
        <f t="shared" si="55"/>
        <v>293.33333333333439</v>
      </c>
      <c r="S92" s="62">
        <f ca="1">AVERAGE(OFFSET($R$3,0,0,'Données projet'!$E$9+1,1))-AVERAGE(OFFSET($H$3,0,0,'Données projet'!$E$9+1,1))</f>
        <v>157.98488572680344</v>
      </c>
      <c r="T92" s="62">
        <f t="shared" si="88"/>
        <v>269.20989374735825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34.003736247570032</v>
      </c>
      <c r="AA92" s="23">
        <f>EXP(-LN(2)/25)*AA91+(1-EXP(-LN(2)/25))/(LN(2)/25)*Calculateur!V92*Calculateur!X92*VLOOKUP('Données projet'!$B$9,Paramètres!$A$1:$I$89,3,0)*0.475*44/12</f>
        <v>0.65120190544072809</v>
      </c>
      <c r="AB92" s="23">
        <f>EXP(-LN(2)/2)*AB91+(1-EXP(-LN(2)/2))/(LN(2)/2)*V92*Y92*VLOOKUP('Données projet'!$B$9,Paramètres!$A$1:$I$89,3,0)*0.475*44/12</f>
        <v>1.4507980998985365E-6</v>
      </c>
      <c r="AC92" s="24">
        <f t="shared" si="57"/>
        <v>34.654939603808863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5.6843418860808015E-14</v>
      </c>
      <c r="O93" s="14">
        <f>N93*VLOOKUP('Données projet'!$B$9,Paramètres!$A$1:$I$89,3,0)*VLOOKUP('Données projet'!$B$9,Paramètres!$A$1:$I$89,5,0)</f>
        <v>3.3992364478763198E-14</v>
      </c>
      <c r="P93" s="14">
        <f t="shared" si="87"/>
        <v>5.790027782444094E-13</v>
      </c>
      <c r="Q93" s="22">
        <f t="shared" si="54"/>
        <v>1.0676332069095257E-12</v>
      </c>
      <c r="R93" s="62">
        <f t="shared" si="55"/>
        <v>293.33333333333439</v>
      </c>
      <c r="S93" s="62">
        <f ca="1">AVERAGE(OFFSET($R$3,0,0,'Données projet'!$E$9+1,1))-AVERAGE(OFFSET($H$3,0,0,'Données projet'!$E$9+1,1))</f>
        <v>157.98488572680344</v>
      </c>
      <c r="T93" s="62">
        <f t="shared" si="88"/>
        <v>269.20989374735825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33.336943719986365</v>
      </c>
      <c r="AA93" s="23">
        <f>EXP(-LN(2)/25)*AA92+(1-EXP(-LN(2)/25))/(LN(2)/25)*Calculateur!V93*Calculateur!X93*VLOOKUP('Données projet'!$B$9,Paramètres!$A$1:$I$89,3,0)*0.475*44/12</f>
        <v>0.63339475509123155</v>
      </c>
      <c r="AB93" s="23">
        <f>EXP(-LN(2)/2)*AB92+(1-EXP(-LN(2)/2))/(LN(2)/2)*V93*Y93*VLOOKUP('Données projet'!$B$9,Paramètres!$A$1:$I$89,3,0)*0.475*44/12</f>
        <v>1.0258691745708134E-6</v>
      </c>
      <c r="AC93" s="24">
        <f t="shared" si="57"/>
        <v>33.970339500946771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5.6843418860808015E-14</v>
      </c>
      <c r="O94" s="14">
        <f>N94*VLOOKUP('Données projet'!$B$9,Paramètres!$A$1:$I$89,3,0)*VLOOKUP('Données projet'!$B$9,Paramètres!$A$1:$I$89,5,0)</f>
        <v>3.3992364478763198E-14</v>
      </c>
      <c r="P94" s="14">
        <f t="shared" si="87"/>
        <v>5.790027782444094E-13</v>
      </c>
      <c r="Q94" s="22">
        <f t="shared" si="54"/>
        <v>1.0676332069095257E-12</v>
      </c>
      <c r="R94" s="62">
        <f t="shared" si="55"/>
        <v>293.33333333333439</v>
      </c>
      <c r="S94" s="62">
        <f ca="1">AVERAGE(OFFSET($R$3,0,0,'Données projet'!$E$9+1,1))-AVERAGE(OFFSET($H$3,0,0,'Données projet'!$E$9+1,1))</f>
        <v>157.98488572680344</v>
      </c>
      <c r="T94" s="62">
        <f t="shared" si="88"/>
        <v>269.20989374735825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32.683226587165336</v>
      </c>
      <c r="AA94" s="23">
        <f>EXP(-LN(2)/25)*AA93+(1-EXP(-LN(2)/25))/(LN(2)/25)*Calculateur!V94*Calculateur!X94*VLOOKUP('Données projet'!$B$9,Paramètres!$A$1:$I$89,3,0)*0.475*44/12</f>
        <v>0.61607454220447933</v>
      </c>
      <c r="AB94" s="23">
        <f>EXP(-LN(2)/2)*AB93+(1-EXP(-LN(2)/2))/(LN(2)/2)*V94*Y94*VLOOKUP('Données projet'!$B$9,Paramètres!$A$1:$I$89,3,0)*0.475*44/12</f>
        <v>7.2539904994926825E-7</v>
      </c>
      <c r="AC94" s="24">
        <f t="shared" si="57"/>
        <v>33.299301854768864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5.6843418860808015E-14</v>
      </c>
      <c r="O95" s="14">
        <f>N95*VLOOKUP('Données projet'!$B$9,Paramètres!$A$1:$I$89,3,0)*VLOOKUP('Données projet'!$B$9,Paramètres!$A$1:$I$89,5,0)</f>
        <v>3.3992364478763198E-14</v>
      </c>
      <c r="P95" s="14">
        <f t="shared" si="87"/>
        <v>5.790027782444094E-13</v>
      </c>
      <c r="Q95" s="22">
        <f t="shared" si="54"/>
        <v>1.0676332069095257E-12</v>
      </c>
      <c r="R95" s="62">
        <f t="shared" si="55"/>
        <v>293.33333333333439</v>
      </c>
      <c r="S95" s="62">
        <f ca="1">AVERAGE(OFFSET($R$3,0,0,'Données projet'!$E$9+1,1))-AVERAGE(OFFSET($H$3,0,0,'Données projet'!$E$9+1,1))</f>
        <v>157.98488572680344</v>
      </c>
      <c r="T95" s="62">
        <f t="shared" si="88"/>
        <v>269.20989374735825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32.042328448590844</v>
      </c>
      <c r="AA95" s="23">
        <f>EXP(-LN(2)/25)*AA94+(1-EXP(-LN(2)/25))/(LN(2)/25)*Calculateur!V95*Calculateur!X95*VLOOKUP('Données projet'!$B$9,Paramètres!$A$1:$I$89,3,0)*0.475*44/12</f>
        <v>0.59922795144994567</v>
      </c>
      <c r="AB95" s="23">
        <f>EXP(-LN(2)/2)*AB94+(1-EXP(-LN(2)/2))/(LN(2)/2)*V95*Y95*VLOOKUP('Données projet'!$B$9,Paramètres!$A$1:$I$89,3,0)*0.475*44/12</f>
        <v>5.1293458728540668E-7</v>
      </c>
      <c r="AC95" s="24">
        <f t="shared" si="57"/>
        <v>32.641556912975382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5.6843418860808015E-14</v>
      </c>
      <c r="O96" s="14">
        <f>N96*VLOOKUP('Données projet'!$B$9,Paramètres!$A$1:$I$89,3,0)*VLOOKUP('Données projet'!$B$9,Paramètres!$A$1:$I$89,5,0)</f>
        <v>3.3992364478763198E-14</v>
      </c>
      <c r="P96" s="14">
        <f t="shared" si="87"/>
        <v>5.790027782444094E-13</v>
      </c>
      <c r="Q96" s="22">
        <f t="shared" si="54"/>
        <v>1.0676332069095257E-12</v>
      </c>
      <c r="R96" s="62">
        <f t="shared" si="55"/>
        <v>293.33333333333439</v>
      </c>
      <c r="S96" s="62">
        <f ca="1">AVERAGE(OFFSET($R$3,0,0,'Données projet'!$E$9+1,1))-AVERAGE(OFFSET($H$3,0,0,'Données projet'!$E$9+1,1))</f>
        <v>157.98488572680344</v>
      </c>
      <c r="T96" s="62">
        <f t="shared" si="88"/>
        <v>269.20989374735825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31.413997931604531</v>
      </c>
      <c r="AA96" s="23">
        <f>EXP(-LN(2)/25)*AA95+(1-EXP(-LN(2)/25))/(LN(2)/25)*Calculateur!V96*Calculateur!X96*VLOOKUP('Données projet'!$B$9,Paramètres!$A$1:$I$89,3,0)*0.475*44/12</f>
        <v>0.58284203160551851</v>
      </c>
      <c r="AB96" s="23">
        <f>EXP(-LN(2)/2)*AB95+(1-EXP(-LN(2)/2))/(LN(2)/2)*V96*Y96*VLOOKUP('Données projet'!$B$9,Paramètres!$A$1:$I$89,3,0)*0.475*44/12</f>
        <v>3.6269952497463413E-7</v>
      </c>
      <c r="AC96" s="24">
        <f t="shared" si="57"/>
        <v>31.996840325909574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5.6843418860808015E-14</v>
      </c>
      <c r="O97" s="14">
        <f>N97*VLOOKUP('Données projet'!$B$9,Paramètres!$A$1:$I$89,3,0)*VLOOKUP('Données projet'!$B$9,Paramètres!$A$1:$I$89,5,0)</f>
        <v>3.3992364478763198E-14</v>
      </c>
      <c r="P97" s="14">
        <f t="shared" si="87"/>
        <v>5.790027782444094E-13</v>
      </c>
      <c r="Q97" s="22">
        <f t="shared" si="54"/>
        <v>1.0676332069095257E-12</v>
      </c>
      <c r="R97" s="62">
        <f t="shared" si="55"/>
        <v>293.33333333333439</v>
      </c>
      <c r="S97" s="62">
        <f ca="1">AVERAGE(OFFSET($R$3,0,0,'Données projet'!$E$9+1,1))-AVERAGE(OFFSET($H$3,0,0,'Données projet'!$E$9+1,1))</f>
        <v>157.98488572680344</v>
      </c>
      <c r="T97" s="62">
        <f t="shared" si="88"/>
        <v>269.20989374735825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30.797988592812548</v>
      </c>
      <c r="AA97" s="23">
        <f>EXP(-LN(2)/25)*AA96+(1-EXP(-LN(2)/25))/(LN(2)/25)*Calculateur!V97*Calculateur!X97*VLOOKUP('Données projet'!$B$9,Paramètres!$A$1:$I$89,3,0)*0.475*44/12</f>
        <v>0.56690418560093525</v>
      </c>
      <c r="AB97" s="23">
        <f>EXP(-LN(2)/2)*AB96+(1-EXP(-LN(2)/2))/(LN(2)/2)*V97*Y97*VLOOKUP('Données projet'!$B$9,Paramètres!$A$1:$I$89,3,0)*0.475*44/12</f>
        <v>2.5646729364270334E-7</v>
      </c>
      <c r="AC97" s="24">
        <f t="shared" si="57"/>
        <v>31.36489303488078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5.6843418860808015E-14</v>
      </c>
      <c r="O98" s="14">
        <f>N98*VLOOKUP('Données projet'!$B$9,Paramètres!$A$1:$I$89,3,0)*VLOOKUP('Données projet'!$B$9,Paramètres!$A$1:$I$89,5,0)</f>
        <v>3.3992364478763198E-14</v>
      </c>
      <c r="P98" s="14">
        <f t="shared" si="87"/>
        <v>5.790027782444094E-13</v>
      </c>
      <c r="Q98" s="22">
        <f t="shared" si="54"/>
        <v>1.0676332069095257E-12</v>
      </c>
      <c r="R98" s="62">
        <f t="shared" si="55"/>
        <v>293.33333333333439</v>
      </c>
      <c r="S98" s="62">
        <f ca="1">AVERAGE(OFFSET($R$3,0,0,'Données projet'!$E$9+1,1))-AVERAGE(OFFSET($H$3,0,0,'Données projet'!$E$9+1,1))</f>
        <v>157.98488572680344</v>
      </c>
      <c r="T98" s="62">
        <f t="shared" si="88"/>
        <v>269.20989374735825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30.194058821425678</v>
      </c>
      <c r="AA98" s="23">
        <f>EXP(-LN(2)/25)*AA97+(1-EXP(-LN(2)/25))/(LN(2)/25)*Calculateur!V98*Calculateur!X98*VLOOKUP('Données projet'!$B$9,Paramètres!$A$1:$I$89,3,0)*0.475*44/12</f>
        <v>0.55140216083348226</v>
      </c>
      <c r="AB98" s="23">
        <f>EXP(-LN(2)/2)*AB97+(1-EXP(-LN(2)/2))/(LN(2)/2)*V98*Y98*VLOOKUP('Données projet'!$B$9,Paramètres!$A$1:$I$89,3,0)*0.475*44/12</f>
        <v>1.8134976248731706E-7</v>
      </c>
      <c r="AC98" s="24">
        <f t="shared" si="57"/>
        <v>30.745461163608923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5.6843418860808015E-14</v>
      </c>
      <c r="O99" s="14">
        <f>N99*VLOOKUP('Données projet'!$B$9,Paramètres!$A$1:$I$89,3,0)*VLOOKUP('Données projet'!$B$9,Paramètres!$A$1:$I$89,5,0)</f>
        <v>3.3992364478763198E-14</v>
      </c>
      <c r="P99" s="14">
        <f t="shared" si="87"/>
        <v>5.790027782444094E-13</v>
      </c>
      <c r="Q99" s="22">
        <f t="shared" ref="Q99:Q130" si="107">(O99+P99)*0.475*44/12</f>
        <v>1.0676332069095257E-12</v>
      </c>
      <c r="R99" s="62">
        <f t="shared" si="55"/>
        <v>293.33333333333439</v>
      </c>
      <c r="S99" s="62">
        <f ca="1">AVERAGE(OFFSET($R$3,0,0,'Données projet'!$E$9+1,1))-AVERAGE(OFFSET($H$3,0,0,'Données projet'!$E$9+1,1))</f>
        <v>157.98488572680344</v>
      </c>
      <c r="T99" s="62">
        <f t="shared" si="88"/>
        <v>269.20989374735825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29.601971744494918</v>
      </c>
      <c r="AA99" s="23">
        <f>EXP(-LN(2)/25)*AA98+(1-EXP(-LN(2)/25))/(LN(2)/25)*Calculateur!V99*Calculateur!X99*VLOOKUP('Données projet'!$B$9,Paramètres!$A$1:$I$89,3,0)*0.475*44/12</f>
        <v>0.53632403974851128</v>
      </c>
      <c r="AB99" s="23">
        <f>EXP(-LN(2)/2)*AB98+(1-EXP(-LN(2)/2))/(LN(2)/2)*V99*Y99*VLOOKUP('Données projet'!$B$9,Paramètres!$A$1:$I$89,3,0)*0.475*44/12</f>
        <v>1.2823364682135167E-7</v>
      </c>
      <c r="AC99" s="24">
        <f t="shared" si="57"/>
        <v>30.138295912477076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5.6843418860808015E-14</v>
      </c>
      <c r="O100" s="14">
        <f>N100*VLOOKUP('Données projet'!$B$9,Paramètres!$A$1:$I$89,3,0)*VLOOKUP('Données projet'!$B$9,Paramètres!$A$1:$I$89,5,0)</f>
        <v>3.3992364478763198E-14</v>
      </c>
      <c r="P100" s="14">
        <f t="shared" si="87"/>
        <v>5.790027782444094E-13</v>
      </c>
      <c r="Q100" s="22">
        <f t="shared" si="107"/>
        <v>1.0676332069095257E-12</v>
      </c>
      <c r="R100" s="62">
        <f t="shared" si="55"/>
        <v>293.33333333333439</v>
      </c>
      <c r="S100" s="62">
        <f ca="1">AVERAGE(OFFSET($R$3,0,0,'Données projet'!$E$9+1,1))-AVERAGE(OFFSET($H$3,0,0,'Données projet'!$E$9+1,1))</f>
        <v>157.98488572680344</v>
      </c>
      <c r="T100" s="62">
        <f t="shared" si="88"/>
        <v>269.20989374735825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29.021495134005313</v>
      </c>
      <c r="AA100" s="23">
        <f>EXP(-LN(2)/25)*AA99+(1-EXP(-LN(2)/25))/(LN(2)/25)*Calculateur!V100*Calculateur!X100*VLOOKUP('Données projet'!$B$9,Paramètres!$A$1:$I$89,3,0)*0.475*44/12</f>
        <v>0.52165823067753281</v>
      </c>
      <c r="AB100" s="23">
        <f>EXP(-LN(2)/2)*AB99+(1-EXP(-LN(2)/2))/(LN(2)/2)*V100*Y100*VLOOKUP('Données projet'!$B$9,Paramètres!$A$1:$I$89,3,0)*0.475*44/12</f>
        <v>9.0674881243658531E-8</v>
      </c>
      <c r="AC100" s="24">
        <f t="shared" si="57"/>
        <v>29.543153455357729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5.6843418860808015E-14</v>
      </c>
      <c r="O101" s="14">
        <f>N101*VLOOKUP('Données projet'!$B$9,Paramètres!$A$1:$I$89,3,0)*VLOOKUP('Données projet'!$B$9,Paramètres!$A$1:$I$89,5,0)</f>
        <v>3.3992364478763198E-14</v>
      </c>
      <c r="P101" s="14">
        <f t="shared" si="87"/>
        <v>5.790027782444094E-13</v>
      </c>
      <c r="Q101" s="22">
        <f t="shared" si="107"/>
        <v>1.0676332069095257E-12</v>
      </c>
      <c r="R101" s="62">
        <f t="shared" si="55"/>
        <v>293.33333333333439</v>
      </c>
      <c r="S101" s="62">
        <f ca="1">AVERAGE(OFFSET($R$3,0,0,'Données projet'!$E$9+1,1))-AVERAGE(OFFSET($H$3,0,0,'Données projet'!$E$9+1,1))</f>
        <v>157.98488572680344</v>
      </c>
      <c r="T101" s="62">
        <f t="shared" si="88"/>
        <v>269.20989374735825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28.452401315791636</v>
      </c>
      <c r="AA101" s="23">
        <f>EXP(-LN(2)/25)*AA100+(1-EXP(-LN(2)/25))/(LN(2)/25)*Calculateur!V101*Calculateur!X101*VLOOKUP('Données projet'!$B$9,Paramètres!$A$1:$I$89,3,0)*0.475*44/12</f>
        <v>0.50739345892684162</v>
      </c>
      <c r="AB101" s="23">
        <f>EXP(-LN(2)/2)*AB100+(1-EXP(-LN(2)/2))/(LN(2)/2)*V101*Y101*VLOOKUP('Données projet'!$B$9,Paramètres!$A$1:$I$89,3,0)*0.475*44/12</f>
        <v>6.4116823410675835E-8</v>
      </c>
      <c r="AC101" s="24">
        <f t="shared" si="57"/>
        <v>28.9597948388353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5.6843418860808015E-14</v>
      </c>
      <c r="O102" s="14">
        <f>N102*VLOOKUP('Données projet'!$B$9,Paramètres!$A$1:$I$89,3,0)*VLOOKUP('Données projet'!$B$9,Paramètres!$A$1:$I$89,5,0)</f>
        <v>3.3992364478763198E-14</v>
      </c>
      <c r="P102" s="14">
        <f t="shared" si="87"/>
        <v>5.790027782444094E-13</v>
      </c>
      <c r="Q102" s="22">
        <f t="shared" si="107"/>
        <v>1.0676332069095257E-12</v>
      </c>
      <c r="R102" s="62">
        <f t="shared" si="55"/>
        <v>293.33333333333439</v>
      </c>
      <c r="S102" s="62">
        <f ca="1">AVERAGE(OFFSET($R$3,0,0,'Données projet'!$E$9+1,1))-AVERAGE(OFFSET($H$3,0,0,'Données projet'!$E$9+1,1))</f>
        <v>157.98488572680344</v>
      </c>
      <c r="T102" s="62">
        <f t="shared" si="88"/>
        <v>269.20989374735825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27.894467080240176</v>
      </c>
      <c r="AA102" s="23">
        <f>EXP(-LN(2)/25)*AA101+(1-EXP(-LN(2)/25))/(LN(2)/25)*Calculateur!V102*Calculateur!X102*VLOOKUP('Données projet'!$B$9,Paramètres!$A$1:$I$89,3,0)*0.475*44/12</f>
        <v>0.49351875810982482</v>
      </c>
      <c r="AB102" s="23">
        <f>EXP(-LN(2)/2)*AB101+(1-EXP(-LN(2)/2))/(LN(2)/2)*V102*Y102*VLOOKUP('Données projet'!$B$9,Paramètres!$A$1:$I$89,3,0)*0.475*44/12</f>
        <v>4.5337440621829266E-8</v>
      </c>
      <c r="AC102" s="24">
        <f t="shared" si="57"/>
        <v>28.387985883687442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5.6843418860808015E-14</v>
      </c>
      <c r="O103" s="14">
        <f>N103*VLOOKUP('Données projet'!$B$9,Paramètres!$A$1:$I$89,3,0)*VLOOKUP('Données projet'!$B$9,Paramètres!$A$1:$I$89,5,0)</f>
        <v>3.3992364478763198E-14</v>
      </c>
      <c r="P103" s="14">
        <f t="shared" si="87"/>
        <v>5.790027782444094E-13</v>
      </c>
      <c r="Q103" s="22">
        <f t="shared" si="107"/>
        <v>1.0676332069095257E-12</v>
      </c>
      <c r="R103" s="62">
        <f t="shared" si="55"/>
        <v>293.33333333333439</v>
      </c>
      <c r="S103" s="62">
        <f ca="1">AVERAGE(OFFSET($R$3,0,0,'Données projet'!$E$9+1,1))-AVERAGE(OFFSET($H$3,0,0,'Données projet'!$E$9+1,1))</f>
        <v>157.98488572680344</v>
      </c>
      <c r="T103" s="62">
        <f t="shared" si="88"/>
        <v>269.20989374735825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27.347473594741597</v>
      </c>
      <c r="AA103" s="23">
        <f>EXP(-LN(2)/25)*AA102+(1-EXP(-LN(2)/25))/(LN(2)/25)*Calculateur!V103*Calculateur!X103*VLOOKUP('Données projet'!$B$9,Paramètres!$A$1:$I$89,3,0)*0.475*44/12</f>
        <v>0.48002346171628812</v>
      </c>
      <c r="AB103" s="23">
        <f>EXP(-LN(2)/2)*AB102+(1-EXP(-LN(2)/2))/(LN(2)/2)*V103*Y103*VLOOKUP('Données projet'!$B$9,Paramètres!$A$1:$I$89,3,0)*0.475*44/12</f>
        <v>3.2058411705337918E-8</v>
      </c>
      <c r="AC103" s="24">
        <f t="shared" si="57"/>
        <v>27.827497088516299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5.6843418860808015E-14</v>
      </c>
      <c r="O104" s="14">
        <f>N104*VLOOKUP('Données projet'!$B$9,Paramètres!$A$1:$I$89,3,0)*VLOOKUP('Données projet'!$B$9,Paramètres!$A$1:$I$89,5,0)</f>
        <v>3.3992364478763198E-14</v>
      </c>
      <c r="P104" s="14">
        <f t="shared" si="87"/>
        <v>5.790027782444094E-13</v>
      </c>
      <c r="Q104" s="22">
        <f t="shared" si="107"/>
        <v>1.0676332069095257E-12</v>
      </c>
      <c r="R104" s="62">
        <f t="shared" si="55"/>
        <v>293.33333333333439</v>
      </c>
      <c r="S104" s="62">
        <f ca="1">AVERAGE(OFFSET($R$3,0,0,'Données projet'!$E$9+1,1))-AVERAGE(OFFSET($H$3,0,0,'Données projet'!$E$9+1,1))</f>
        <v>157.98488572680344</v>
      </c>
      <c r="T104" s="62">
        <f t="shared" si="88"/>
        <v>269.20989374735825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26.811206317860563</v>
      </c>
      <c r="AA104" s="23">
        <f>EXP(-LN(2)/25)*AA103+(1-EXP(-LN(2)/25))/(LN(2)/25)*Calculateur!V104*Calculateur!X104*VLOOKUP('Données projet'!$B$9,Paramètres!$A$1:$I$89,3,0)*0.475*44/12</f>
        <v>0.46689719491231946</v>
      </c>
      <c r="AB104" s="23">
        <f>EXP(-LN(2)/2)*AB103+(1-EXP(-LN(2)/2))/(LN(2)/2)*V104*Y104*VLOOKUP('Données projet'!$B$9,Paramètres!$A$1:$I$89,3,0)*0.475*44/12</f>
        <v>2.2668720310914633E-8</v>
      </c>
      <c r="AC104" s="24">
        <f t="shared" si="57"/>
        <v>27.278103535441605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5.6843418860808015E-14</v>
      </c>
      <c r="O105" s="14">
        <f>N105*VLOOKUP('Données projet'!$B$9,Paramètres!$A$1:$I$89,3,0)*VLOOKUP('Données projet'!$B$9,Paramètres!$A$1:$I$89,5,0)</f>
        <v>3.3992364478763198E-14</v>
      </c>
      <c r="P105" s="14">
        <f t="shared" si="87"/>
        <v>5.790027782444094E-13</v>
      </c>
      <c r="Q105" s="22">
        <f t="shared" si="107"/>
        <v>1.0676332069095257E-12</v>
      </c>
      <c r="R105" s="62">
        <f t="shared" si="55"/>
        <v>293.33333333333439</v>
      </c>
      <c r="S105" s="62">
        <f ca="1">AVERAGE(OFFSET($R$3,0,0,'Données projet'!$E$9+1,1))-AVERAGE(OFFSET($H$3,0,0,'Données projet'!$E$9+1,1))</f>
        <v>157.98488572680344</v>
      </c>
      <c r="T105" s="62">
        <f t="shared" si="88"/>
        <v>269.20989374735825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26.285454915188424</v>
      </c>
      <c r="AA105" s="23">
        <f>EXP(-LN(2)/25)*AA104+(1-EXP(-LN(2)/25))/(LN(2)/25)*Calculateur!V105*Calculateur!X105*VLOOKUP('Données projet'!$B$9,Paramètres!$A$1:$I$89,3,0)*0.475*44/12</f>
        <v>0.4541298665643857</v>
      </c>
      <c r="AB105" s="23">
        <f>EXP(-LN(2)/2)*AB104+(1-EXP(-LN(2)/2))/(LN(2)/2)*V105*Y105*VLOOKUP('Données projet'!$B$9,Paramètres!$A$1:$I$89,3,0)*0.475*44/12</f>
        <v>1.6029205852668959E-8</v>
      </c>
      <c r="AC105" s="24">
        <f t="shared" si="57"/>
        <v>26.739584797782015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5.6843418860808015E-14</v>
      </c>
      <c r="O106" s="14">
        <f>N106*VLOOKUP('Données projet'!$B$9,Paramètres!$A$1:$I$89,3,0)*VLOOKUP('Données projet'!$B$9,Paramètres!$A$1:$I$89,5,0)</f>
        <v>3.3992364478763198E-14</v>
      </c>
      <c r="P106" s="14">
        <f t="shared" si="87"/>
        <v>5.790027782444094E-13</v>
      </c>
      <c r="Q106" s="22">
        <f t="shared" si="107"/>
        <v>1.0676332069095257E-12</v>
      </c>
      <c r="R106" s="62">
        <f t="shared" si="55"/>
        <v>293.33333333333439</v>
      </c>
      <c r="S106" s="62">
        <f ca="1">AVERAGE(OFFSET($R$3,0,0,'Données projet'!$E$9+1,1))-AVERAGE(OFFSET($H$3,0,0,'Données projet'!$E$9+1,1))</f>
        <v>157.98488572680344</v>
      </c>
      <c r="T106" s="62">
        <f t="shared" si="88"/>
        <v>269.20989374735825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25.770013176845996</v>
      </c>
      <c r="AA106" s="23">
        <f>EXP(-LN(2)/25)*AA105+(1-EXP(-LN(2)/25))/(LN(2)/25)*Calculateur!V106*Calculateur!X106*VLOOKUP('Données projet'!$B$9,Paramètres!$A$1:$I$89,3,0)*0.475*44/12</f>
        <v>0.44171166148153079</v>
      </c>
      <c r="AB106" s="23">
        <f>EXP(-LN(2)/2)*AB105+(1-EXP(-LN(2)/2))/(LN(2)/2)*V106*Y106*VLOOKUP('Données projet'!$B$9,Paramètres!$A$1:$I$89,3,0)*0.475*44/12</f>
        <v>1.1334360155457316E-8</v>
      </c>
      <c r="AC106" s="24">
        <f t="shared" si="57"/>
        <v>26.211724849661888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5.6843418860808015E-14</v>
      </c>
      <c r="O107" s="14">
        <f>N107*VLOOKUP('Données projet'!$B$9,Paramètres!$A$1:$I$89,3,0)*VLOOKUP('Données projet'!$B$9,Paramètres!$A$1:$I$89,5,0)</f>
        <v>3.3992364478763198E-14</v>
      </c>
      <c r="P107" s="14">
        <f t="shared" si="87"/>
        <v>5.790027782444094E-13</v>
      </c>
      <c r="Q107" s="22">
        <f t="shared" si="107"/>
        <v>1.0676332069095257E-12</v>
      </c>
      <c r="R107" s="62">
        <f t="shared" si="55"/>
        <v>293.33333333333439</v>
      </c>
      <c r="S107" s="62">
        <f ca="1">AVERAGE(OFFSET($R$3,0,0,'Données projet'!$E$9+1,1))-AVERAGE(OFFSET($H$3,0,0,'Données projet'!$E$9+1,1))</f>
        <v>157.98488572680344</v>
      </c>
      <c r="T107" s="62">
        <f t="shared" si="88"/>
        <v>269.20989374735825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25.264678936604046</v>
      </c>
      <c r="AA107" s="23">
        <f>EXP(-LN(2)/25)*AA106+(1-EXP(-LN(2)/25))/(LN(2)/25)*Calculateur!V107*Calculateur!X107*VLOOKUP('Données projet'!$B$9,Paramètres!$A$1:$I$89,3,0)*0.475*44/12</f>
        <v>0.42963303286971161</v>
      </c>
      <c r="AB107" s="23">
        <f>EXP(-LN(2)/2)*AB106+(1-EXP(-LN(2)/2))/(LN(2)/2)*V107*Y107*VLOOKUP('Données projet'!$B$9,Paramètres!$A$1:$I$89,3,0)*0.475*44/12</f>
        <v>8.0146029263344794E-9</v>
      </c>
      <c r="AC107" s="24">
        <f t="shared" si="57"/>
        <v>25.694311977488361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5.6843418860808015E-14</v>
      </c>
      <c r="O108" s="14">
        <f>N108*VLOOKUP('Données projet'!$B$9,Paramètres!$A$1:$I$89,3,0)*VLOOKUP('Données projet'!$B$9,Paramètres!$A$1:$I$89,5,0)</f>
        <v>3.3992364478763198E-14</v>
      </c>
      <c r="P108" s="14">
        <f t="shared" si="87"/>
        <v>5.790027782444094E-13</v>
      </c>
      <c r="Q108" s="22">
        <f t="shared" si="107"/>
        <v>1.0676332069095257E-12</v>
      </c>
      <c r="R108" s="62">
        <f t="shared" si="55"/>
        <v>293.33333333333439</v>
      </c>
      <c r="S108" s="62">
        <f ca="1">AVERAGE(OFFSET($R$3,0,0,'Données projet'!$E$9+1,1))-AVERAGE(OFFSET($H$3,0,0,'Données projet'!$E$9+1,1))</f>
        <v>157.98488572680344</v>
      </c>
      <c r="T108" s="62">
        <f t="shared" si="88"/>
        <v>269.20989374735825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24.769253992589789</v>
      </c>
      <c r="AA108" s="23">
        <f>EXP(-LN(2)/25)*AA107+(1-EXP(-LN(2)/25))/(LN(2)/25)*Calculateur!V108*Calculateur!X108*VLOOKUP('Données projet'!$B$9,Paramètres!$A$1:$I$89,3,0)*0.475*44/12</f>
        <v>0.41788469499247011</v>
      </c>
      <c r="AB108" s="23">
        <f>EXP(-LN(2)/2)*AB107+(1-EXP(-LN(2)/2))/(LN(2)/2)*V108*Y108*VLOOKUP('Données projet'!$B$9,Paramètres!$A$1:$I$89,3,0)*0.475*44/12</f>
        <v>5.6671800777286582E-9</v>
      </c>
      <c r="AC108" s="24">
        <f t="shared" si="57"/>
        <v>25.187138693249437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5.6843418860808015E-14</v>
      </c>
      <c r="O109" s="14">
        <f>N109*VLOOKUP('Données projet'!$B$9,Paramètres!$A$1:$I$89,3,0)*VLOOKUP('Données projet'!$B$9,Paramètres!$A$1:$I$89,5,0)</f>
        <v>3.3992364478763198E-14</v>
      </c>
      <c r="P109" s="14">
        <f t="shared" si="87"/>
        <v>5.790027782444094E-13</v>
      </c>
      <c r="Q109" s="22">
        <f t="shared" si="107"/>
        <v>1.0676332069095257E-12</v>
      </c>
      <c r="R109" s="62">
        <f t="shared" si="55"/>
        <v>293.33333333333439</v>
      </c>
      <c r="S109" s="62">
        <f ca="1">AVERAGE(OFFSET($R$3,0,0,'Données projet'!$E$9+1,1))-AVERAGE(OFFSET($H$3,0,0,'Données projet'!$E$9+1,1))</f>
        <v>157.98488572680344</v>
      </c>
      <c r="T109" s="62">
        <f t="shared" si="88"/>
        <v>269.20989374735825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24.283544029548271</v>
      </c>
      <c r="AA109" s="23">
        <f>EXP(-LN(2)/25)*AA108+(1-EXP(-LN(2)/25))/(LN(2)/25)*Calculateur!V109*Calculateur!X109*VLOOKUP('Données projet'!$B$9,Paramètres!$A$1:$I$89,3,0)*0.475*44/12</f>
        <v>0.40645761603230002</v>
      </c>
      <c r="AB109" s="23">
        <f>EXP(-LN(2)/2)*AB108+(1-EXP(-LN(2)/2))/(LN(2)/2)*V109*Y109*VLOOKUP('Données projet'!$B$9,Paramètres!$A$1:$I$89,3,0)*0.475*44/12</f>
        <v>4.0073014631672397E-9</v>
      </c>
      <c r="AC109" s="24">
        <f t="shared" si="57"/>
        <v>24.69000164958787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5.6843418860808015E-14</v>
      </c>
      <c r="O110" s="14">
        <f>N110*VLOOKUP('Données projet'!$B$9,Paramètres!$A$1:$I$89,3,0)*VLOOKUP('Données projet'!$B$9,Paramètres!$A$1:$I$89,5,0)</f>
        <v>3.3992364478763198E-14</v>
      </c>
      <c r="P110" s="14">
        <f t="shared" si="87"/>
        <v>5.790027782444094E-13</v>
      </c>
      <c r="Q110" s="22">
        <f t="shared" si="107"/>
        <v>1.0676332069095257E-12</v>
      </c>
      <c r="R110" s="62">
        <f t="shared" si="55"/>
        <v>293.33333333333439</v>
      </c>
      <c r="S110" s="62">
        <f ca="1">AVERAGE(OFFSET($R$3,0,0,'Données projet'!$E$9+1,1))-AVERAGE(OFFSET($H$3,0,0,'Données projet'!$E$9+1,1))</f>
        <v>157.98488572680344</v>
      </c>
      <c r="T110" s="62">
        <f t="shared" si="88"/>
        <v>269.20989374735825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23.807358542628172</v>
      </c>
      <c r="AA110" s="23">
        <f>EXP(-LN(2)/25)*AA109+(1-EXP(-LN(2)/25))/(LN(2)/25)*Calculateur!V110*Calculateur!X110*VLOOKUP('Données projet'!$B$9,Paramètres!$A$1:$I$89,3,0)*0.475*44/12</f>
        <v>0.3953430111472197</v>
      </c>
      <c r="AB110" s="23">
        <f>EXP(-LN(2)/2)*AB109+(1-EXP(-LN(2)/2))/(LN(2)/2)*V110*Y110*VLOOKUP('Données projet'!$B$9,Paramètres!$A$1:$I$89,3,0)*0.475*44/12</f>
        <v>2.8335900388643291E-9</v>
      </c>
      <c r="AC110" s="24">
        <f t="shared" si="57"/>
        <v>24.202701556608982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5.6843418860808015E-14</v>
      </c>
      <c r="O111" s="14">
        <f>N111*VLOOKUP('Données projet'!$B$9,Paramètres!$A$1:$I$89,3,0)*VLOOKUP('Données projet'!$B$9,Paramètres!$A$1:$I$89,5,0)</f>
        <v>3.3992364478763198E-14</v>
      </c>
      <c r="P111" s="14">
        <f t="shared" si="87"/>
        <v>5.790027782444094E-13</v>
      </c>
      <c r="Q111" s="22">
        <f t="shared" si="107"/>
        <v>1.0676332069095257E-12</v>
      </c>
      <c r="R111" s="62">
        <f t="shared" si="55"/>
        <v>293.33333333333439</v>
      </c>
      <c r="S111" s="62">
        <f ca="1">AVERAGE(OFFSET($R$3,0,0,'Données projet'!$E$9+1,1))-AVERAGE(OFFSET($H$3,0,0,'Données projet'!$E$9+1,1))</f>
        <v>157.98488572680344</v>
      </c>
      <c r="T111" s="62">
        <f t="shared" si="88"/>
        <v>269.20989374735825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23.34051076266211</v>
      </c>
      <c r="AA111" s="23">
        <f>EXP(-LN(2)/25)*AA110+(1-EXP(-LN(2)/25))/(LN(2)/25)*Calculateur!V111*Calculateur!X111*VLOOKUP('Données projet'!$B$9,Paramètres!$A$1:$I$89,3,0)*0.475*44/12</f>
        <v>0.38453233571721357</v>
      </c>
      <c r="AB111" s="23">
        <f>EXP(-LN(2)/2)*AB110+(1-EXP(-LN(2)/2))/(LN(2)/2)*V111*Y111*VLOOKUP('Données projet'!$B$9,Paramètres!$A$1:$I$89,3,0)*0.475*44/12</f>
        <v>2.0036507315836199E-9</v>
      </c>
      <c r="AC111" s="24">
        <f t="shared" si="57"/>
        <v>23.725043100382976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5.6843418860808015E-14</v>
      </c>
      <c r="O112" s="14">
        <f>N112*VLOOKUP('Données projet'!$B$9,Paramètres!$A$1:$I$89,3,0)*VLOOKUP('Données projet'!$B$9,Paramètres!$A$1:$I$89,5,0)</f>
        <v>3.3992364478763198E-14</v>
      </c>
      <c r="P112" s="14">
        <f t="shared" si="87"/>
        <v>5.790027782444094E-13</v>
      </c>
      <c r="Q112" s="22">
        <f t="shared" si="107"/>
        <v>1.0676332069095257E-12</v>
      </c>
      <c r="R112" s="62">
        <f t="shared" si="55"/>
        <v>293.33333333333439</v>
      </c>
      <c r="S112" s="62">
        <f ca="1">AVERAGE(OFFSET($R$3,0,0,'Données projet'!$E$9+1,1))-AVERAGE(OFFSET($H$3,0,0,'Données projet'!$E$9+1,1))</f>
        <v>157.98488572680344</v>
      </c>
      <c r="T112" s="62">
        <f t="shared" si="88"/>
        <v>269.20989374735825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22.882817582912153</v>
      </c>
      <c r="AA112" s="23">
        <f>EXP(-LN(2)/25)*AA111+(1-EXP(-LN(2)/25))/(LN(2)/25)*Calculateur!V112*Calculateur!X112*VLOOKUP('Données projet'!$B$9,Paramètres!$A$1:$I$89,3,0)*0.475*44/12</f>
        <v>0.37401727877534968</v>
      </c>
      <c r="AB112" s="23">
        <f>EXP(-LN(2)/2)*AB111+(1-EXP(-LN(2)/2))/(LN(2)/2)*V112*Y112*VLOOKUP('Données projet'!$B$9,Paramètres!$A$1:$I$89,3,0)*0.475*44/12</f>
        <v>1.4167950194321646E-9</v>
      </c>
      <c r="AC112" s="24">
        <f t="shared" si="57"/>
        <v>23.256834863104295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5.6843418860808015E-14</v>
      </c>
      <c r="O113" s="14">
        <f>N113*VLOOKUP('Données projet'!$B$9,Paramètres!$A$1:$I$89,3,0)*VLOOKUP('Données projet'!$B$9,Paramètres!$A$1:$I$89,5,0)</f>
        <v>3.3992364478763198E-14</v>
      </c>
      <c r="P113" s="14">
        <f t="shared" si="87"/>
        <v>5.790027782444094E-13</v>
      </c>
      <c r="Q113" s="22">
        <f t="shared" si="107"/>
        <v>1.0676332069095257E-12</v>
      </c>
      <c r="R113" s="62">
        <f t="shared" si="55"/>
        <v>293.33333333333439</v>
      </c>
      <c r="S113" s="62">
        <f ca="1">AVERAGE(OFFSET($R$3,0,0,'Données projet'!$E$9+1,1))-AVERAGE(OFFSET($H$3,0,0,'Données projet'!$E$9+1,1))</f>
        <v>157.98488572680344</v>
      </c>
      <c r="T113" s="62">
        <f t="shared" si="88"/>
        <v>269.20989374735825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22.434099487251817</v>
      </c>
      <c r="AA113" s="23">
        <f>EXP(-LN(2)/25)*AA112+(1-EXP(-LN(2)/25))/(LN(2)/25)*Calculateur!V113*Calculateur!X113*VLOOKUP('Données projet'!$B$9,Paramètres!$A$1:$I$89,3,0)*0.475*44/12</f>
        <v>0.36378975661852386</v>
      </c>
      <c r="AB113" s="23">
        <f>EXP(-LN(2)/2)*AB112+(1-EXP(-LN(2)/2))/(LN(2)/2)*V113*Y113*VLOOKUP('Données projet'!$B$9,Paramètres!$A$1:$I$89,3,0)*0.475*44/12</f>
        <v>1.0018253657918099E-9</v>
      </c>
      <c r="AC113" s="24">
        <f t="shared" si="57"/>
        <v>22.797889244872167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5.6843418860808015E-14</v>
      </c>
      <c r="O114" s="14">
        <f>N114*VLOOKUP('Données projet'!$B$9,Paramètres!$A$1:$I$89,3,0)*VLOOKUP('Données projet'!$B$9,Paramètres!$A$1:$I$89,5,0)</f>
        <v>3.3992364478763198E-14</v>
      </c>
      <c r="P114" s="14">
        <f t="shared" si="87"/>
        <v>5.790027782444094E-13</v>
      </c>
      <c r="Q114" s="22">
        <f t="shared" si="107"/>
        <v>1.0676332069095257E-12</v>
      </c>
      <c r="R114" s="62">
        <f t="shared" si="55"/>
        <v>293.33333333333439</v>
      </c>
      <c r="S114" s="62">
        <f ca="1">AVERAGE(OFFSET($R$3,0,0,'Données projet'!$E$9+1,1))-AVERAGE(OFFSET($H$3,0,0,'Données projet'!$E$9+1,1))</f>
        <v>157.98488572680344</v>
      </c>
      <c r="T114" s="62">
        <f t="shared" si="88"/>
        <v>269.20989374735825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21.994180479756366</v>
      </c>
      <c r="AA114" s="23">
        <f>EXP(-LN(2)/25)*AA113+(1-EXP(-LN(2)/25))/(LN(2)/25)*Calculateur!V114*Calculateur!X114*VLOOKUP('Données projet'!$B$9,Paramètres!$A$1:$I$89,3,0)*0.475*44/12</f>
        <v>0.35384190659291848</v>
      </c>
      <c r="AB114" s="23">
        <f>EXP(-LN(2)/2)*AB113+(1-EXP(-LN(2)/2))/(LN(2)/2)*V114*Y114*VLOOKUP('Données projet'!$B$9,Paramètres!$A$1:$I$89,3,0)*0.475*44/12</f>
        <v>7.0839750971608228E-10</v>
      </c>
      <c r="AC114" s="24">
        <f t="shared" si="57"/>
        <v>22.348022387057682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5.6843418860808015E-14</v>
      </c>
      <c r="O115" s="14">
        <f>N115*VLOOKUP('Données projet'!$B$9,Paramètres!$A$1:$I$89,3,0)*VLOOKUP('Données projet'!$B$9,Paramètres!$A$1:$I$89,5,0)</f>
        <v>3.3992364478763198E-14</v>
      </c>
      <c r="P115" s="14">
        <f t="shared" si="87"/>
        <v>5.790027782444094E-13</v>
      </c>
      <c r="Q115" s="22">
        <f t="shared" si="107"/>
        <v>1.0676332069095257E-12</v>
      </c>
      <c r="R115" s="62">
        <f t="shared" si="55"/>
        <v>293.33333333333439</v>
      </c>
      <c r="S115" s="62">
        <f ca="1">AVERAGE(OFFSET($R$3,0,0,'Données projet'!$E$9+1,1))-AVERAGE(OFFSET($H$3,0,0,'Données projet'!$E$9+1,1))</f>
        <v>157.98488572680344</v>
      </c>
      <c r="T115" s="62">
        <f t="shared" si="88"/>
        <v>269.20989374735825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21.562888015673803</v>
      </c>
      <c r="AA115" s="23">
        <f>EXP(-LN(2)/25)*AA114+(1-EXP(-LN(2)/25))/(LN(2)/25)*Calculateur!V115*Calculateur!X115*VLOOKUP('Données projet'!$B$9,Paramètres!$A$1:$I$89,3,0)*0.475*44/12</f>
        <v>0.34416608104939794</v>
      </c>
      <c r="AB115" s="23">
        <f>EXP(-LN(2)/2)*AB114+(1-EXP(-LN(2)/2))/(LN(2)/2)*V115*Y115*VLOOKUP('Données projet'!$B$9,Paramètres!$A$1:$I$89,3,0)*0.475*44/12</f>
        <v>5.0091268289590496E-10</v>
      </c>
      <c r="AC115" s="24">
        <f t="shared" si="57"/>
        <v>21.907054097224112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5.6843418860808015E-14</v>
      </c>
      <c r="O116" s="14">
        <f>N116*VLOOKUP('Données projet'!$B$9,Paramètres!$A$1:$I$89,3,0)*VLOOKUP('Données projet'!$B$9,Paramètres!$A$1:$I$89,5,0)</f>
        <v>3.3992364478763198E-14</v>
      </c>
      <c r="P116" s="14">
        <f t="shared" si="87"/>
        <v>5.790027782444094E-13</v>
      </c>
      <c r="Q116" s="22">
        <f t="shared" si="107"/>
        <v>1.0676332069095257E-12</v>
      </c>
      <c r="R116" s="62">
        <f t="shared" si="55"/>
        <v>293.33333333333439</v>
      </c>
      <c r="S116" s="62">
        <f ca="1">AVERAGE(OFFSET($R$3,0,0,'Données projet'!$E$9+1,1))-AVERAGE(OFFSET($H$3,0,0,'Données projet'!$E$9+1,1))</f>
        <v>157.98488572680344</v>
      </c>
      <c r="T116" s="62">
        <f t="shared" si="88"/>
        <v>269.20989374735825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21.14005293374947</v>
      </c>
      <c r="AA116" s="23">
        <f>EXP(-LN(2)/25)*AA115+(1-EXP(-LN(2)/25))/(LN(2)/25)*Calculateur!V116*Calculateur!X116*VLOOKUP('Données projet'!$B$9,Paramètres!$A$1:$I$89,3,0)*0.475*44/12</f>
        <v>0.33475484146419454</v>
      </c>
      <c r="AB116" s="23">
        <f>EXP(-LN(2)/2)*AB115+(1-EXP(-LN(2)/2))/(LN(2)/2)*V116*Y116*VLOOKUP('Données projet'!$B$9,Paramètres!$A$1:$I$89,3,0)*0.475*44/12</f>
        <v>3.5419875485804114E-10</v>
      </c>
      <c r="AC116" s="24">
        <f t="shared" si="57"/>
        <v>21.474807775567861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5.6843418860808015E-14</v>
      </c>
      <c r="O117" s="14">
        <f>N117*VLOOKUP('Données projet'!$B$9,Paramètres!$A$1:$I$89,3,0)*VLOOKUP('Données projet'!$B$9,Paramètres!$A$1:$I$89,5,0)</f>
        <v>3.3992364478763198E-14</v>
      </c>
      <c r="P117" s="14">
        <f t="shared" si="87"/>
        <v>5.790027782444094E-13</v>
      </c>
      <c r="Q117" s="22">
        <f t="shared" si="107"/>
        <v>1.0676332069095257E-12</v>
      </c>
      <c r="R117" s="62">
        <f t="shared" si="55"/>
        <v>293.33333333333439</v>
      </c>
      <c r="S117" s="62">
        <f ca="1">AVERAGE(OFFSET($R$3,0,0,'Données projet'!$E$9+1,1))-AVERAGE(OFFSET($H$3,0,0,'Données projet'!$E$9+1,1))</f>
        <v>157.98488572680344</v>
      </c>
      <c r="T117" s="62">
        <f t="shared" si="88"/>
        <v>269.20989374735825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20.72550938987774</v>
      </c>
      <c r="AA117" s="23">
        <f>EXP(-LN(2)/25)*AA116+(1-EXP(-LN(2)/25))/(LN(2)/25)*Calculateur!V117*Calculateur!X117*VLOOKUP('Données projet'!$B$9,Paramètres!$A$1:$I$89,3,0)*0.475*44/12</f>
        <v>0.3256009527203641</v>
      </c>
      <c r="AB117" s="23">
        <f>EXP(-LN(2)/2)*AB116+(1-EXP(-LN(2)/2))/(LN(2)/2)*V117*Y117*VLOOKUP('Données projet'!$B$9,Paramètres!$A$1:$I$89,3,0)*0.475*44/12</f>
        <v>2.5045634144795248E-10</v>
      </c>
      <c r="AC117" s="24">
        <f t="shared" si="57"/>
        <v>21.05111034284856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5.6843418860808015E-14</v>
      </c>
      <c r="O118" s="14">
        <f>N118*VLOOKUP('Données projet'!$B$9,Paramètres!$A$1:$I$89,3,0)*VLOOKUP('Données projet'!$B$9,Paramètres!$A$1:$I$89,5,0)</f>
        <v>3.3992364478763198E-14</v>
      </c>
      <c r="P118" s="14">
        <f t="shared" si="87"/>
        <v>5.790027782444094E-13</v>
      </c>
      <c r="Q118" s="22">
        <f t="shared" si="107"/>
        <v>1.0676332069095257E-12</v>
      </c>
      <c r="R118" s="62">
        <f t="shared" si="55"/>
        <v>293.33333333333439</v>
      </c>
      <c r="S118" s="62">
        <f ca="1">AVERAGE(OFFSET($R$3,0,0,'Données projet'!$E$9+1,1))-AVERAGE(OFFSET($H$3,0,0,'Données projet'!$E$9+1,1))</f>
        <v>157.98488572680344</v>
      </c>
      <c r="T118" s="62">
        <f t="shared" si="88"/>
        <v>269.20989374735825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20.319094792054738</v>
      </c>
      <c r="AA118" s="23">
        <f>EXP(-LN(2)/25)*AA117+(1-EXP(-LN(2)/25))/(LN(2)/25)*Calculateur!V118*Calculateur!X118*VLOOKUP('Données projet'!$B$9,Paramètres!$A$1:$I$89,3,0)*0.475*44/12</f>
        <v>0.31669737754561583</v>
      </c>
      <c r="AB118" s="23">
        <f>EXP(-LN(2)/2)*AB117+(1-EXP(-LN(2)/2))/(LN(2)/2)*V118*Y118*VLOOKUP('Données projet'!$B$9,Paramètres!$A$1:$I$89,3,0)*0.475*44/12</f>
        <v>1.7709937742902057E-10</v>
      </c>
      <c r="AC118" s="24">
        <f t="shared" si="57"/>
        <v>20.635792169777453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5.6843418860808015E-14</v>
      </c>
      <c r="O119" s="14">
        <f>N119*VLOOKUP('Données projet'!$B$9,Paramètres!$A$1:$I$89,3,0)*VLOOKUP('Données projet'!$B$9,Paramètres!$A$1:$I$89,5,0)</f>
        <v>3.3992364478763198E-14</v>
      </c>
      <c r="P119" s="14">
        <f t="shared" si="87"/>
        <v>5.790027782444094E-13</v>
      </c>
      <c r="Q119" s="22">
        <f t="shared" si="107"/>
        <v>1.0676332069095257E-12</v>
      </c>
      <c r="R119" s="62">
        <f t="shared" si="55"/>
        <v>293.33333333333439</v>
      </c>
      <c r="S119" s="62">
        <f ca="1">AVERAGE(OFFSET($R$3,0,0,'Données projet'!$E$9+1,1))-AVERAGE(OFFSET($H$3,0,0,'Données projet'!$E$9+1,1))</f>
        <v>157.98488572680344</v>
      </c>
      <c r="T119" s="62">
        <f t="shared" si="88"/>
        <v>269.20989374735825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19.92064973660662</v>
      </c>
      <c r="AA119" s="23">
        <f>EXP(-LN(2)/25)*AA118+(1-EXP(-LN(2)/25))/(LN(2)/25)*Calculateur!V119*Calculateur!X119*VLOOKUP('Données projet'!$B$9,Paramètres!$A$1:$I$89,3,0)*0.475*44/12</f>
        <v>0.30803727110223972</v>
      </c>
      <c r="AB119" s="23">
        <f>EXP(-LN(2)/2)*AB118+(1-EXP(-LN(2)/2))/(LN(2)/2)*V119*Y119*VLOOKUP('Données projet'!$B$9,Paramètres!$A$1:$I$89,3,0)*0.475*44/12</f>
        <v>1.2522817072397624E-10</v>
      </c>
      <c r="AC119" s="24">
        <f t="shared" si="57"/>
        <v>20.22868700783409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5.6843418860808015E-14</v>
      </c>
      <c r="O120" s="14">
        <f>N120*VLOOKUP('Données projet'!$B$9,Paramètres!$A$1:$I$89,3,0)*VLOOKUP('Données projet'!$B$9,Paramètres!$A$1:$I$89,5,0)</f>
        <v>3.3992364478763198E-14</v>
      </c>
      <c r="P120" s="14">
        <f t="shared" si="87"/>
        <v>5.790027782444094E-13</v>
      </c>
      <c r="Q120" s="22">
        <f t="shared" si="107"/>
        <v>1.0676332069095257E-12</v>
      </c>
      <c r="R120" s="62">
        <f t="shared" si="55"/>
        <v>293.33333333333439</v>
      </c>
      <c r="S120" s="62">
        <f ca="1">AVERAGE(OFFSET($R$3,0,0,'Données projet'!$E$9+1,1))-AVERAGE(OFFSET($H$3,0,0,'Données projet'!$E$9+1,1))</f>
        <v>157.98488572680344</v>
      </c>
      <c r="T120" s="62">
        <f t="shared" si="88"/>
        <v>269.20989374735825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19.530017945668352</v>
      </c>
      <c r="AA120" s="23">
        <f>EXP(-LN(2)/25)*AA119+(1-EXP(-LN(2)/25))/(LN(2)/25)*Calculateur!V120*Calculateur!X120*VLOOKUP('Données projet'!$B$9,Paramètres!$A$1:$I$89,3,0)*0.475*44/12</f>
        <v>0.29961397572497289</v>
      </c>
      <c r="AB120" s="23">
        <f>EXP(-LN(2)/2)*AB119+(1-EXP(-LN(2)/2))/(LN(2)/2)*V120*Y120*VLOOKUP('Données projet'!$B$9,Paramètres!$A$1:$I$89,3,0)*0.475*44/12</f>
        <v>8.8549688714510285E-11</v>
      </c>
      <c r="AC120" s="24">
        <f t="shared" si="57"/>
        <v>19.829631921481877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5.6843418860808015E-14</v>
      </c>
      <c r="O121" s="14">
        <f>N121*VLOOKUP('Données projet'!$B$9,Paramètres!$A$1:$I$89,3,0)*VLOOKUP('Données projet'!$B$9,Paramètres!$A$1:$I$89,5,0)</f>
        <v>3.3992364478763198E-14</v>
      </c>
      <c r="P121" s="14">
        <f t="shared" si="87"/>
        <v>5.790027782444094E-13</v>
      </c>
      <c r="Q121" s="22">
        <f t="shared" si="107"/>
        <v>1.0676332069095257E-12</v>
      </c>
      <c r="R121" s="62">
        <f t="shared" si="55"/>
        <v>293.33333333333439</v>
      </c>
      <c r="S121" s="62">
        <f ca="1">AVERAGE(OFFSET($R$3,0,0,'Données projet'!$E$9+1,1))-AVERAGE(OFFSET($H$3,0,0,'Données projet'!$E$9+1,1))</f>
        <v>157.98488572680344</v>
      </c>
      <c r="T121" s="62">
        <f t="shared" si="88"/>
        <v>269.20989374735825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19.147046205888515</v>
      </c>
      <c r="AA121" s="23">
        <f>EXP(-LN(2)/25)*AA120+(1-EXP(-LN(2)/25))/(LN(2)/25)*Calculateur!V121*Calculateur!X121*VLOOKUP('Données projet'!$B$9,Paramètres!$A$1:$I$89,3,0)*0.475*44/12</f>
        <v>0.29142101580275931</v>
      </c>
      <c r="AB121" s="23">
        <f>EXP(-LN(2)/2)*AB120+(1-EXP(-LN(2)/2))/(LN(2)/2)*V121*Y121*VLOOKUP('Données projet'!$B$9,Paramètres!$A$1:$I$89,3,0)*0.475*44/12</f>
        <v>6.2614085361988121E-11</v>
      </c>
      <c r="AC121" s="24">
        <f t="shared" si="57"/>
        <v>19.438467221753886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5.6843418860808015E-14</v>
      </c>
      <c r="O122" s="14">
        <f>N122*VLOOKUP('Données projet'!$B$9,Paramètres!$A$1:$I$89,3,0)*VLOOKUP('Données projet'!$B$9,Paramètres!$A$1:$I$89,5,0)</f>
        <v>3.3992364478763198E-14</v>
      </c>
      <c r="P122" s="14">
        <f t="shared" si="87"/>
        <v>5.790027782444094E-13</v>
      </c>
      <c r="Q122" s="22">
        <f t="shared" si="107"/>
        <v>1.0676332069095257E-12</v>
      </c>
      <c r="R122" s="62">
        <f t="shared" si="55"/>
        <v>293.33333333333439</v>
      </c>
      <c r="S122" s="62">
        <f ca="1">AVERAGE(OFFSET($R$3,0,0,'Données projet'!$E$9+1,1))-AVERAGE(OFFSET($H$3,0,0,'Données projet'!$E$9+1,1))</f>
        <v>157.98488572680344</v>
      </c>
      <c r="T122" s="62">
        <f t="shared" si="88"/>
        <v>269.20989374735825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18.771584308336067</v>
      </c>
      <c r="AA122" s="23">
        <f>EXP(-LN(2)/25)*AA121+(1-EXP(-LN(2)/25))/(LN(2)/25)*Calculateur!V122*Calculateur!X122*VLOOKUP('Données projet'!$B$9,Paramètres!$A$1:$I$89,3,0)*0.475*44/12</f>
        <v>0.28345209280046768</v>
      </c>
      <c r="AB122" s="23">
        <f>EXP(-LN(2)/2)*AB121+(1-EXP(-LN(2)/2))/(LN(2)/2)*V122*Y122*VLOOKUP('Données projet'!$B$9,Paramètres!$A$1:$I$89,3,0)*0.475*44/12</f>
        <v>4.4274844357255142E-11</v>
      </c>
      <c r="AC122" s="24">
        <f t="shared" si="57"/>
        <v>19.055036401180807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5.6843418860808015E-14</v>
      </c>
      <c r="O123" s="14">
        <f>N123*VLOOKUP('Données projet'!$B$9,Paramètres!$A$1:$I$89,3,0)*VLOOKUP('Données projet'!$B$9,Paramètres!$A$1:$I$89,5,0)</f>
        <v>3.3992364478763198E-14</v>
      </c>
      <c r="P123" s="14">
        <f t="shared" si="87"/>
        <v>5.790027782444094E-13</v>
      </c>
      <c r="Q123" s="22">
        <f t="shared" si="107"/>
        <v>1.0676332069095257E-12</v>
      </c>
      <c r="R123" s="62">
        <f t="shared" si="55"/>
        <v>293.33333333333439</v>
      </c>
      <c r="S123" s="62">
        <f ca="1">AVERAGE(OFFSET($R$3,0,0,'Données projet'!$E$9+1,1))-AVERAGE(OFFSET($H$3,0,0,'Données projet'!$E$9+1,1))</f>
        <v>157.98488572680344</v>
      </c>
      <c r="T123" s="62">
        <f t="shared" si="88"/>
        <v>269.20989374735825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18.403484989585476</v>
      </c>
      <c r="AA123" s="23">
        <f>EXP(-LN(2)/25)*AA122+(1-EXP(-LN(2)/25))/(LN(2)/25)*Calculateur!V123*Calculateur!X123*VLOOKUP('Données projet'!$B$9,Paramètres!$A$1:$I$89,3,0)*0.475*44/12</f>
        <v>0.27570108041674118</v>
      </c>
      <c r="AB123" s="23">
        <f>EXP(-LN(2)/2)*AB122+(1-EXP(-LN(2)/2))/(LN(2)/2)*V123*Y123*VLOOKUP('Données projet'!$B$9,Paramètres!$A$1:$I$89,3,0)*0.475*44/12</f>
        <v>3.130704268099406E-11</v>
      </c>
      <c r="AC123" s="24">
        <f t="shared" si="57"/>
        <v>18.679186070033523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5.6843418860808015E-14</v>
      </c>
      <c r="O124" s="14">
        <f>N124*VLOOKUP('Données projet'!$B$9,Paramètres!$A$1:$I$89,3,0)*VLOOKUP('Données projet'!$B$9,Paramètres!$A$1:$I$89,5,0)</f>
        <v>3.3992364478763198E-14</v>
      </c>
      <c r="P124" s="14">
        <f t="shared" si="87"/>
        <v>5.790027782444094E-13</v>
      </c>
      <c r="Q124" s="22">
        <f t="shared" si="107"/>
        <v>1.0676332069095257E-12</v>
      </c>
      <c r="R124" s="62">
        <f t="shared" si="55"/>
        <v>293.33333333333439</v>
      </c>
      <c r="S124" s="62">
        <f ca="1">AVERAGE(OFFSET($R$3,0,0,'Données projet'!$E$9+1,1))-AVERAGE(OFFSET($H$3,0,0,'Données projet'!$E$9+1,1))</f>
        <v>157.98488572680344</v>
      </c>
      <c r="T124" s="62">
        <f t="shared" si="88"/>
        <v>269.20989374735825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18.042603873957169</v>
      </c>
      <c r="AA124" s="23">
        <f>EXP(-LN(2)/25)*AA123+(1-EXP(-LN(2)/25))/(LN(2)/25)*Calculateur!V124*Calculateur!X124*VLOOKUP('Données projet'!$B$9,Paramètres!$A$1:$I$89,3,0)*0.475*44/12</f>
        <v>0.2681620198742557</v>
      </c>
      <c r="AB124" s="23">
        <f>EXP(-LN(2)/2)*AB123+(1-EXP(-LN(2)/2))/(LN(2)/2)*V124*Y124*VLOOKUP('Données projet'!$B$9,Paramètres!$A$1:$I$89,3,0)*0.475*44/12</f>
        <v>2.2137422178627571E-11</v>
      </c>
      <c r="AC124" s="24">
        <f t="shared" si="57"/>
        <v>18.310765893853564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5.6843418860808015E-14</v>
      </c>
      <c r="O125" s="14">
        <f>N125*VLOOKUP('Données projet'!$B$9,Paramètres!$A$1:$I$89,3,0)*VLOOKUP('Données projet'!$B$9,Paramètres!$A$1:$I$89,5,0)</f>
        <v>3.3992364478763198E-14</v>
      </c>
      <c r="P125" s="14">
        <f t="shared" si="87"/>
        <v>5.790027782444094E-13</v>
      </c>
      <c r="Q125" s="22">
        <f t="shared" si="107"/>
        <v>1.0676332069095257E-12</v>
      </c>
      <c r="R125" s="62">
        <f t="shared" si="55"/>
        <v>293.33333333333439</v>
      </c>
      <c r="S125" s="62">
        <f ca="1">AVERAGE(OFFSET($R$3,0,0,'Données projet'!$E$9+1,1))-AVERAGE(OFFSET($H$3,0,0,'Données projet'!$E$9+1,1))</f>
        <v>157.98488572680344</v>
      </c>
      <c r="T125" s="62">
        <f t="shared" si="88"/>
        <v>269.20989374735825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17.688799416890589</v>
      </c>
      <c r="AA125" s="23">
        <f>EXP(-LN(2)/25)*AA124+(1-EXP(-LN(2)/25))/(LN(2)/25)*Calculateur!V125*Calculateur!X125*VLOOKUP('Données projet'!$B$9,Paramètres!$A$1:$I$89,3,0)*0.475*44/12</f>
        <v>0.26082911533876646</v>
      </c>
      <c r="AB125" s="23">
        <f>EXP(-LN(2)/2)*AB124+(1-EXP(-LN(2)/2))/(LN(2)/2)*V125*Y125*VLOOKUP('Données projet'!$B$9,Paramètres!$A$1:$I$89,3,0)*0.475*44/12</f>
        <v>1.565352134049703E-11</v>
      </c>
      <c r="AC125" s="24">
        <f t="shared" si="57"/>
        <v>17.949628532245008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5.6843418860808015E-14</v>
      </c>
      <c r="O126" s="14">
        <f>N126*VLOOKUP('Données projet'!$B$9,Paramètres!$A$1:$I$89,3,0)*VLOOKUP('Données projet'!$B$9,Paramètres!$A$1:$I$89,5,0)</f>
        <v>3.3992364478763198E-14</v>
      </c>
      <c r="P126" s="14">
        <f t="shared" si="87"/>
        <v>5.790027782444094E-13</v>
      </c>
      <c r="Q126" s="22">
        <f t="shared" si="107"/>
        <v>1.0676332069095257E-12</v>
      </c>
      <c r="R126" s="62">
        <f t="shared" si="55"/>
        <v>293.33333333333439</v>
      </c>
      <c r="S126" s="62">
        <f ca="1">AVERAGE(OFFSET($R$3,0,0,'Données projet'!$E$9+1,1))-AVERAGE(OFFSET($H$3,0,0,'Données projet'!$E$9+1,1))</f>
        <v>157.98488572680344</v>
      </c>
      <c r="T126" s="62">
        <f t="shared" si="88"/>
        <v>269.20989374735825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17.341932849427675</v>
      </c>
      <c r="AA126" s="23">
        <f>EXP(-LN(2)/25)*AA125+(1-EXP(-LN(2)/25))/(LN(2)/25)*Calculateur!V126*Calculateur!X126*VLOOKUP('Données projet'!$B$9,Paramètres!$A$1:$I$89,3,0)*0.475*44/12</f>
        <v>0.25369672946342087</v>
      </c>
      <c r="AB126" s="23">
        <f>EXP(-LN(2)/2)*AB125+(1-EXP(-LN(2)/2))/(LN(2)/2)*V126*Y126*VLOOKUP('Données projet'!$B$9,Paramètres!$A$1:$I$89,3,0)*0.475*44/12</f>
        <v>1.1068711089313786E-11</v>
      </c>
      <c r="AC126" s="24">
        <f t="shared" si="57"/>
        <v>17.595629578902166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5.6843418860808015E-14</v>
      </c>
      <c r="O127" s="14">
        <f>N127*VLOOKUP('Données projet'!$B$9,Paramètres!$A$1:$I$89,3,0)*VLOOKUP('Données projet'!$B$9,Paramètres!$A$1:$I$89,5,0)</f>
        <v>3.3992364478763198E-14</v>
      </c>
      <c r="P127" s="14">
        <f t="shared" si="87"/>
        <v>5.790027782444094E-13</v>
      </c>
      <c r="Q127" s="22">
        <f t="shared" si="107"/>
        <v>1.0676332069095257E-12</v>
      </c>
      <c r="R127" s="62">
        <f t="shared" si="55"/>
        <v>293.33333333333439</v>
      </c>
      <c r="S127" s="62">
        <f ca="1">AVERAGE(OFFSET($R$3,0,0,'Données projet'!$E$9+1,1))-AVERAGE(OFFSET($H$3,0,0,'Données projet'!$E$9+1,1))</f>
        <v>157.98488572680344</v>
      </c>
      <c r="T127" s="62">
        <f t="shared" si="88"/>
        <v>269.20989374735825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17.001868123784991</v>
      </c>
      <c r="AA127" s="23">
        <f>EXP(-LN(2)/25)*AA126+(1-EXP(-LN(2)/25))/(LN(2)/25)*Calculateur!V127*Calculateur!X127*VLOOKUP('Données projet'!$B$9,Paramètres!$A$1:$I$89,3,0)*0.475*44/12</f>
        <v>0.24675937905491246</v>
      </c>
      <c r="AB127" s="23">
        <f>EXP(-LN(2)/2)*AB126+(1-EXP(-LN(2)/2))/(LN(2)/2)*V127*Y127*VLOOKUP('Données projet'!$B$9,Paramètres!$A$1:$I$89,3,0)*0.475*44/12</f>
        <v>7.8267606702485151E-12</v>
      </c>
      <c r="AC127" s="24">
        <f t="shared" si="57"/>
        <v>17.248627502847729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5.6843418860808015E-14</v>
      </c>
      <c r="O128" s="14">
        <f>N128*VLOOKUP('Données projet'!$B$9,Paramètres!$A$1:$I$89,3,0)*VLOOKUP('Données projet'!$B$9,Paramètres!$A$1:$I$89,5,0)</f>
        <v>3.3992364478763198E-14</v>
      </c>
      <c r="P128" s="14">
        <f t="shared" si="87"/>
        <v>5.790027782444094E-13</v>
      </c>
      <c r="Q128" s="22">
        <f t="shared" si="107"/>
        <v>1.0676332069095257E-12</v>
      </c>
      <c r="R128" s="62">
        <f t="shared" si="55"/>
        <v>293.33333333333439</v>
      </c>
      <c r="S128" s="62">
        <f ca="1">AVERAGE(OFFSET($R$3,0,0,'Données projet'!$E$9+1,1))-AVERAGE(OFFSET($H$3,0,0,'Données projet'!$E$9+1,1))</f>
        <v>157.98488572680344</v>
      </c>
      <c r="T128" s="62">
        <f t="shared" si="88"/>
        <v>269.20989374735825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16.668471859993158</v>
      </c>
      <c r="AA128" s="23">
        <f>EXP(-LN(2)/25)*AA127+(1-EXP(-LN(2)/25))/(LN(2)/25)*Calculateur!V128*Calculateur!X128*VLOOKUP('Données projet'!$B$9,Paramètres!$A$1:$I$89,3,0)*0.475*44/12</f>
        <v>0.24001173085814412</v>
      </c>
      <c r="AB128" s="23">
        <f>EXP(-LN(2)/2)*AB127+(1-EXP(-LN(2)/2))/(LN(2)/2)*V128*Y128*VLOOKUP('Données projet'!$B$9,Paramètres!$A$1:$I$89,3,0)*0.475*44/12</f>
        <v>5.5343555446568928E-12</v>
      </c>
      <c r="AC128" s="24">
        <f t="shared" si="57"/>
        <v>16.908483590856836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5.6843418860808015E-14</v>
      </c>
      <c r="O129" s="14">
        <f>N129*VLOOKUP('Données projet'!$B$9,Paramètres!$A$1:$I$89,3,0)*VLOOKUP('Données projet'!$B$9,Paramètres!$A$1:$I$89,5,0)</f>
        <v>3.3992364478763198E-14</v>
      </c>
      <c r="P129" s="14">
        <f t="shared" si="87"/>
        <v>5.790027782444094E-13</v>
      </c>
      <c r="Q129" s="22">
        <f t="shared" si="107"/>
        <v>1.0676332069095257E-12</v>
      </c>
      <c r="R129" s="62">
        <f t="shared" si="55"/>
        <v>293.33333333333439</v>
      </c>
      <c r="S129" s="62">
        <f ca="1">AVERAGE(OFFSET($R$3,0,0,'Données projet'!$E$9+1,1))-AVERAGE(OFFSET($H$3,0,0,'Données projet'!$E$9+1,1))</f>
        <v>157.98488572680344</v>
      </c>
      <c r="T129" s="62">
        <f t="shared" si="88"/>
        <v>269.20989374735825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16.341613293582643</v>
      </c>
      <c r="AA129" s="23">
        <f>EXP(-LN(2)/25)*AA128+(1-EXP(-LN(2)/25))/(LN(2)/25)*Calculateur!V129*Calculateur!X129*VLOOKUP('Données projet'!$B$9,Paramètres!$A$1:$I$89,3,0)*0.475*44/12</f>
        <v>0.23344859745615978</v>
      </c>
      <c r="AB129" s="23">
        <f>EXP(-LN(2)/2)*AB128+(1-EXP(-LN(2)/2))/(LN(2)/2)*V129*Y129*VLOOKUP('Données projet'!$B$9,Paramètres!$A$1:$I$89,3,0)*0.475*44/12</f>
        <v>3.9133803351242575E-12</v>
      </c>
      <c r="AC129" s="24">
        <f t="shared" si="57"/>
        <v>16.575061891042719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5.6843418860808015E-14</v>
      </c>
      <c r="O130" s="14">
        <f>N130*VLOOKUP('Données projet'!$B$9,Paramètres!$A$1:$I$89,3,0)*VLOOKUP('Données projet'!$B$9,Paramètres!$A$1:$I$89,5,0)</f>
        <v>3.3992364478763198E-14</v>
      </c>
      <c r="P130" s="14">
        <f t="shared" si="87"/>
        <v>5.790027782444094E-13</v>
      </c>
      <c r="Q130" s="22">
        <f t="shared" si="107"/>
        <v>1.0676332069095257E-12</v>
      </c>
      <c r="R130" s="62">
        <f t="shared" si="55"/>
        <v>293.33333333333439</v>
      </c>
      <c r="S130" s="62">
        <f ca="1">AVERAGE(OFFSET($R$3,0,0,'Données projet'!$E$9+1,1))-AVERAGE(OFFSET($H$3,0,0,'Données projet'!$E$9+1,1))</f>
        <v>157.98488572680344</v>
      </c>
      <c r="T130" s="62">
        <f t="shared" si="88"/>
        <v>269.20989374735825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16.021164224295397</v>
      </c>
      <c r="AA130" s="23">
        <f>EXP(-LN(2)/25)*AA129+(1-EXP(-LN(2)/25))/(LN(2)/25)*Calculateur!V130*Calculateur!X130*VLOOKUP('Données projet'!$B$9,Paramètres!$A$1:$I$89,3,0)*0.475*44/12</f>
        <v>0.2270649332821929</v>
      </c>
      <c r="AB130" s="23">
        <f>EXP(-LN(2)/2)*AB129+(1-EXP(-LN(2)/2))/(LN(2)/2)*V130*Y130*VLOOKUP('Données projet'!$B$9,Paramètres!$A$1:$I$89,3,0)*0.475*44/12</f>
        <v>2.7671777723284464E-12</v>
      </c>
      <c r="AC130" s="24">
        <f t="shared" si="57"/>
        <v>16.248229157580358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5.6843418860808015E-14</v>
      </c>
      <c r="O131" s="14">
        <f>N131*VLOOKUP('Données projet'!$B$9,Paramètres!$A$1:$I$89,3,0)*VLOOKUP('Données projet'!$B$9,Paramètres!$A$1:$I$89,5,0)</f>
        <v>3.3992364478763198E-14</v>
      </c>
      <c r="P131" s="14">
        <f t="shared" si="87"/>
        <v>5.790027782444094E-13</v>
      </c>
      <c r="Q131" s="22">
        <f t="shared" ref="Q131:Q153" si="108">(O131+P131)*0.475*44/12</f>
        <v>1.0676332069095257E-12</v>
      </c>
      <c r="R131" s="62">
        <f t="shared" ref="R131:R194" si="109">Q131+(I131+J131)*44/12</f>
        <v>293.33333333333439</v>
      </c>
      <c r="S131" s="62">
        <f ca="1">AVERAGE(OFFSET($R$3,0,0,'Données projet'!$E$9+1,1))-AVERAGE(OFFSET($H$3,0,0,'Données projet'!$E$9+1,1))</f>
        <v>157.98488572680344</v>
      </c>
      <c r="T131" s="62">
        <f t="shared" si="88"/>
        <v>269.20989374735825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15.706998965802242</v>
      </c>
      <c r="AA131" s="23">
        <f>EXP(-LN(2)/25)*AA130+(1-EXP(-LN(2)/25))/(LN(2)/25)*Calculateur!V131*Calculateur!X131*VLOOKUP('Données projet'!$B$9,Paramètres!$A$1:$I$89,3,0)*0.475*44/12</f>
        <v>0.22085583074076545</v>
      </c>
      <c r="AB131" s="23">
        <f>EXP(-LN(2)/2)*AB130+(1-EXP(-LN(2)/2))/(LN(2)/2)*V131*Y131*VLOOKUP('Données projet'!$B$9,Paramètres!$A$1:$I$89,3,0)*0.475*44/12</f>
        <v>1.9566901675621288E-12</v>
      </c>
      <c r="AC131" s="24">
        <f t="shared" si="57"/>
        <v>15.927854796544965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5.6843418860808015E-14</v>
      </c>
      <c r="O132" s="14">
        <f>N132*VLOOKUP('Données projet'!$B$9,Paramètres!$A$1:$I$89,3,0)*VLOOKUP('Données projet'!$B$9,Paramètres!$A$1:$I$89,5,0)</f>
        <v>3.3992364478763198E-14</v>
      </c>
      <c r="P132" s="14">
        <f t="shared" si="87"/>
        <v>5.790027782444094E-13</v>
      </c>
      <c r="Q132" s="22">
        <f t="shared" si="108"/>
        <v>1.0676332069095257E-12</v>
      </c>
      <c r="R132" s="62">
        <f t="shared" si="109"/>
        <v>293.33333333333439</v>
      </c>
      <c r="S132" s="62">
        <f ca="1">AVERAGE(OFFSET($R$3,0,0,'Données projet'!$E$9+1,1))-AVERAGE(OFFSET($H$3,0,0,'Données projet'!$E$9+1,1))</f>
        <v>157.98488572680344</v>
      </c>
      <c r="T132" s="62">
        <f t="shared" si="88"/>
        <v>269.20989374735825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15.398994296406251</v>
      </c>
      <c r="AA132" s="23">
        <f>EXP(-LN(2)/25)*AA131+(1-EXP(-LN(2)/25))/(LN(2)/25)*Calculateur!V132*Calculateur!X132*VLOOKUP('Données projet'!$B$9,Paramètres!$A$1:$I$89,3,0)*0.475*44/12</f>
        <v>0.21481651643485586</v>
      </c>
      <c r="AB132" s="23">
        <f>EXP(-LN(2)/2)*AB131+(1-EXP(-LN(2)/2))/(LN(2)/2)*V132*Y132*VLOOKUP('Données projet'!$B$9,Paramètres!$A$1:$I$89,3,0)*0.475*44/12</f>
        <v>1.3835888861642232E-12</v>
      </c>
      <c r="AC132" s="24">
        <f t="shared" ref="AC132:AC153" si="111">SUM(Z132:AB132)</f>
        <v>15.613810812842491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5.6843418860808015E-14</v>
      </c>
      <c r="O133" s="14">
        <f>N133*VLOOKUP('Données projet'!$B$9,Paramètres!$A$1:$I$89,3,0)*VLOOKUP('Données projet'!$B$9,Paramètres!$A$1:$I$89,5,0)</f>
        <v>3.3992364478763198E-14</v>
      </c>
      <c r="P133" s="14">
        <f t="shared" ref="P133:P196" si="141">EXP(-1.0587+0.8836*LN(O133)+0.284)</f>
        <v>5.790027782444094E-13</v>
      </c>
      <c r="Q133" s="22">
        <f t="shared" si="108"/>
        <v>1.0676332069095257E-12</v>
      </c>
      <c r="R133" s="62">
        <f t="shared" si="109"/>
        <v>293.33333333333439</v>
      </c>
      <c r="S133" s="62">
        <f ca="1">AVERAGE(OFFSET($R$3,0,0,'Données projet'!$E$9+1,1))-AVERAGE(OFFSET($H$3,0,0,'Données projet'!$E$9+1,1))</f>
        <v>157.98488572680344</v>
      </c>
      <c r="T133" s="62">
        <f t="shared" ref="T133:T196" si="142">$T$3</f>
        <v>269.20989374735825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15.097029410712816</v>
      </c>
      <c r="AA133" s="23">
        <f>EXP(-LN(2)/25)*AA132+(1-EXP(-LN(2)/25))/(LN(2)/25)*Calculateur!V133*Calculateur!X133*VLOOKUP('Données projet'!$B$9,Paramètres!$A$1:$I$89,3,0)*0.475*44/12</f>
        <v>0.20894234749623511</v>
      </c>
      <c r="AB133" s="23">
        <f>EXP(-LN(2)/2)*AB132+(1-EXP(-LN(2)/2))/(LN(2)/2)*V133*Y133*VLOOKUP('Données projet'!$B$9,Paramètres!$A$1:$I$89,3,0)*0.475*44/12</f>
        <v>9.7834508378106438E-13</v>
      </c>
      <c r="AC133" s="24">
        <f t="shared" si="111"/>
        <v>15.305971758210029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5.6843418860808015E-14</v>
      </c>
      <c r="O134" s="14">
        <f>N134*VLOOKUP('Données projet'!$B$9,Paramètres!$A$1:$I$89,3,0)*VLOOKUP('Données projet'!$B$9,Paramètres!$A$1:$I$89,5,0)</f>
        <v>3.3992364478763198E-14</v>
      </c>
      <c r="P134" s="14">
        <f t="shared" si="141"/>
        <v>5.790027782444094E-13</v>
      </c>
      <c r="Q134" s="22">
        <f t="shared" si="108"/>
        <v>1.0676332069095257E-12</v>
      </c>
      <c r="R134" s="62">
        <f t="shared" si="109"/>
        <v>293.33333333333439</v>
      </c>
      <c r="S134" s="62">
        <f ca="1">AVERAGE(OFFSET($R$3,0,0,'Données projet'!$E$9+1,1))-AVERAGE(OFFSET($H$3,0,0,'Données projet'!$E$9+1,1))</f>
        <v>157.98488572680344</v>
      </c>
      <c r="T134" s="62">
        <f t="shared" si="142"/>
        <v>269.20989374735825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14.800985872247436</v>
      </c>
      <c r="AA134" s="23">
        <f>EXP(-LN(2)/25)*AA133+(1-EXP(-LN(2)/25))/(LN(2)/25)*Calculateur!V134*Calculateur!X134*VLOOKUP('Données projet'!$B$9,Paramètres!$A$1:$I$89,3,0)*0.475*44/12</f>
        <v>0.20322880801615004</v>
      </c>
      <c r="AB134" s="23">
        <f>EXP(-LN(2)/2)*AB133+(1-EXP(-LN(2)/2))/(LN(2)/2)*V134*Y134*VLOOKUP('Données projet'!$B$9,Paramètres!$A$1:$I$89,3,0)*0.475*44/12</f>
        <v>6.917944430821116E-13</v>
      </c>
      <c r="AC134" s="24">
        <f t="shared" si="111"/>
        <v>15.004214680264276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5.6843418860808015E-14</v>
      </c>
      <c r="O135" s="14">
        <f>N135*VLOOKUP('Données projet'!$B$9,Paramètres!$A$1:$I$89,3,0)*VLOOKUP('Données projet'!$B$9,Paramètres!$A$1:$I$89,5,0)</f>
        <v>3.3992364478763198E-14</v>
      </c>
      <c r="P135" s="14">
        <f t="shared" si="141"/>
        <v>5.790027782444094E-13</v>
      </c>
      <c r="Q135" s="22">
        <f t="shared" si="108"/>
        <v>1.0676332069095257E-12</v>
      </c>
      <c r="R135" s="62">
        <f t="shared" si="109"/>
        <v>293.33333333333439</v>
      </c>
      <c r="S135" s="62">
        <f ca="1">AVERAGE(OFFSET($R$3,0,0,'Données projet'!$E$9+1,1))-AVERAGE(OFFSET($H$3,0,0,'Données projet'!$E$9+1,1))</f>
        <v>157.98488572680344</v>
      </c>
      <c r="T135" s="62">
        <f t="shared" si="142"/>
        <v>269.20989374735825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14.510747567002634</v>
      </c>
      <c r="AA135" s="23">
        <f>EXP(-LN(2)/25)*AA134+(1-EXP(-LN(2)/25))/(LN(2)/25)*Calculateur!V135*Calculateur!X135*VLOOKUP('Données projet'!$B$9,Paramètres!$A$1:$I$89,3,0)*0.475*44/12</f>
        <v>0.19767150557360988</v>
      </c>
      <c r="AB135" s="23">
        <f>EXP(-LN(2)/2)*AB134+(1-EXP(-LN(2)/2))/(LN(2)/2)*V135*Y135*VLOOKUP('Données projet'!$B$9,Paramètres!$A$1:$I$89,3,0)*0.475*44/12</f>
        <v>4.8917254189053219E-13</v>
      </c>
      <c r="AC135" s="24">
        <f t="shared" si="111"/>
        <v>14.708419072576731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5.6843418860808015E-14</v>
      </c>
      <c r="O136" s="14">
        <f>N136*VLOOKUP('Données projet'!$B$9,Paramètres!$A$1:$I$89,3,0)*VLOOKUP('Données projet'!$B$9,Paramètres!$A$1:$I$89,5,0)</f>
        <v>3.3992364478763198E-14</v>
      </c>
      <c r="P136" s="14">
        <f t="shared" si="141"/>
        <v>5.790027782444094E-13</v>
      </c>
      <c r="Q136" s="22">
        <f t="shared" si="108"/>
        <v>1.0676332069095257E-12</v>
      </c>
      <c r="R136" s="62">
        <f t="shared" si="109"/>
        <v>293.33333333333439</v>
      </c>
      <c r="S136" s="62">
        <f ca="1">AVERAGE(OFFSET($R$3,0,0,'Données projet'!$E$9+1,1))-AVERAGE(OFFSET($H$3,0,0,'Données projet'!$E$9+1,1))</f>
        <v>157.98488572680344</v>
      </c>
      <c r="T136" s="62">
        <f t="shared" si="142"/>
        <v>269.20989374735825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14.226200657895795</v>
      </c>
      <c r="AA136" s="23">
        <f>EXP(-LN(2)/25)*AA135+(1-EXP(-LN(2)/25))/(LN(2)/25)*Calculateur!V136*Calculateur!X136*VLOOKUP('Données projet'!$B$9,Paramètres!$A$1:$I$89,3,0)*0.475*44/12</f>
        <v>0.19226616785860681</v>
      </c>
      <c r="AB136" s="23">
        <f>EXP(-LN(2)/2)*AB135+(1-EXP(-LN(2)/2))/(LN(2)/2)*V136*Y136*VLOOKUP('Données projet'!$B$9,Paramètres!$A$1:$I$89,3,0)*0.475*44/12</f>
        <v>3.458972215410558E-13</v>
      </c>
      <c r="AC136" s="24">
        <f t="shared" si="111"/>
        <v>14.418466825754749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5.6843418860808015E-14</v>
      </c>
      <c r="O137" s="14">
        <f>N137*VLOOKUP('Données projet'!$B$9,Paramètres!$A$1:$I$89,3,0)*VLOOKUP('Données projet'!$B$9,Paramètres!$A$1:$I$89,5,0)</f>
        <v>3.3992364478763198E-14</v>
      </c>
      <c r="P137" s="14">
        <f t="shared" si="141"/>
        <v>5.790027782444094E-13</v>
      </c>
      <c r="Q137" s="22">
        <f t="shared" si="108"/>
        <v>1.0676332069095257E-12</v>
      </c>
      <c r="R137" s="62">
        <f t="shared" si="109"/>
        <v>293.33333333333439</v>
      </c>
      <c r="S137" s="62">
        <f ca="1">AVERAGE(OFFSET($R$3,0,0,'Données projet'!$E$9+1,1))-AVERAGE(OFFSET($H$3,0,0,'Données projet'!$E$9+1,1))</f>
        <v>157.98488572680344</v>
      </c>
      <c r="T137" s="62">
        <f t="shared" si="142"/>
        <v>269.20989374735825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13.947233540120065</v>
      </c>
      <c r="AA137" s="23">
        <f>EXP(-LN(2)/25)*AA136+(1-EXP(-LN(2)/25))/(LN(2)/25)*Calculateur!V137*Calculateur!X137*VLOOKUP('Données projet'!$B$9,Paramètres!$A$1:$I$89,3,0)*0.475*44/12</f>
        <v>0.18700863938767487</v>
      </c>
      <c r="AB137" s="23">
        <f>EXP(-LN(2)/2)*AB136+(1-EXP(-LN(2)/2))/(LN(2)/2)*V137*Y137*VLOOKUP('Données projet'!$B$9,Paramètres!$A$1:$I$89,3,0)*0.475*44/12</f>
        <v>2.445862709452661E-13</v>
      </c>
      <c r="AC137" s="24">
        <f t="shared" si="111"/>
        <v>14.134242179507986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5.6843418860808015E-14</v>
      </c>
      <c r="O138" s="14">
        <f>N138*VLOOKUP('Données projet'!$B$9,Paramètres!$A$1:$I$89,3,0)*VLOOKUP('Données projet'!$B$9,Paramètres!$A$1:$I$89,5,0)</f>
        <v>3.3992364478763198E-14</v>
      </c>
      <c r="P138" s="14">
        <f t="shared" si="141"/>
        <v>5.790027782444094E-13</v>
      </c>
      <c r="Q138" s="22">
        <f t="shared" si="108"/>
        <v>1.0676332069095257E-12</v>
      </c>
      <c r="R138" s="62">
        <f t="shared" si="109"/>
        <v>293.33333333333439</v>
      </c>
      <c r="S138" s="62">
        <f ca="1">AVERAGE(OFFSET($R$3,0,0,'Données projet'!$E$9+1,1))-AVERAGE(OFFSET($H$3,0,0,'Données projet'!$E$9+1,1))</f>
        <v>157.98488572680344</v>
      </c>
      <c r="T138" s="62">
        <f t="shared" si="142"/>
        <v>269.20989374735825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13.673736797370776</v>
      </c>
      <c r="AA138" s="23">
        <f>EXP(-LN(2)/25)*AA137+(1-EXP(-LN(2)/25))/(LN(2)/25)*Calculateur!V138*Calculateur!X138*VLOOKUP('Données projet'!$B$9,Paramètres!$A$1:$I$89,3,0)*0.475*44/12</f>
        <v>0.18189487830926196</v>
      </c>
      <c r="AB138" s="23">
        <f>EXP(-LN(2)/2)*AB137+(1-EXP(-LN(2)/2))/(LN(2)/2)*V138*Y138*VLOOKUP('Données projet'!$B$9,Paramètres!$A$1:$I$89,3,0)*0.475*44/12</f>
        <v>1.729486107705279E-13</v>
      </c>
      <c r="AC138" s="24">
        <f t="shared" si="111"/>
        <v>13.855631675680209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5.6843418860808015E-14</v>
      </c>
      <c r="O139" s="14">
        <f>N139*VLOOKUP('Données projet'!$B$9,Paramètres!$A$1:$I$89,3,0)*VLOOKUP('Données projet'!$B$9,Paramètres!$A$1:$I$89,5,0)</f>
        <v>3.3992364478763198E-14</v>
      </c>
      <c r="P139" s="14">
        <f t="shared" si="141"/>
        <v>5.790027782444094E-13</v>
      </c>
      <c r="Q139" s="22">
        <f t="shared" si="108"/>
        <v>1.0676332069095257E-12</v>
      </c>
      <c r="R139" s="62">
        <f t="shared" si="109"/>
        <v>293.33333333333439</v>
      </c>
      <c r="S139" s="62">
        <f ca="1">AVERAGE(OFFSET($R$3,0,0,'Données projet'!$E$9+1,1))-AVERAGE(OFFSET($H$3,0,0,'Données projet'!$E$9+1,1))</f>
        <v>157.98488572680344</v>
      </c>
      <c r="T139" s="62">
        <f t="shared" si="142"/>
        <v>269.20989374735825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13.405603158930258</v>
      </c>
      <c r="AA139" s="23">
        <f>EXP(-LN(2)/25)*AA138+(1-EXP(-LN(2)/25))/(LN(2)/25)*Calculateur!V139*Calculateur!X139*VLOOKUP('Données projet'!$B$9,Paramètres!$A$1:$I$89,3,0)*0.475*44/12</f>
        <v>0.17692095329645927</v>
      </c>
      <c r="AB139" s="23">
        <f>EXP(-LN(2)/2)*AB138+(1-EXP(-LN(2)/2))/(LN(2)/2)*V139*Y139*VLOOKUP('Données projet'!$B$9,Paramètres!$A$1:$I$89,3,0)*0.475*44/12</f>
        <v>1.2229313547263305E-13</v>
      </c>
      <c r="AC139" s="24">
        <f t="shared" si="111"/>
        <v>13.582524112226841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5.6843418860808015E-14</v>
      </c>
      <c r="O140" s="14">
        <f>N140*VLOOKUP('Données projet'!$B$9,Paramètres!$A$1:$I$89,3,0)*VLOOKUP('Données projet'!$B$9,Paramètres!$A$1:$I$89,5,0)</f>
        <v>3.3992364478763198E-14</v>
      </c>
      <c r="P140" s="14">
        <f t="shared" si="141"/>
        <v>5.790027782444094E-13</v>
      </c>
      <c r="Q140" s="22">
        <f t="shared" si="108"/>
        <v>1.0676332069095257E-12</v>
      </c>
      <c r="R140" s="62">
        <f t="shared" si="109"/>
        <v>293.33333333333439</v>
      </c>
      <c r="S140" s="62">
        <f ca="1">AVERAGE(OFFSET($R$3,0,0,'Données projet'!$E$9+1,1))-AVERAGE(OFFSET($H$3,0,0,'Données projet'!$E$9+1,1))</f>
        <v>157.98488572680344</v>
      </c>
      <c r="T140" s="62">
        <f t="shared" si="142"/>
        <v>269.20989374735825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13.142727457594189</v>
      </c>
      <c r="AA140" s="23">
        <f>EXP(-LN(2)/25)*AA139+(1-EXP(-LN(2)/25))/(LN(2)/25)*Calculateur!V140*Calculateur!X140*VLOOKUP('Données projet'!$B$9,Paramètres!$A$1:$I$89,3,0)*0.475*44/12</f>
        <v>0.172083040524699</v>
      </c>
      <c r="AB140" s="23">
        <f>EXP(-LN(2)/2)*AB139+(1-EXP(-LN(2)/2))/(LN(2)/2)*V140*Y140*VLOOKUP('Données projet'!$B$9,Paramètres!$A$1:$I$89,3,0)*0.475*44/12</f>
        <v>8.647430538526395E-14</v>
      </c>
      <c r="AC140" s="24">
        <f t="shared" si="111"/>
        <v>13.314810498118975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5.6843418860808015E-14</v>
      </c>
      <c r="O141" s="14">
        <f>N141*VLOOKUP('Données projet'!$B$9,Paramètres!$A$1:$I$89,3,0)*VLOOKUP('Données projet'!$B$9,Paramètres!$A$1:$I$89,5,0)</f>
        <v>3.3992364478763198E-14</v>
      </c>
      <c r="P141" s="14">
        <f t="shared" si="141"/>
        <v>5.790027782444094E-13</v>
      </c>
      <c r="Q141" s="22">
        <f t="shared" si="108"/>
        <v>1.0676332069095257E-12</v>
      </c>
      <c r="R141" s="62">
        <f t="shared" si="109"/>
        <v>293.33333333333439</v>
      </c>
      <c r="S141" s="62">
        <f ca="1">AVERAGE(OFFSET($R$3,0,0,'Données projet'!$E$9+1,1))-AVERAGE(OFFSET($H$3,0,0,'Données projet'!$E$9+1,1))</f>
        <v>157.98488572680344</v>
      </c>
      <c r="T141" s="62">
        <f t="shared" si="142"/>
        <v>269.20989374735825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12.885006588422975</v>
      </c>
      <c r="AA141" s="23">
        <f>EXP(-LN(2)/25)*AA140+(1-EXP(-LN(2)/25))/(LN(2)/25)*Calculateur!V141*Calculateur!X141*VLOOKUP('Données projet'!$B$9,Paramètres!$A$1:$I$89,3,0)*0.475*44/12</f>
        <v>0.1673774207320973</v>
      </c>
      <c r="AB141" s="23">
        <f>EXP(-LN(2)/2)*AB140+(1-EXP(-LN(2)/2))/(LN(2)/2)*V141*Y141*VLOOKUP('Données projet'!$B$9,Paramètres!$A$1:$I$89,3,0)*0.475*44/12</f>
        <v>6.1146567736316524E-14</v>
      </c>
      <c r="AC141" s="24">
        <f t="shared" si="111"/>
        <v>13.052384009155134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5.6843418860808015E-14</v>
      </c>
      <c r="O142" s="14">
        <f>N142*VLOOKUP('Données projet'!$B$9,Paramètres!$A$1:$I$89,3,0)*VLOOKUP('Données projet'!$B$9,Paramètres!$A$1:$I$89,5,0)</f>
        <v>3.3992364478763198E-14</v>
      </c>
      <c r="P142" s="14">
        <f t="shared" si="141"/>
        <v>5.790027782444094E-13</v>
      </c>
      <c r="Q142" s="22">
        <f t="shared" si="108"/>
        <v>1.0676332069095257E-12</v>
      </c>
      <c r="R142" s="62">
        <f t="shared" si="109"/>
        <v>293.33333333333439</v>
      </c>
      <c r="S142" s="62">
        <f ca="1">AVERAGE(OFFSET($R$3,0,0,'Données projet'!$E$9+1,1))-AVERAGE(OFFSET($H$3,0,0,'Données projet'!$E$9+1,1))</f>
        <v>157.98488572680344</v>
      </c>
      <c r="T142" s="62">
        <f t="shared" si="142"/>
        <v>269.20989374735825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12.632339468302</v>
      </c>
      <c r="AA142" s="23">
        <f>EXP(-LN(2)/25)*AA141+(1-EXP(-LN(2)/25))/(LN(2)/25)*Calculateur!V142*Calculateur!X142*VLOOKUP('Données projet'!$B$9,Paramètres!$A$1:$I$89,3,0)*0.475*44/12</f>
        <v>0.16280047636018208</v>
      </c>
      <c r="AB142" s="23">
        <f>EXP(-LN(2)/2)*AB141+(1-EXP(-LN(2)/2))/(LN(2)/2)*V142*Y142*VLOOKUP('Données projet'!$B$9,Paramètres!$A$1:$I$89,3,0)*0.475*44/12</f>
        <v>4.3237152692631975E-14</v>
      </c>
      <c r="AC142" s="24">
        <f t="shared" si="111"/>
        <v>12.795139944662225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5.6843418860808015E-14</v>
      </c>
      <c r="O143" s="14">
        <f>N143*VLOOKUP('Données projet'!$B$9,Paramètres!$A$1:$I$89,3,0)*VLOOKUP('Données projet'!$B$9,Paramètres!$A$1:$I$89,5,0)</f>
        <v>3.3992364478763198E-14</v>
      </c>
      <c r="P143" s="14">
        <f t="shared" si="141"/>
        <v>5.790027782444094E-13</v>
      </c>
      <c r="Q143" s="22">
        <f t="shared" si="108"/>
        <v>1.0676332069095257E-12</v>
      </c>
      <c r="R143" s="62">
        <f t="shared" si="109"/>
        <v>293.33333333333439</v>
      </c>
      <c r="S143" s="62">
        <f ca="1">AVERAGE(OFFSET($R$3,0,0,'Données projet'!$E$9+1,1))-AVERAGE(OFFSET($H$3,0,0,'Données projet'!$E$9+1,1))</f>
        <v>157.98488572680344</v>
      </c>
      <c r="T143" s="62">
        <f t="shared" si="142"/>
        <v>269.20989374735825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12.384626996294871</v>
      </c>
      <c r="AA143" s="23">
        <f>EXP(-LN(2)/25)*AA142+(1-EXP(-LN(2)/25))/(LN(2)/25)*Calculateur!V143*Calculateur!X143*VLOOKUP('Données projet'!$B$9,Paramètres!$A$1:$I$89,3,0)*0.475*44/12</f>
        <v>0.15834868877280794</v>
      </c>
      <c r="AB143" s="23">
        <f>EXP(-LN(2)/2)*AB142+(1-EXP(-LN(2)/2))/(LN(2)/2)*V143*Y143*VLOOKUP('Données projet'!$B$9,Paramètres!$A$1:$I$89,3,0)*0.475*44/12</f>
        <v>3.0573283868158262E-14</v>
      </c>
      <c r="AC143" s="24">
        <f t="shared" si="111"/>
        <v>12.542975685067709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5.6843418860808015E-14</v>
      </c>
      <c r="O144" s="14">
        <f>N144*VLOOKUP('Données projet'!$B$9,Paramètres!$A$1:$I$89,3,0)*VLOOKUP('Données projet'!$B$9,Paramètres!$A$1:$I$89,5,0)</f>
        <v>3.3992364478763198E-14</v>
      </c>
      <c r="P144" s="14">
        <f t="shared" si="141"/>
        <v>5.790027782444094E-13</v>
      </c>
      <c r="Q144" s="22">
        <f t="shared" si="108"/>
        <v>1.0676332069095257E-12</v>
      </c>
      <c r="R144" s="62">
        <f t="shared" si="109"/>
        <v>293.33333333333439</v>
      </c>
      <c r="S144" s="62">
        <f ca="1">AVERAGE(OFFSET($R$3,0,0,'Données projet'!$E$9+1,1))-AVERAGE(OFFSET($H$3,0,0,'Données projet'!$E$9+1,1))</f>
        <v>157.98488572680344</v>
      </c>
      <c r="T144" s="62">
        <f t="shared" si="142"/>
        <v>269.20989374735825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12.141772014774114</v>
      </c>
      <c r="AA144" s="23">
        <f>EXP(-LN(2)/25)*AA143+(1-EXP(-LN(2)/25))/(LN(2)/25)*Calculateur!V144*Calculateur!X144*VLOOKUP('Données projet'!$B$9,Paramètres!$A$1:$I$89,3,0)*0.475*44/12</f>
        <v>0.15401863555111989</v>
      </c>
      <c r="AB144" s="23">
        <f>EXP(-LN(2)/2)*AB143+(1-EXP(-LN(2)/2))/(LN(2)/2)*V144*Y144*VLOOKUP('Données projet'!$B$9,Paramètres!$A$1:$I$89,3,0)*0.475*44/12</f>
        <v>2.1618576346315987E-14</v>
      </c>
      <c r="AC144" s="24">
        <f t="shared" si="111"/>
        <v>12.295790650325255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5.6843418860808015E-14</v>
      </c>
      <c r="O145" s="14">
        <f>N145*VLOOKUP('Données projet'!$B$9,Paramètres!$A$1:$I$89,3,0)*VLOOKUP('Données projet'!$B$9,Paramètres!$A$1:$I$89,5,0)</f>
        <v>3.3992364478763198E-14</v>
      </c>
      <c r="P145" s="14">
        <f t="shared" si="141"/>
        <v>5.790027782444094E-13</v>
      </c>
      <c r="Q145" s="22">
        <f t="shared" si="108"/>
        <v>1.0676332069095257E-12</v>
      </c>
      <c r="R145" s="62">
        <f t="shared" si="109"/>
        <v>293.33333333333439</v>
      </c>
      <c r="S145" s="62">
        <f ca="1">AVERAGE(OFFSET($R$3,0,0,'Données projet'!$E$9+1,1))-AVERAGE(OFFSET($H$3,0,0,'Données projet'!$E$9+1,1))</f>
        <v>157.98488572680344</v>
      </c>
      <c r="T145" s="62">
        <f t="shared" si="142"/>
        <v>269.20989374735825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11.903679271314065</v>
      </c>
      <c r="AA145" s="23">
        <f>EXP(-LN(2)/25)*AA144+(1-EXP(-LN(2)/25))/(LN(2)/25)*Calculateur!V145*Calculateur!X145*VLOOKUP('Données projet'!$B$9,Paramètres!$A$1:$I$89,3,0)*0.475*44/12</f>
        <v>0.14980698786248647</v>
      </c>
      <c r="AB145" s="23">
        <f>EXP(-LN(2)/2)*AB144+(1-EXP(-LN(2)/2))/(LN(2)/2)*V145*Y145*VLOOKUP('Données projet'!$B$9,Paramètres!$A$1:$I$89,3,0)*0.475*44/12</f>
        <v>1.5286641934079131E-14</v>
      </c>
      <c r="AC145" s="24">
        <f t="shared" si="111"/>
        <v>12.053486259176568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5.6843418860808015E-14</v>
      </c>
      <c r="O146" s="14">
        <f>N146*VLOOKUP('Données projet'!$B$9,Paramètres!$A$1:$I$89,3,0)*VLOOKUP('Données projet'!$B$9,Paramètres!$A$1:$I$89,5,0)</f>
        <v>3.3992364478763198E-14</v>
      </c>
      <c r="P146" s="14">
        <f t="shared" si="141"/>
        <v>5.790027782444094E-13</v>
      </c>
      <c r="Q146" s="22">
        <f t="shared" si="108"/>
        <v>1.0676332069095257E-12</v>
      </c>
      <c r="R146" s="62">
        <f t="shared" si="109"/>
        <v>293.33333333333439</v>
      </c>
      <c r="S146" s="62">
        <f ca="1">AVERAGE(OFFSET($R$3,0,0,'Données projet'!$E$9+1,1))-AVERAGE(OFFSET($H$3,0,0,'Données projet'!$E$9+1,1))</f>
        <v>157.98488572680344</v>
      </c>
      <c r="T146" s="62">
        <f t="shared" si="142"/>
        <v>269.20989374735825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11.670255381331033</v>
      </c>
      <c r="AA146" s="23">
        <f>EXP(-LN(2)/25)*AA145+(1-EXP(-LN(2)/25))/(LN(2)/25)*Calculateur!V146*Calculateur!X146*VLOOKUP('Données projet'!$B$9,Paramètres!$A$1:$I$89,3,0)*0.475*44/12</f>
        <v>0.14571050790137968</v>
      </c>
      <c r="AB146" s="23">
        <f>EXP(-LN(2)/2)*AB145+(1-EXP(-LN(2)/2))/(LN(2)/2)*V146*Y146*VLOOKUP('Données projet'!$B$9,Paramètres!$A$1:$I$89,3,0)*0.475*44/12</f>
        <v>1.0809288173157994E-14</v>
      </c>
      <c r="AC146" s="24">
        <f t="shared" si="111"/>
        <v>11.815965889232423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5.6843418860808015E-14</v>
      </c>
      <c r="O147" s="14">
        <f>N147*VLOOKUP('Données projet'!$B$9,Paramètres!$A$1:$I$89,3,0)*VLOOKUP('Données projet'!$B$9,Paramètres!$A$1:$I$89,5,0)</f>
        <v>3.3992364478763198E-14</v>
      </c>
      <c r="P147" s="14">
        <f t="shared" si="141"/>
        <v>5.790027782444094E-13</v>
      </c>
      <c r="Q147" s="22">
        <f t="shared" si="108"/>
        <v>1.0676332069095257E-12</v>
      </c>
      <c r="R147" s="62">
        <f t="shared" si="109"/>
        <v>293.33333333333439</v>
      </c>
      <c r="S147" s="62">
        <f ca="1">AVERAGE(OFFSET($R$3,0,0,'Données projet'!$E$9+1,1))-AVERAGE(OFFSET($H$3,0,0,'Données projet'!$E$9+1,1))</f>
        <v>157.98488572680344</v>
      </c>
      <c r="T147" s="62">
        <f t="shared" si="142"/>
        <v>269.20989374735825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11.441408791456055</v>
      </c>
      <c r="AA147" s="23">
        <f>EXP(-LN(2)/25)*AA146+(1-EXP(-LN(2)/25))/(LN(2)/25)*Calculateur!V147*Calculateur!X147*VLOOKUP('Données projet'!$B$9,Paramètres!$A$1:$I$89,3,0)*0.475*44/12</f>
        <v>0.14172604640023387</v>
      </c>
      <c r="AB147" s="23">
        <f>EXP(-LN(2)/2)*AB146+(1-EXP(-LN(2)/2))/(LN(2)/2)*V147*Y147*VLOOKUP('Données projet'!$B$9,Paramètres!$A$1:$I$89,3,0)*0.475*44/12</f>
        <v>7.6433209670395655E-15</v>
      </c>
      <c r="AC147" s="24">
        <f t="shared" si="111"/>
        <v>11.583134837856296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5.6843418860808015E-14</v>
      </c>
      <c r="O148" s="14">
        <f>N148*VLOOKUP('Données projet'!$B$9,Paramètres!$A$1:$I$89,3,0)*VLOOKUP('Données projet'!$B$9,Paramètres!$A$1:$I$89,5,0)</f>
        <v>3.3992364478763198E-14</v>
      </c>
      <c r="P148" s="14">
        <f t="shared" si="141"/>
        <v>5.790027782444094E-13</v>
      </c>
      <c r="Q148" s="22">
        <f t="shared" si="108"/>
        <v>1.0676332069095257E-12</v>
      </c>
      <c r="R148" s="62">
        <f t="shared" si="109"/>
        <v>293.33333333333439</v>
      </c>
      <c r="S148" s="62">
        <f ca="1">AVERAGE(OFFSET($R$3,0,0,'Données projet'!$E$9+1,1))-AVERAGE(OFFSET($H$3,0,0,'Données projet'!$E$9+1,1))</f>
        <v>157.98488572680344</v>
      </c>
      <c r="T148" s="62">
        <f t="shared" si="142"/>
        <v>269.20989374735825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11.217049743625889</v>
      </c>
      <c r="AA148" s="23">
        <f>EXP(-LN(2)/25)*AA147+(1-EXP(-LN(2)/25))/(LN(2)/25)*Calculateur!V148*Calculateur!X148*VLOOKUP('Données projet'!$B$9,Paramètres!$A$1:$I$89,3,0)*0.475*44/12</f>
        <v>0.13785054020837062</v>
      </c>
      <c r="AB148" s="23">
        <f>EXP(-LN(2)/2)*AB147+(1-EXP(-LN(2)/2))/(LN(2)/2)*V148*Y148*VLOOKUP('Données projet'!$B$9,Paramètres!$A$1:$I$89,3,0)*0.475*44/12</f>
        <v>5.4046440865789969E-15</v>
      </c>
      <c r="AC148" s="24">
        <f t="shared" si="111"/>
        <v>11.354900283834265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5.6843418860808015E-14</v>
      </c>
      <c r="O149" s="14">
        <f>N149*VLOOKUP('Données projet'!$B$9,Paramètres!$A$1:$I$89,3,0)*VLOOKUP('Données projet'!$B$9,Paramètres!$A$1:$I$89,5,0)</f>
        <v>3.3992364478763198E-14</v>
      </c>
      <c r="P149" s="14">
        <f t="shared" si="141"/>
        <v>5.790027782444094E-13</v>
      </c>
      <c r="Q149" s="22">
        <f t="shared" si="108"/>
        <v>1.0676332069095257E-12</v>
      </c>
      <c r="R149" s="62">
        <f t="shared" si="109"/>
        <v>293.33333333333439</v>
      </c>
      <c r="S149" s="62">
        <f ca="1">AVERAGE(OFFSET($R$3,0,0,'Données projet'!$E$9+1,1))-AVERAGE(OFFSET($H$3,0,0,'Données projet'!$E$9+1,1))</f>
        <v>157.98488572680344</v>
      </c>
      <c r="T149" s="62">
        <f t="shared" si="142"/>
        <v>269.20989374735825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10.997090239878165</v>
      </c>
      <c r="AA149" s="23">
        <f>EXP(-LN(2)/25)*AA148+(1-EXP(-LN(2)/25))/(LN(2)/25)*Calculateur!V149*Calculateur!X149*VLOOKUP('Données projet'!$B$9,Paramètres!$A$1:$I$89,3,0)*0.475*44/12</f>
        <v>0.13408100993712788</v>
      </c>
      <c r="AB149" s="23">
        <f>EXP(-LN(2)/2)*AB148+(1-EXP(-LN(2)/2))/(LN(2)/2)*V149*Y149*VLOOKUP('Données projet'!$B$9,Paramètres!$A$1:$I$89,3,0)*0.475*44/12</f>
        <v>3.8216604835197828E-15</v>
      </c>
      <c r="AC149" s="24">
        <f t="shared" si="111"/>
        <v>11.131171249815297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5.6843418860808015E-14</v>
      </c>
      <c r="O150" s="14">
        <f>N150*VLOOKUP('Données projet'!$B$9,Paramètres!$A$1:$I$89,3,0)*VLOOKUP('Données projet'!$B$9,Paramètres!$A$1:$I$89,5,0)</f>
        <v>3.3992364478763198E-14</v>
      </c>
      <c r="P150" s="14">
        <f t="shared" si="141"/>
        <v>5.790027782444094E-13</v>
      </c>
      <c r="Q150" s="22">
        <f t="shared" si="108"/>
        <v>1.0676332069095257E-12</v>
      </c>
      <c r="R150" s="62">
        <f t="shared" si="109"/>
        <v>293.33333333333439</v>
      </c>
      <c r="S150" s="62">
        <f ca="1">AVERAGE(OFFSET($R$3,0,0,'Données projet'!$E$9+1,1))-AVERAGE(OFFSET($H$3,0,0,'Données projet'!$E$9+1,1))</f>
        <v>157.98488572680344</v>
      </c>
      <c r="T150" s="62">
        <f t="shared" si="142"/>
        <v>269.20989374735825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10.781444007836884</v>
      </c>
      <c r="AA150" s="23">
        <f>EXP(-LN(2)/25)*AA149+(1-EXP(-LN(2)/25))/(LN(2)/25)*Calculateur!V150*Calculateur!X150*VLOOKUP('Données projet'!$B$9,Paramètres!$A$1:$I$89,3,0)*0.475*44/12</f>
        <v>0.13041455766938326</v>
      </c>
      <c r="AB150" s="23">
        <f>EXP(-LN(2)/2)*AB149+(1-EXP(-LN(2)/2))/(LN(2)/2)*V150*Y150*VLOOKUP('Données projet'!$B$9,Paramètres!$A$1:$I$89,3,0)*0.475*44/12</f>
        <v>2.7023220432894984E-15</v>
      </c>
      <c r="AC150" s="24">
        <f t="shared" si="111"/>
        <v>10.91185856550627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5.6843418860808015E-14</v>
      </c>
      <c r="O151" s="14">
        <f>N151*VLOOKUP('Données projet'!$B$9,Paramètres!$A$1:$I$89,3,0)*VLOOKUP('Données projet'!$B$9,Paramètres!$A$1:$I$89,5,0)</f>
        <v>3.3992364478763198E-14</v>
      </c>
      <c r="P151" s="14">
        <f t="shared" si="141"/>
        <v>5.790027782444094E-13</v>
      </c>
      <c r="Q151" s="22">
        <f t="shared" si="108"/>
        <v>1.0676332069095257E-12</v>
      </c>
      <c r="R151" s="62">
        <f t="shared" si="109"/>
        <v>293.33333333333439</v>
      </c>
      <c r="S151" s="62">
        <f ca="1">AVERAGE(OFFSET($R$3,0,0,'Données projet'!$E$9+1,1))-AVERAGE(OFFSET($H$3,0,0,'Données projet'!$E$9+1,1))</f>
        <v>157.98488572680344</v>
      </c>
      <c r="T151" s="62">
        <f t="shared" si="142"/>
        <v>269.20989374735825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10.570026466874719</v>
      </c>
      <c r="AA151" s="23">
        <f>EXP(-LN(2)/25)*AA150+(1-EXP(-LN(2)/25))/(LN(2)/25)*Calculateur!V151*Calculateur!X151*VLOOKUP('Données projet'!$B$9,Paramètres!$A$1:$I$89,3,0)*0.475*44/12</f>
        <v>0.12684836473171046</v>
      </c>
      <c r="AB151" s="23">
        <f>EXP(-LN(2)/2)*AB150+(1-EXP(-LN(2)/2))/(LN(2)/2)*V151*Y151*VLOOKUP('Données projet'!$B$9,Paramètres!$A$1:$I$89,3,0)*0.475*44/12</f>
        <v>1.9108302417598914E-15</v>
      </c>
      <c r="AC151" s="24">
        <f t="shared" si="111"/>
        <v>10.696874831606431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5.6843418860808015E-14</v>
      </c>
      <c r="O152" s="14">
        <f>N152*VLOOKUP('Données projet'!$B$9,Paramètres!$A$1:$I$89,3,0)*VLOOKUP('Données projet'!$B$9,Paramètres!$A$1:$I$89,5,0)</f>
        <v>3.3992364478763198E-14</v>
      </c>
      <c r="P152" s="14">
        <f t="shared" si="141"/>
        <v>5.790027782444094E-13</v>
      </c>
      <c r="Q152" s="22">
        <f t="shared" si="108"/>
        <v>1.0676332069095257E-12</v>
      </c>
      <c r="R152" s="62">
        <f t="shared" si="109"/>
        <v>293.33333333333439</v>
      </c>
      <c r="S152" s="62">
        <f ca="1">AVERAGE(OFFSET($R$3,0,0,'Données projet'!$E$9+1,1))-AVERAGE(OFFSET($H$3,0,0,'Données projet'!$E$9+1,1))</f>
        <v>157.98488572680344</v>
      </c>
      <c r="T152" s="62">
        <f t="shared" si="142"/>
        <v>269.20989374735825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10.362754694938854</v>
      </c>
      <c r="AA152" s="23">
        <f>EXP(-LN(2)/25)*AA151+(1-EXP(-LN(2)/25))/(LN(2)/25)*Calculateur!V152*Calculateur!X152*VLOOKUP('Données projet'!$B$9,Paramètres!$A$1:$I$89,3,0)*0.475*44/12</f>
        <v>0.12337968952745626</v>
      </c>
      <c r="AB152" s="23">
        <f>EXP(-LN(2)/2)*AB151+(1-EXP(-LN(2)/2))/(LN(2)/2)*V152*Y152*VLOOKUP('Données projet'!$B$9,Paramètres!$A$1:$I$89,3,0)*0.475*44/12</f>
        <v>1.3511610216447492E-15</v>
      </c>
      <c r="AC152" s="24">
        <f t="shared" si="111"/>
        <v>10.486134384466311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5.6843418860808015E-14</v>
      </c>
      <c r="O153" s="14">
        <f>N153*VLOOKUP('Données projet'!$B$9,Paramètres!$A$1:$I$89,3,0)*VLOOKUP('Données projet'!$B$9,Paramètres!$A$1:$I$89,5,0)</f>
        <v>3.3992364478763198E-14</v>
      </c>
      <c r="P153" s="14">
        <f t="shared" si="141"/>
        <v>5.790027782444094E-13</v>
      </c>
      <c r="Q153" s="22">
        <f t="shared" si="108"/>
        <v>1.0676332069095257E-12</v>
      </c>
      <c r="R153" s="62">
        <f t="shared" si="109"/>
        <v>293.33333333333439</v>
      </c>
      <c r="S153" s="62">
        <f ca="1">AVERAGE(OFFSET($R$3,0,0,'Données projet'!$E$9+1,1))-AVERAGE(OFFSET($H$3,0,0,'Données projet'!$E$9+1,1))</f>
        <v>157.98488572680344</v>
      </c>
      <c r="T153" s="62">
        <f t="shared" si="142"/>
        <v>269.20989374735825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10.159547396027353</v>
      </c>
      <c r="AA153" s="23">
        <f>EXP(-LN(2)/25)*AA152+(1-EXP(-LN(2)/25))/(LN(2)/25)*Calculateur!V153*Calculateur!X153*VLOOKUP('Données projet'!$B$9,Paramètres!$A$1:$I$89,3,0)*0.475*44/12</f>
        <v>0.12000586542907209</v>
      </c>
      <c r="AB153" s="23">
        <f>EXP(-LN(2)/2)*AB152+(1-EXP(-LN(2)/2))/(LN(2)/2)*V153*Y153*VLOOKUP('Données projet'!$B$9,Paramètres!$A$1:$I$89,3,0)*0.475*44/12</f>
        <v>9.5541512087994569E-16</v>
      </c>
      <c r="AC153" s="24">
        <f t="shared" si="111"/>
        <v>10.279553261456426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projet'!$B$9,Paramètres!$A$1:$I$89,3,0)*VLOOKUP('Données projet'!$B$9,Paramètres!$A$1:$I$89,5,0)</f>
        <v>3.3992364478763198E-14</v>
      </c>
      <c r="P154" s="14">
        <f t="shared" si="141"/>
        <v>5.790027782444094E-13</v>
      </c>
      <c r="Q154" s="22">
        <f t="shared" ref="Q154:Q203" si="162">(O154+P154)*0.475*44/12</f>
        <v>1.0676332069095257E-12</v>
      </c>
      <c r="R154" s="62">
        <f t="shared" si="109"/>
        <v>293.33333333333439</v>
      </c>
      <c r="S154" s="62">
        <f ca="1">AVERAGE(OFFSET($R$3,0,0,'Données projet'!$E$9+1,1))-AVERAGE(OFFSET($H$3,0,0,'Données projet'!$E$9+1,1))</f>
        <v>157.98488572680344</v>
      </c>
      <c r="T154" s="62">
        <f t="shared" si="142"/>
        <v>269.20989374735825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9.9603248683032941</v>
      </c>
      <c r="AA154" s="23">
        <f>EXP(-LN(2)/25)*AA153+(1-EXP(-LN(2)/25))/(LN(2)/25)*Calculateur!V154*Calculateur!X154*VLOOKUP('Données projet'!$B$9,Paramètres!$A$1:$I$89,3,0)*0.475*44/12</f>
        <v>0.11672429872807992</v>
      </c>
      <c r="AB154" s="23">
        <f>EXP(-LN(2)/2)*AB153+(1-EXP(-LN(2)/2))/(LN(2)/2)*V154*Y154*VLOOKUP('Données projet'!$B$9,Paramètres!$A$1:$I$89,3,0)*0.475*44/12</f>
        <v>6.7558051082237461E-16</v>
      </c>
      <c r="AC154" s="24">
        <f t="shared" ref="AC154:AC203" si="163">SUM(Z154:AB154)</f>
        <v>10.077049167031374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projet'!$B$9,Paramètres!$A$1:$I$89,3,0)*VLOOKUP('Données projet'!$B$9,Paramètres!$A$1:$I$89,5,0)</f>
        <v>3.3992364478763198E-14</v>
      </c>
      <c r="P155" s="14">
        <f t="shared" si="141"/>
        <v>5.790027782444094E-13</v>
      </c>
      <c r="Q155" s="22">
        <f t="shared" si="162"/>
        <v>1.0676332069095257E-12</v>
      </c>
      <c r="R155" s="62">
        <f t="shared" si="109"/>
        <v>293.33333333333439</v>
      </c>
      <c r="S155" s="62">
        <f ca="1">AVERAGE(OFFSET($R$3,0,0,'Données projet'!$E$9+1,1))-AVERAGE(OFFSET($H$3,0,0,'Données projet'!$E$9+1,1))</f>
        <v>157.98488572680344</v>
      </c>
      <c r="T155" s="62">
        <f t="shared" si="142"/>
        <v>269.20989374735825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9.7650089728341598</v>
      </c>
      <c r="AA155" s="23">
        <f>EXP(-LN(2)/25)*AA154+(1-EXP(-LN(2)/25))/(LN(2)/25)*Calculateur!V155*Calculateur!X155*VLOOKUP('Données projet'!$B$9,Paramètres!$A$1:$I$89,3,0)*0.475*44/12</f>
        <v>0.11353246664109648</v>
      </c>
      <c r="AB155" s="23">
        <f>EXP(-LN(2)/2)*AB154+(1-EXP(-LN(2)/2))/(LN(2)/2)*V155*Y155*VLOOKUP('Données projet'!$B$9,Paramètres!$A$1:$I$89,3,0)*0.475*44/12</f>
        <v>4.7770756043997284E-16</v>
      </c>
      <c r="AC155" s="24">
        <f t="shared" si="163"/>
        <v>9.8785414394752564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projet'!$B$9,Paramètres!$A$1:$I$89,3,0)*VLOOKUP('Données projet'!$B$9,Paramètres!$A$1:$I$89,5,0)</f>
        <v>3.3992364478763198E-14</v>
      </c>
      <c r="P156" s="14">
        <f t="shared" si="141"/>
        <v>5.790027782444094E-13</v>
      </c>
      <c r="Q156" s="22">
        <f t="shared" si="162"/>
        <v>1.0676332069095257E-12</v>
      </c>
      <c r="R156" s="62">
        <f t="shared" si="109"/>
        <v>293.33333333333439</v>
      </c>
      <c r="S156" s="62">
        <f ca="1">AVERAGE(OFFSET($R$3,0,0,'Données projet'!$E$9+1,1))-AVERAGE(OFFSET($H$3,0,0,'Données projet'!$E$9+1,1))</f>
        <v>157.98488572680344</v>
      </c>
      <c r="T156" s="62">
        <f t="shared" si="142"/>
        <v>269.20989374735825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9.5735231029442431</v>
      </c>
      <c r="AA156" s="23">
        <f>EXP(-LN(2)/25)*AA155+(1-EXP(-LN(2)/25))/(LN(2)/25)*Calculateur!V156*Calculateur!X156*VLOOKUP('Données projet'!$B$9,Paramètres!$A$1:$I$89,3,0)*0.475*44/12</f>
        <v>0.11042791537038275</v>
      </c>
      <c r="AB156" s="23">
        <f>EXP(-LN(2)/2)*AB155+(1-EXP(-LN(2)/2))/(LN(2)/2)*V156*Y156*VLOOKUP('Données projet'!$B$9,Paramètres!$A$1:$I$89,3,0)*0.475*44/12</f>
        <v>3.377902554111873E-16</v>
      </c>
      <c r="AC156" s="24">
        <f t="shared" si="163"/>
        <v>9.6839510183146267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projet'!$B$9,Paramètres!$A$1:$I$89,3,0)*VLOOKUP('Données projet'!$B$9,Paramètres!$A$1:$I$89,5,0)</f>
        <v>3.3992364478763198E-14</v>
      </c>
      <c r="P157" s="14">
        <f t="shared" si="141"/>
        <v>5.790027782444094E-13</v>
      </c>
      <c r="Q157" s="22">
        <f t="shared" si="162"/>
        <v>1.0676332069095257E-12</v>
      </c>
      <c r="R157" s="62">
        <f t="shared" si="109"/>
        <v>293.33333333333439</v>
      </c>
      <c r="S157" s="62">
        <f ca="1">AVERAGE(OFFSET($R$3,0,0,'Données projet'!$E$9+1,1))-AVERAGE(OFFSET($H$3,0,0,'Données projet'!$E$9+1,1))</f>
        <v>157.98488572680344</v>
      </c>
      <c r="T157" s="62">
        <f t="shared" si="142"/>
        <v>269.20989374735825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9.3857921541680192</v>
      </c>
      <c r="AA157" s="23">
        <f>EXP(-LN(2)/25)*AA156+(1-EXP(-LN(2)/25))/(LN(2)/25)*Calculateur!V157*Calculateur!X157*VLOOKUP('Données projet'!$B$9,Paramètres!$A$1:$I$89,3,0)*0.475*44/12</f>
        <v>0.10740825821742796</v>
      </c>
      <c r="AB157" s="23">
        <f>EXP(-LN(2)/2)*AB156+(1-EXP(-LN(2)/2))/(LN(2)/2)*V157*Y157*VLOOKUP('Données projet'!$B$9,Paramètres!$A$1:$I$89,3,0)*0.475*44/12</f>
        <v>2.3885378021998642E-16</v>
      </c>
      <c r="AC157" s="24">
        <f t="shared" si="163"/>
        <v>9.4932004123854465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projet'!$B$9,Paramètres!$A$1:$I$89,3,0)*VLOOKUP('Données projet'!$B$9,Paramètres!$A$1:$I$89,5,0)</f>
        <v>3.3992364478763198E-14</v>
      </c>
      <c r="P158" s="14">
        <f t="shared" si="141"/>
        <v>5.790027782444094E-13</v>
      </c>
      <c r="Q158" s="22">
        <f t="shared" si="162"/>
        <v>1.0676332069095257E-12</v>
      </c>
      <c r="R158" s="62">
        <f t="shared" si="109"/>
        <v>293.33333333333439</v>
      </c>
      <c r="S158" s="62">
        <f ca="1">AVERAGE(OFFSET($R$3,0,0,'Données projet'!$E$9+1,1))-AVERAGE(OFFSET($H$3,0,0,'Données projet'!$E$9+1,1))</f>
        <v>157.98488572680344</v>
      </c>
      <c r="T158" s="62">
        <f t="shared" si="142"/>
        <v>269.20989374735825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9.2017424947927253</v>
      </c>
      <c r="AA158" s="23">
        <f>EXP(-LN(2)/25)*AA157+(1-EXP(-LN(2)/25))/(LN(2)/25)*Calculateur!V158*Calculateur!X158*VLOOKUP('Données projet'!$B$9,Paramètres!$A$1:$I$89,3,0)*0.475*44/12</f>
        <v>0.10447117374811757</v>
      </c>
      <c r="AB158" s="23">
        <f>EXP(-LN(2)/2)*AB157+(1-EXP(-LN(2)/2))/(LN(2)/2)*V158*Y158*VLOOKUP('Données projet'!$B$9,Paramètres!$A$1:$I$89,3,0)*0.475*44/12</f>
        <v>1.6889512770559365E-16</v>
      </c>
      <c r="AC158" s="24">
        <f t="shared" si="163"/>
        <v>9.3062136685408436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projet'!$B$9,Paramètres!$A$1:$I$89,3,0)*VLOOKUP('Données projet'!$B$9,Paramètres!$A$1:$I$89,5,0)</f>
        <v>3.3992364478763198E-14</v>
      </c>
      <c r="P159" s="14">
        <f t="shared" si="141"/>
        <v>5.790027782444094E-13</v>
      </c>
      <c r="Q159" s="22">
        <f t="shared" si="162"/>
        <v>1.0676332069095257E-12</v>
      </c>
      <c r="R159" s="62">
        <f t="shared" si="109"/>
        <v>293.33333333333439</v>
      </c>
      <c r="S159" s="62">
        <f ca="1">AVERAGE(OFFSET($R$3,0,0,'Données projet'!$E$9+1,1))-AVERAGE(OFFSET($H$3,0,0,'Données projet'!$E$9+1,1))</f>
        <v>157.98488572680344</v>
      </c>
      <c r="T159" s="62">
        <f t="shared" si="142"/>
        <v>269.20989374735825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9.0213019369785723</v>
      </c>
      <c r="AA159" s="23">
        <f>EXP(-LN(2)/25)*AA158+(1-EXP(-LN(2)/25))/(LN(2)/25)*Calculateur!V159*Calculateur!X159*VLOOKUP('Données projet'!$B$9,Paramètres!$A$1:$I$89,3,0)*0.475*44/12</f>
        <v>0.10161440400807503</v>
      </c>
      <c r="AB159" s="23">
        <f>EXP(-LN(2)/2)*AB158+(1-EXP(-LN(2)/2))/(LN(2)/2)*V159*Y159*VLOOKUP('Données projet'!$B$9,Paramètres!$A$1:$I$89,3,0)*0.475*44/12</f>
        <v>1.1942689010999321E-16</v>
      </c>
      <c r="AC159" s="24">
        <f t="shared" si="163"/>
        <v>9.1229163409866469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projet'!$B$9,Paramètres!$A$1:$I$89,3,0)*VLOOKUP('Données projet'!$B$9,Paramètres!$A$1:$I$89,5,0)</f>
        <v>3.3992364478763198E-14</v>
      </c>
      <c r="P160" s="14">
        <f t="shared" si="141"/>
        <v>5.790027782444094E-13</v>
      </c>
      <c r="Q160" s="22">
        <f t="shared" si="162"/>
        <v>1.0676332069095257E-12</v>
      </c>
      <c r="R160" s="62">
        <f t="shared" si="109"/>
        <v>293.33333333333439</v>
      </c>
      <c r="S160" s="62">
        <f ca="1">AVERAGE(OFFSET($R$3,0,0,'Données projet'!$E$9+1,1))-AVERAGE(OFFSET($H$3,0,0,'Données projet'!$E$9+1,1))</f>
        <v>157.98488572680344</v>
      </c>
      <c r="T160" s="62">
        <f t="shared" si="142"/>
        <v>269.20989374735825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8.8443997084452821</v>
      </c>
      <c r="AA160" s="23">
        <f>EXP(-LN(2)/25)*AA159+(1-EXP(-LN(2)/25))/(LN(2)/25)*Calculateur!V160*Calculateur!X160*VLOOKUP('Données projet'!$B$9,Paramètres!$A$1:$I$89,3,0)*0.475*44/12</f>
        <v>9.8835752786804953E-2</v>
      </c>
      <c r="AB160" s="23">
        <f>EXP(-LN(2)/2)*AB159+(1-EXP(-LN(2)/2))/(LN(2)/2)*V160*Y160*VLOOKUP('Données projet'!$B$9,Paramètres!$A$1:$I$89,3,0)*0.475*44/12</f>
        <v>8.4447563852796826E-17</v>
      </c>
      <c r="AC160" s="24">
        <f t="shared" si="163"/>
        <v>8.9432354612320868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projet'!$B$9,Paramètres!$A$1:$I$89,3,0)*VLOOKUP('Données projet'!$B$9,Paramètres!$A$1:$I$89,5,0)</f>
        <v>3.3992364478763198E-14</v>
      </c>
      <c r="P161" s="14">
        <f t="shared" si="141"/>
        <v>5.790027782444094E-13</v>
      </c>
      <c r="Q161" s="22">
        <f t="shared" si="162"/>
        <v>1.0676332069095257E-12</v>
      </c>
      <c r="R161" s="62">
        <f t="shared" si="109"/>
        <v>293.33333333333439</v>
      </c>
      <c r="S161" s="62">
        <f ca="1">AVERAGE(OFFSET($R$3,0,0,'Données projet'!$E$9+1,1))-AVERAGE(OFFSET($H$3,0,0,'Données projet'!$E$9+1,1))</f>
        <v>157.98488572680344</v>
      </c>
      <c r="T161" s="62">
        <f t="shared" si="142"/>
        <v>269.20989374735825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8.6709664247138249</v>
      </c>
      <c r="AA161" s="23">
        <f>EXP(-LN(2)/25)*AA160+(1-EXP(-LN(2)/25))/(LN(2)/25)*Calculateur!V161*Calculateur!X161*VLOOKUP('Données projet'!$B$9,Paramètres!$A$1:$I$89,3,0)*0.475*44/12</f>
        <v>9.613308392930342E-2</v>
      </c>
      <c r="AB161" s="23">
        <f>EXP(-LN(2)/2)*AB160+(1-EXP(-LN(2)/2))/(LN(2)/2)*V161*Y161*VLOOKUP('Données projet'!$B$9,Paramètres!$A$1:$I$89,3,0)*0.475*44/12</f>
        <v>5.9713445054996605E-17</v>
      </c>
      <c r="AC161" s="24">
        <f t="shared" si="163"/>
        <v>8.7670995086431276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projet'!$B$9,Paramètres!$A$1:$I$89,3,0)*VLOOKUP('Données projet'!$B$9,Paramètres!$A$1:$I$89,5,0)</f>
        <v>3.3992364478763198E-14</v>
      </c>
      <c r="P162" s="14">
        <f t="shared" si="141"/>
        <v>5.790027782444094E-13</v>
      </c>
      <c r="Q162" s="22">
        <f t="shared" si="162"/>
        <v>1.0676332069095257E-12</v>
      </c>
      <c r="R162" s="62">
        <f t="shared" si="109"/>
        <v>293.33333333333439</v>
      </c>
      <c r="S162" s="62">
        <f ca="1">AVERAGE(OFFSET($R$3,0,0,'Données projet'!$E$9+1,1))-AVERAGE(OFFSET($H$3,0,0,'Données projet'!$E$9+1,1))</f>
        <v>157.98488572680344</v>
      </c>
      <c r="T162" s="62">
        <f t="shared" si="142"/>
        <v>269.20989374735825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8.5009340618924831</v>
      </c>
      <c r="AA162" s="23">
        <f>EXP(-LN(2)/25)*AA161+(1-EXP(-LN(2)/25))/(LN(2)/25)*Calculateur!V162*Calculateur!X162*VLOOKUP('Données projet'!$B$9,Paramètres!$A$1:$I$89,3,0)*0.475*44/12</f>
        <v>9.3504319693837448E-2</v>
      </c>
      <c r="AB162" s="23">
        <f>EXP(-LN(2)/2)*AB161+(1-EXP(-LN(2)/2))/(LN(2)/2)*V162*Y162*VLOOKUP('Données projet'!$B$9,Paramètres!$A$1:$I$89,3,0)*0.475*44/12</f>
        <v>4.2223781926398413E-17</v>
      </c>
      <c r="AC162" s="24">
        <f t="shared" si="163"/>
        <v>8.5944383815863201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projet'!$B$9,Paramètres!$A$1:$I$89,3,0)*VLOOKUP('Données projet'!$B$9,Paramètres!$A$1:$I$89,5,0)</f>
        <v>3.3992364478763198E-14</v>
      </c>
      <c r="P163" s="14">
        <f t="shared" si="141"/>
        <v>5.790027782444094E-13</v>
      </c>
      <c r="Q163" s="22">
        <f t="shared" si="162"/>
        <v>1.0676332069095257E-12</v>
      </c>
      <c r="R163" s="62">
        <f t="shared" si="109"/>
        <v>293.33333333333439</v>
      </c>
      <c r="S163" s="62">
        <f ca="1">AVERAGE(OFFSET($R$3,0,0,'Données projet'!$E$9+1,1))-AVERAGE(OFFSET($H$3,0,0,'Données projet'!$E$9+1,1))</f>
        <v>157.98488572680344</v>
      </c>
      <c r="T163" s="62">
        <f t="shared" si="142"/>
        <v>269.20989374735825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8.3342359299965665</v>
      </c>
      <c r="AA163" s="23">
        <f>EXP(-LN(2)/25)*AA162+(1-EXP(-LN(2)/25))/(LN(2)/25)*Calculateur!V163*Calculateur!X163*VLOOKUP('Données projet'!$B$9,Paramètres!$A$1:$I$89,3,0)*0.475*44/12</f>
        <v>9.0947439154630993E-2</v>
      </c>
      <c r="AB163" s="23">
        <f>EXP(-LN(2)/2)*AB162+(1-EXP(-LN(2)/2))/(LN(2)/2)*V163*Y163*VLOOKUP('Données projet'!$B$9,Paramètres!$A$1:$I$89,3,0)*0.475*44/12</f>
        <v>2.9856722527498303E-17</v>
      </c>
      <c r="AC163" s="24">
        <f t="shared" si="163"/>
        <v>8.4251833691511973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projet'!$B$9,Paramètres!$A$1:$I$89,3,0)*VLOOKUP('Données projet'!$B$9,Paramètres!$A$1:$I$89,5,0)</f>
        <v>3.3992364478763198E-14</v>
      </c>
      <c r="P164" s="14">
        <f t="shared" si="141"/>
        <v>5.790027782444094E-13</v>
      </c>
      <c r="Q164" s="22">
        <f t="shared" si="162"/>
        <v>1.0676332069095257E-12</v>
      </c>
      <c r="R164" s="62">
        <f t="shared" si="109"/>
        <v>293.33333333333439</v>
      </c>
      <c r="S164" s="62">
        <f ca="1">AVERAGE(OFFSET($R$3,0,0,'Données projet'!$E$9+1,1))-AVERAGE(OFFSET($H$3,0,0,'Données projet'!$E$9+1,1))</f>
        <v>157.98488572680344</v>
      </c>
      <c r="T164" s="62">
        <f t="shared" si="142"/>
        <v>269.20989374735825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8.1708066467913092</v>
      </c>
      <c r="AA164" s="23">
        <f>EXP(-LN(2)/25)*AA163+(1-EXP(-LN(2)/25))/(LN(2)/25)*Calculateur!V164*Calculateur!X164*VLOOKUP('Données projet'!$B$9,Paramètres!$A$1:$I$89,3,0)*0.475*44/12</f>
        <v>8.8460476648229647E-2</v>
      </c>
      <c r="AB164" s="23">
        <f>EXP(-LN(2)/2)*AB163+(1-EXP(-LN(2)/2))/(LN(2)/2)*V164*Y164*VLOOKUP('Données projet'!$B$9,Paramètres!$A$1:$I$89,3,0)*0.475*44/12</f>
        <v>2.1111890963199206E-17</v>
      </c>
      <c r="AC164" s="24">
        <f t="shared" si="163"/>
        <v>8.2592671234395389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projet'!$B$9,Paramètres!$A$1:$I$89,3,0)*VLOOKUP('Données projet'!$B$9,Paramètres!$A$1:$I$89,5,0)</f>
        <v>3.3992364478763198E-14</v>
      </c>
      <c r="P165" s="14">
        <f t="shared" si="141"/>
        <v>5.790027782444094E-13</v>
      </c>
      <c r="Q165" s="22">
        <f t="shared" si="162"/>
        <v>1.0676332069095257E-12</v>
      </c>
      <c r="R165" s="62">
        <f t="shared" si="109"/>
        <v>293.33333333333439</v>
      </c>
      <c r="S165" s="62">
        <f ca="1">AVERAGE(OFFSET($R$3,0,0,'Données projet'!$E$9+1,1))-AVERAGE(OFFSET($H$3,0,0,'Données projet'!$E$9+1,1))</f>
        <v>157.98488572680344</v>
      </c>
      <c r="T165" s="62">
        <f t="shared" si="142"/>
        <v>269.20989374735825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8.0105821121476861</v>
      </c>
      <c r="AA165" s="23">
        <f>EXP(-LN(2)/25)*AA164+(1-EXP(-LN(2)/25))/(LN(2)/25)*Calculateur!V165*Calculateur!X165*VLOOKUP('Données projet'!$B$9,Paramètres!$A$1:$I$89,3,0)*0.475*44/12</f>
        <v>8.6041520262349513E-2</v>
      </c>
      <c r="AB165" s="23">
        <f>EXP(-LN(2)/2)*AB164+(1-EXP(-LN(2)/2))/(LN(2)/2)*V165*Y165*VLOOKUP('Données projet'!$B$9,Paramètres!$A$1:$I$89,3,0)*0.475*44/12</f>
        <v>1.4928361263749151E-17</v>
      </c>
      <c r="AC165" s="24">
        <f t="shared" si="163"/>
        <v>8.0966236324100365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projet'!$B$9,Paramètres!$A$1:$I$89,3,0)*VLOOKUP('Données projet'!$B$9,Paramètres!$A$1:$I$89,5,0)</f>
        <v>3.3992364478763198E-14</v>
      </c>
      <c r="P166" s="14">
        <f t="shared" si="141"/>
        <v>5.790027782444094E-13</v>
      </c>
      <c r="Q166" s="22">
        <f t="shared" si="162"/>
        <v>1.0676332069095257E-12</v>
      </c>
      <c r="R166" s="62">
        <f t="shared" si="109"/>
        <v>293.33333333333439</v>
      </c>
      <c r="S166" s="62">
        <f ca="1">AVERAGE(OFFSET($R$3,0,0,'Données projet'!$E$9+1,1))-AVERAGE(OFFSET($H$3,0,0,'Données projet'!$E$9+1,1))</f>
        <v>157.98488572680344</v>
      </c>
      <c r="T166" s="62">
        <f t="shared" si="142"/>
        <v>269.20989374735825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7.8534994829011087</v>
      </c>
      <c r="AA166" s="23">
        <f>EXP(-LN(2)/25)*AA165+(1-EXP(-LN(2)/25))/(LN(2)/25)*Calculateur!V166*Calculateur!X166*VLOOKUP('Données projet'!$B$9,Paramètres!$A$1:$I$89,3,0)*0.475*44/12</f>
        <v>8.3688710366048663E-2</v>
      </c>
      <c r="AB166" s="23">
        <f>EXP(-LN(2)/2)*AB165+(1-EXP(-LN(2)/2))/(LN(2)/2)*V166*Y166*VLOOKUP('Données projet'!$B$9,Paramètres!$A$1:$I$89,3,0)*0.475*44/12</f>
        <v>1.0555945481599603E-17</v>
      </c>
      <c r="AC166" s="24">
        <f t="shared" si="163"/>
        <v>7.9371881932671577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projet'!$B$9,Paramètres!$A$1:$I$89,3,0)*VLOOKUP('Données projet'!$B$9,Paramètres!$A$1:$I$89,5,0)</f>
        <v>3.3992364478763198E-14</v>
      </c>
      <c r="P167" s="14">
        <f t="shared" si="141"/>
        <v>5.790027782444094E-13</v>
      </c>
      <c r="Q167" s="22">
        <f t="shared" si="162"/>
        <v>1.0676332069095257E-12</v>
      </c>
      <c r="R167" s="62">
        <f t="shared" si="109"/>
        <v>293.33333333333439</v>
      </c>
      <c r="S167" s="62">
        <f ca="1">AVERAGE(OFFSET($R$3,0,0,'Données projet'!$E$9+1,1))-AVERAGE(OFFSET($H$3,0,0,'Données projet'!$E$9+1,1))</f>
        <v>157.98488572680344</v>
      </c>
      <c r="T167" s="62">
        <f t="shared" si="142"/>
        <v>269.20989374735825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7.6994971482031129</v>
      </c>
      <c r="AA167" s="23">
        <f>EXP(-LN(2)/25)*AA166+(1-EXP(-LN(2)/25))/(LN(2)/25)*Calculateur!V167*Calculateur!X167*VLOOKUP('Données projet'!$B$9,Paramètres!$A$1:$I$89,3,0)*0.475*44/12</f>
        <v>8.1400238180091053E-2</v>
      </c>
      <c r="AB167" s="23">
        <f>EXP(-LN(2)/2)*AB166+(1-EXP(-LN(2)/2))/(LN(2)/2)*V167*Y167*VLOOKUP('Données projet'!$B$9,Paramètres!$A$1:$I$89,3,0)*0.475*44/12</f>
        <v>7.4641806318745757E-18</v>
      </c>
      <c r="AC167" s="24">
        <f t="shared" si="163"/>
        <v>7.7808973863832041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projet'!$B$9,Paramètres!$A$1:$I$89,3,0)*VLOOKUP('Données projet'!$B$9,Paramètres!$A$1:$I$89,5,0)</f>
        <v>3.3992364478763198E-14</v>
      </c>
      <c r="P168" s="14">
        <f t="shared" si="141"/>
        <v>5.790027782444094E-13</v>
      </c>
      <c r="Q168" s="22">
        <f t="shared" si="162"/>
        <v>1.0676332069095257E-12</v>
      </c>
      <c r="R168" s="62">
        <f t="shared" si="109"/>
        <v>293.33333333333439</v>
      </c>
      <c r="S168" s="62">
        <f ca="1">AVERAGE(OFFSET($R$3,0,0,'Données projet'!$E$9+1,1))-AVERAGE(OFFSET($H$3,0,0,'Données projet'!$E$9+1,1))</f>
        <v>157.98488572680344</v>
      </c>
      <c r="T168" s="62">
        <f t="shared" si="142"/>
        <v>269.20989374735825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7.5485147053563963</v>
      </c>
      <c r="AA168" s="23">
        <f>EXP(-LN(2)/25)*AA167+(1-EXP(-LN(2)/25))/(LN(2)/25)*Calculateur!V168*Calculateur!X168*VLOOKUP('Données projet'!$B$9,Paramètres!$A$1:$I$89,3,0)*0.475*44/12</f>
        <v>7.9174344386403986E-2</v>
      </c>
      <c r="AB168" s="23">
        <f>EXP(-LN(2)/2)*AB167+(1-EXP(-LN(2)/2))/(LN(2)/2)*V168*Y168*VLOOKUP('Données projet'!$B$9,Paramètres!$A$1:$I$89,3,0)*0.475*44/12</f>
        <v>5.2779727407998016E-18</v>
      </c>
      <c r="AC168" s="24">
        <f t="shared" si="163"/>
        <v>7.6276890497428003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projet'!$B$9,Paramètres!$A$1:$I$89,3,0)*VLOOKUP('Données projet'!$B$9,Paramètres!$A$1:$I$89,5,0)</f>
        <v>3.3992364478763198E-14</v>
      </c>
      <c r="P169" s="14">
        <f t="shared" si="141"/>
        <v>5.790027782444094E-13</v>
      </c>
      <c r="Q169" s="22">
        <f t="shared" si="162"/>
        <v>1.0676332069095257E-12</v>
      </c>
      <c r="R169" s="62">
        <f t="shared" si="109"/>
        <v>293.33333333333439</v>
      </c>
      <c r="S169" s="62">
        <f ca="1">AVERAGE(OFFSET($R$3,0,0,'Données projet'!$E$9+1,1))-AVERAGE(OFFSET($H$3,0,0,'Données projet'!$E$9+1,1))</f>
        <v>157.98488572680344</v>
      </c>
      <c r="T169" s="62">
        <f t="shared" si="142"/>
        <v>269.20989374735825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7.4004929361237064</v>
      </c>
      <c r="AA169" s="23">
        <f>EXP(-LN(2)/25)*AA168+(1-EXP(-LN(2)/25))/(LN(2)/25)*Calculateur!V169*Calculateur!X169*VLOOKUP('Données projet'!$B$9,Paramètres!$A$1:$I$89,3,0)*0.475*44/12</f>
        <v>7.7009317775559957E-2</v>
      </c>
      <c r="AB169" s="23">
        <f>EXP(-LN(2)/2)*AB168+(1-EXP(-LN(2)/2))/(LN(2)/2)*V169*Y169*VLOOKUP('Données projet'!$B$9,Paramètres!$A$1:$I$89,3,0)*0.475*44/12</f>
        <v>3.7320903159372878E-18</v>
      </c>
      <c r="AC169" s="24">
        <f t="shared" si="163"/>
        <v>7.4775022538992664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projet'!$B$9,Paramètres!$A$1:$I$89,3,0)*VLOOKUP('Données projet'!$B$9,Paramètres!$A$1:$I$89,5,0)</f>
        <v>3.3992364478763198E-14</v>
      </c>
      <c r="P170" s="14">
        <f t="shared" si="141"/>
        <v>5.790027782444094E-13</v>
      </c>
      <c r="Q170" s="22">
        <f t="shared" si="162"/>
        <v>1.0676332069095257E-12</v>
      </c>
      <c r="R170" s="62">
        <f t="shared" si="109"/>
        <v>293.33333333333439</v>
      </c>
      <c r="S170" s="62">
        <f ca="1">AVERAGE(OFFSET($R$3,0,0,'Données projet'!$E$9+1,1))-AVERAGE(OFFSET($H$3,0,0,'Données projet'!$E$9+1,1))</f>
        <v>157.98488572680344</v>
      </c>
      <c r="T170" s="62">
        <f t="shared" si="142"/>
        <v>269.20989374735825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7.2553737835013052</v>
      </c>
      <c r="AA170" s="23">
        <f>EXP(-LN(2)/25)*AA169+(1-EXP(-LN(2)/25))/(LN(2)/25)*Calculateur!V170*Calculateur!X170*VLOOKUP('Données projet'!$B$9,Paramètres!$A$1:$I$89,3,0)*0.475*44/12</f>
        <v>7.4903493931243251E-2</v>
      </c>
      <c r="AB170" s="23">
        <f>EXP(-LN(2)/2)*AB169+(1-EXP(-LN(2)/2))/(LN(2)/2)*V170*Y170*VLOOKUP('Données projet'!$B$9,Paramètres!$A$1:$I$89,3,0)*0.475*44/12</f>
        <v>2.6389863703999008E-18</v>
      </c>
      <c r="AC170" s="24">
        <f t="shared" si="163"/>
        <v>7.3302772774325486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projet'!$B$9,Paramètres!$A$1:$I$89,3,0)*VLOOKUP('Données projet'!$B$9,Paramètres!$A$1:$I$89,5,0)</f>
        <v>3.3992364478763198E-14</v>
      </c>
      <c r="P171" s="14">
        <f t="shared" si="141"/>
        <v>5.790027782444094E-13</v>
      </c>
      <c r="Q171" s="22">
        <f t="shared" si="162"/>
        <v>1.0676332069095257E-12</v>
      </c>
      <c r="R171" s="62">
        <f t="shared" si="109"/>
        <v>293.33333333333439</v>
      </c>
      <c r="S171" s="62">
        <f ca="1">AVERAGE(OFFSET($R$3,0,0,'Données projet'!$E$9+1,1))-AVERAGE(OFFSET($H$3,0,0,'Données projet'!$E$9+1,1))</f>
        <v>157.98488572680344</v>
      </c>
      <c r="T171" s="62">
        <f t="shared" si="142"/>
        <v>269.20989374735825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7.113100328947886</v>
      </c>
      <c r="AA171" s="23">
        <f>EXP(-LN(2)/25)*AA170+(1-EXP(-LN(2)/25))/(LN(2)/25)*Calculateur!V171*Calculateur!X171*VLOOKUP('Données projet'!$B$9,Paramètres!$A$1:$I$89,3,0)*0.475*44/12</f>
        <v>7.2855253950689855E-2</v>
      </c>
      <c r="AB171" s="23">
        <f>EXP(-LN(2)/2)*AB170+(1-EXP(-LN(2)/2))/(LN(2)/2)*V171*Y171*VLOOKUP('Données projet'!$B$9,Paramètres!$A$1:$I$89,3,0)*0.475*44/12</f>
        <v>1.8660451579686439E-18</v>
      </c>
      <c r="AC171" s="24">
        <f t="shared" si="163"/>
        <v>7.1859555828985755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projet'!$B$9,Paramètres!$A$1:$I$89,3,0)*VLOOKUP('Données projet'!$B$9,Paramètres!$A$1:$I$89,5,0)</f>
        <v>3.3992364478763198E-14</v>
      </c>
      <c r="P172" s="14">
        <f t="shared" si="141"/>
        <v>5.790027782444094E-13</v>
      </c>
      <c r="Q172" s="22">
        <f t="shared" si="162"/>
        <v>1.0676332069095257E-12</v>
      </c>
      <c r="R172" s="62">
        <f t="shared" si="109"/>
        <v>293.33333333333439</v>
      </c>
      <c r="S172" s="62">
        <f ca="1">AVERAGE(OFFSET($R$3,0,0,'Données projet'!$E$9+1,1))-AVERAGE(OFFSET($H$3,0,0,'Données projet'!$E$9+1,1))</f>
        <v>157.98488572680344</v>
      </c>
      <c r="T172" s="62">
        <f t="shared" si="142"/>
        <v>269.20989374735825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6.9736167700600209</v>
      </c>
      <c r="AA172" s="23">
        <f>EXP(-LN(2)/25)*AA171+(1-EXP(-LN(2)/25))/(LN(2)/25)*Calculateur!V172*Calculateur!X172*VLOOKUP('Données projet'!$B$9,Paramètres!$A$1:$I$89,3,0)*0.475*44/12</f>
        <v>7.0863023200116948E-2</v>
      </c>
      <c r="AB172" s="23">
        <f>EXP(-LN(2)/2)*AB171+(1-EXP(-LN(2)/2))/(LN(2)/2)*V172*Y172*VLOOKUP('Données projet'!$B$9,Paramètres!$A$1:$I$89,3,0)*0.475*44/12</f>
        <v>1.3194931851999504E-18</v>
      </c>
      <c r="AC172" s="24">
        <f t="shared" si="163"/>
        <v>7.0444797932601375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projet'!$B$9,Paramètres!$A$1:$I$89,3,0)*VLOOKUP('Données projet'!$B$9,Paramètres!$A$1:$I$89,5,0)</f>
        <v>3.3992364478763198E-14</v>
      </c>
      <c r="P173" s="14">
        <f t="shared" si="141"/>
        <v>5.790027782444094E-13</v>
      </c>
      <c r="Q173" s="22">
        <f t="shared" si="162"/>
        <v>1.0676332069095257E-12</v>
      </c>
      <c r="R173" s="62">
        <f t="shared" si="109"/>
        <v>293.33333333333439</v>
      </c>
      <c r="S173" s="62">
        <f ca="1">AVERAGE(OFFSET($R$3,0,0,'Données projet'!$E$9+1,1))-AVERAGE(OFFSET($H$3,0,0,'Données projet'!$E$9+1,1))</f>
        <v>157.98488572680344</v>
      </c>
      <c r="T173" s="62">
        <f t="shared" si="142"/>
        <v>269.20989374735825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6.8368683986853771</v>
      </c>
      <c r="AA173" s="23">
        <f>EXP(-LN(2)/25)*AA172+(1-EXP(-LN(2)/25))/(LN(2)/25)*Calculateur!V173*Calculateur!X173*VLOOKUP('Données projet'!$B$9,Paramètres!$A$1:$I$89,3,0)*0.475*44/12</f>
        <v>6.8925270104185324E-2</v>
      </c>
      <c r="AB173" s="23">
        <f>EXP(-LN(2)/2)*AB172+(1-EXP(-LN(2)/2))/(LN(2)/2)*V173*Y173*VLOOKUP('Données projet'!$B$9,Paramètres!$A$1:$I$89,3,0)*0.475*44/12</f>
        <v>9.3302257898432196E-19</v>
      </c>
      <c r="AC173" s="24">
        <f t="shared" si="163"/>
        <v>6.9057936687895625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projet'!$B$9,Paramètres!$A$1:$I$89,3,0)*VLOOKUP('Données projet'!$B$9,Paramètres!$A$1:$I$89,5,0)</f>
        <v>3.3992364478763198E-14</v>
      </c>
      <c r="P174" s="14">
        <f t="shared" si="141"/>
        <v>5.790027782444094E-13</v>
      </c>
      <c r="Q174" s="22">
        <f t="shared" si="162"/>
        <v>1.0676332069095257E-12</v>
      </c>
      <c r="R174" s="62">
        <f t="shared" si="109"/>
        <v>293.33333333333439</v>
      </c>
      <c r="S174" s="62">
        <f ca="1">AVERAGE(OFFSET($R$3,0,0,'Données projet'!$E$9+1,1))-AVERAGE(OFFSET($H$3,0,0,'Données projet'!$E$9+1,1))</f>
        <v>157.98488572680344</v>
      </c>
      <c r="T174" s="62">
        <f t="shared" si="142"/>
        <v>269.20989374735825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6.7028015794651195</v>
      </c>
      <c r="AA174" s="23">
        <f>EXP(-LN(2)/25)*AA173+(1-EXP(-LN(2)/25))/(LN(2)/25)*Calculateur!V174*Calculateur!X174*VLOOKUP('Données projet'!$B$9,Paramètres!$A$1:$I$89,3,0)*0.475*44/12</f>
        <v>6.7040504968563952E-2</v>
      </c>
      <c r="AB174" s="23">
        <f>EXP(-LN(2)/2)*AB173+(1-EXP(-LN(2)/2))/(LN(2)/2)*V174*Y174*VLOOKUP('Données projet'!$B$9,Paramètres!$A$1:$I$89,3,0)*0.475*44/12</f>
        <v>6.597465925999752E-19</v>
      </c>
      <c r="AC174" s="24">
        <f t="shared" si="163"/>
        <v>6.7698420844336837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projet'!$B$9,Paramètres!$A$1:$I$89,3,0)*VLOOKUP('Données projet'!$B$9,Paramètres!$A$1:$I$89,5,0)</f>
        <v>3.3992364478763198E-14</v>
      </c>
      <c r="P175" s="14">
        <f t="shared" si="141"/>
        <v>5.790027782444094E-13</v>
      </c>
      <c r="Q175" s="22">
        <f t="shared" si="162"/>
        <v>1.0676332069095257E-12</v>
      </c>
      <c r="R175" s="62">
        <f t="shared" si="109"/>
        <v>293.33333333333439</v>
      </c>
      <c r="S175" s="62">
        <f ca="1">AVERAGE(OFFSET($R$3,0,0,'Données projet'!$E$9+1,1))-AVERAGE(OFFSET($H$3,0,0,'Données projet'!$E$9+1,1))</f>
        <v>157.98488572680344</v>
      </c>
      <c r="T175" s="62">
        <f t="shared" si="142"/>
        <v>269.20989374735825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6.5713637287970856</v>
      </c>
      <c r="AA175" s="23">
        <f>EXP(-LN(2)/25)*AA174+(1-EXP(-LN(2)/25))/(LN(2)/25)*Calculateur!V175*Calculateur!X175*VLOOKUP('Données projet'!$B$9,Paramètres!$A$1:$I$89,3,0)*0.475*44/12</f>
        <v>6.5207278834691643E-2</v>
      </c>
      <c r="AB175" s="23">
        <f>EXP(-LN(2)/2)*AB174+(1-EXP(-LN(2)/2))/(LN(2)/2)*V175*Y175*VLOOKUP('Données projet'!$B$9,Paramètres!$A$1:$I$89,3,0)*0.475*44/12</f>
        <v>4.6651128949216098E-19</v>
      </c>
      <c r="AC175" s="24">
        <f t="shared" si="163"/>
        <v>6.636571007631777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projet'!$B$9,Paramètres!$A$1:$I$89,3,0)*VLOOKUP('Données projet'!$B$9,Paramètres!$A$1:$I$89,5,0)</f>
        <v>3.3992364478763198E-14</v>
      </c>
      <c r="P176" s="14">
        <f t="shared" si="141"/>
        <v>5.790027782444094E-13</v>
      </c>
      <c r="Q176" s="22">
        <f t="shared" si="162"/>
        <v>1.0676332069095257E-12</v>
      </c>
      <c r="R176" s="62">
        <f t="shared" si="109"/>
        <v>293.33333333333439</v>
      </c>
      <c r="S176" s="62">
        <f ca="1">AVERAGE(OFFSET($R$3,0,0,'Données projet'!$E$9+1,1))-AVERAGE(OFFSET($H$3,0,0,'Données projet'!$E$9+1,1))</f>
        <v>157.98488572680344</v>
      </c>
      <c r="T176" s="62">
        <f t="shared" si="142"/>
        <v>269.20989374735825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6.4425032942114786</v>
      </c>
      <c r="AA176" s="23">
        <f>EXP(-LN(2)/25)*AA175+(1-EXP(-LN(2)/25))/(LN(2)/25)*Calculateur!V176*Calculateur!X176*VLOOKUP('Données projet'!$B$9,Paramètres!$A$1:$I$89,3,0)*0.475*44/12</f>
        <v>6.3424182365855244E-2</v>
      </c>
      <c r="AB176" s="23">
        <f>EXP(-LN(2)/2)*AB175+(1-EXP(-LN(2)/2))/(LN(2)/2)*V176*Y176*VLOOKUP('Données projet'!$B$9,Paramètres!$A$1:$I$89,3,0)*0.475*44/12</f>
        <v>3.298732962999876E-19</v>
      </c>
      <c r="AC176" s="24">
        <f t="shared" si="163"/>
        <v>6.5059274765773338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projet'!$B$9,Paramètres!$A$1:$I$89,3,0)*VLOOKUP('Données projet'!$B$9,Paramètres!$A$1:$I$89,5,0)</f>
        <v>3.3992364478763198E-14</v>
      </c>
      <c r="P177" s="14">
        <f t="shared" si="141"/>
        <v>5.790027782444094E-13</v>
      </c>
      <c r="Q177" s="22">
        <f t="shared" si="162"/>
        <v>1.0676332069095257E-12</v>
      </c>
      <c r="R177" s="62">
        <f t="shared" si="109"/>
        <v>293.33333333333439</v>
      </c>
      <c r="S177" s="62">
        <f ca="1">AVERAGE(OFFSET($R$3,0,0,'Données projet'!$E$9+1,1))-AVERAGE(OFFSET($H$3,0,0,'Données projet'!$E$9+1,1))</f>
        <v>157.98488572680344</v>
      </c>
      <c r="T177" s="62">
        <f t="shared" si="142"/>
        <v>269.20989374735825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6.316169734150991</v>
      </c>
      <c r="AA177" s="23">
        <f>EXP(-LN(2)/25)*AA176+(1-EXP(-LN(2)/25))/(LN(2)/25)*Calculateur!V177*Calculateur!X177*VLOOKUP('Données projet'!$B$9,Paramètres!$A$1:$I$89,3,0)*0.475*44/12</f>
        <v>6.1689844763728137E-2</v>
      </c>
      <c r="AB177" s="23">
        <f>EXP(-LN(2)/2)*AB176+(1-EXP(-LN(2)/2))/(LN(2)/2)*V177*Y177*VLOOKUP('Données projet'!$B$9,Paramètres!$A$1:$I$89,3,0)*0.475*44/12</f>
        <v>2.3325564474608049E-19</v>
      </c>
      <c r="AC177" s="24">
        <f t="shared" si="163"/>
        <v>6.3778595789147188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projet'!$B$9,Paramètres!$A$1:$I$89,3,0)*VLOOKUP('Données projet'!$B$9,Paramètres!$A$1:$I$89,5,0)</f>
        <v>3.3992364478763198E-14</v>
      </c>
      <c r="P178" s="14">
        <f t="shared" si="141"/>
        <v>5.790027782444094E-13</v>
      </c>
      <c r="Q178" s="22">
        <f t="shared" si="162"/>
        <v>1.0676332069095257E-12</v>
      </c>
      <c r="R178" s="62">
        <f t="shared" si="109"/>
        <v>293.33333333333439</v>
      </c>
      <c r="S178" s="62">
        <f ca="1">AVERAGE(OFFSET($R$3,0,0,'Données projet'!$E$9+1,1))-AVERAGE(OFFSET($H$3,0,0,'Données projet'!$E$9+1,1))</f>
        <v>157.98488572680344</v>
      </c>
      <c r="T178" s="62">
        <f t="shared" si="142"/>
        <v>269.20989374735825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6.1923134981474268</v>
      </c>
      <c r="AA178" s="23">
        <f>EXP(-LN(2)/25)*AA177+(1-EXP(-LN(2)/25))/(LN(2)/25)*Calculateur!V178*Calculateur!X178*VLOOKUP('Données projet'!$B$9,Paramètres!$A$1:$I$89,3,0)*0.475*44/12</f>
        <v>6.000293271453605E-2</v>
      </c>
      <c r="AB178" s="23">
        <f>EXP(-LN(2)/2)*AB177+(1-EXP(-LN(2)/2))/(LN(2)/2)*V178*Y178*VLOOKUP('Données projet'!$B$9,Paramètres!$A$1:$I$89,3,0)*0.475*44/12</f>
        <v>1.649366481499938E-19</v>
      </c>
      <c r="AC178" s="24">
        <f t="shared" si="163"/>
        <v>6.2523164308619625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projet'!$B$9,Paramètres!$A$1:$I$89,3,0)*VLOOKUP('Données projet'!$B$9,Paramètres!$A$1:$I$89,5,0)</f>
        <v>3.3992364478763198E-14</v>
      </c>
      <c r="P179" s="14">
        <f t="shared" si="141"/>
        <v>5.790027782444094E-13</v>
      </c>
      <c r="Q179" s="22">
        <f t="shared" si="162"/>
        <v>1.0676332069095257E-12</v>
      </c>
      <c r="R179" s="62">
        <f t="shared" si="109"/>
        <v>293.33333333333439</v>
      </c>
      <c r="S179" s="62">
        <f ca="1">AVERAGE(OFFSET($R$3,0,0,'Données projet'!$E$9+1,1))-AVERAGE(OFFSET($H$3,0,0,'Données projet'!$E$9+1,1))</f>
        <v>157.98488572680344</v>
      </c>
      <c r="T179" s="62">
        <f t="shared" si="142"/>
        <v>269.20989374735825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6.0708860073870481</v>
      </c>
      <c r="AA179" s="23">
        <f>EXP(-LN(2)/25)*AA178+(1-EXP(-LN(2)/25))/(LN(2)/25)*Calculateur!V179*Calculateur!X179*VLOOKUP('Données projet'!$B$9,Paramètres!$A$1:$I$89,3,0)*0.475*44/12</f>
        <v>5.8362149364039967E-2</v>
      </c>
      <c r="AB179" s="23">
        <f>EXP(-LN(2)/2)*AB178+(1-EXP(-LN(2)/2))/(LN(2)/2)*V179*Y179*VLOOKUP('Données projet'!$B$9,Paramètres!$A$1:$I$89,3,0)*0.475*44/12</f>
        <v>1.1662782237304025E-19</v>
      </c>
      <c r="AC179" s="24">
        <f t="shared" si="163"/>
        <v>6.1292481567510881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projet'!$B$9,Paramètres!$A$1:$I$89,3,0)*VLOOKUP('Données projet'!$B$9,Paramètres!$A$1:$I$89,5,0)</f>
        <v>3.3992364478763198E-14</v>
      </c>
      <c r="P180" s="14">
        <f t="shared" si="141"/>
        <v>5.790027782444094E-13</v>
      </c>
      <c r="Q180" s="22">
        <f t="shared" si="162"/>
        <v>1.0676332069095257E-12</v>
      </c>
      <c r="R180" s="62">
        <f t="shared" si="109"/>
        <v>293.33333333333439</v>
      </c>
      <c r="S180" s="62">
        <f ca="1">AVERAGE(OFFSET($R$3,0,0,'Données projet'!$E$9+1,1))-AVERAGE(OFFSET($H$3,0,0,'Données projet'!$E$9+1,1))</f>
        <v>157.98488572680344</v>
      </c>
      <c r="T180" s="62">
        <f t="shared" si="142"/>
        <v>269.20989374735825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5.9518396356570245</v>
      </c>
      <c r="AA180" s="23">
        <f>EXP(-LN(2)/25)*AA179+(1-EXP(-LN(2)/25))/(LN(2)/25)*Calculateur!V180*Calculateur!X180*VLOOKUP('Données projet'!$B$9,Paramètres!$A$1:$I$89,3,0)*0.475*44/12</f>
        <v>5.6766233320548247E-2</v>
      </c>
      <c r="AB180" s="23">
        <f>EXP(-LN(2)/2)*AB179+(1-EXP(-LN(2)/2))/(LN(2)/2)*V180*Y180*VLOOKUP('Données projet'!$B$9,Paramètres!$A$1:$I$89,3,0)*0.475*44/12</f>
        <v>8.24683240749969E-20</v>
      </c>
      <c r="AC180" s="24">
        <f t="shared" si="163"/>
        <v>6.0086058689775728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projet'!$B$9,Paramètres!$A$1:$I$89,3,0)*VLOOKUP('Données projet'!$B$9,Paramètres!$A$1:$I$89,5,0)</f>
        <v>3.3992364478763198E-14</v>
      </c>
      <c r="P181" s="14">
        <f t="shared" si="141"/>
        <v>5.790027782444094E-13</v>
      </c>
      <c r="Q181" s="22">
        <f t="shared" si="162"/>
        <v>1.0676332069095257E-12</v>
      </c>
      <c r="R181" s="62">
        <f t="shared" si="109"/>
        <v>293.33333333333439</v>
      </c>
      <c r="S181" s="62">
        <f ca="1">AVERAGE(OFFSET($R$3,0,0,'Données projet'!$E$9+1,1))-AVERAGE(OFFSET($H$3,0,0,'Données projet'!$E$9+1,1))</f>
        <v>157.98488572680344</v>
      </c>
      <c r="T181" s="62">
        <f t="shared" si="142"/>
        <v>269.20989374735825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5.8351276906655096</v>
      </c>
      <c r="AA181" s="23">
        <f>EXP(-LN(2)/25)*AA180+(1-EXP(-LN(2)/25))/(LN(2)/25)*Calculateur!V181*Calculateur!X181*VLOOKUP('Données projet'!$B$9,Paramètres!$A$1:$I$89,3,0)*0.475*44/12</f>
        <v>5.5213957685191384E-2</v>
      </c>
      <c r="AB181" s="23">
        <f>EXP(-LN(2)/2)*AB180+(1-EXP(-LN(2)/2))/(LN(2)/2)*V181*Y181*VLOOKUP('Données projet'!$B$9,Paramètres!$A$1:$I$89,3,0)*0.475*44/12</f>
        <v>5.8313911186520123E-20</v>
      </c>
      <c r="AC181" s="24">
        <f t="shared" si="163"/>
        <v>5.8903416483507014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projet'!$B$9,Paramètres!$A$1:$I$89,3,0)*VLOOKUP('Données projet'!$B$9,Paramètres!$A$1:$I$89,5,0)</f>
        <v>3.3992364478763198E-14</v>
      </c>
      <c r="P182" s="14">
        <f t="shared" si="141"/>
        <v>5.790027782444094E-13</v>
      </c>
      <c r="Q182" s="22">
        <f t="shared" si="162"/>
        <v>1.0676332069095257E-12</v>
      </c>
      <c r="R182" s="62">
        <f t="shared" si="109"/>
        <v>293.33333333333439</v>
      </c>
      <c r="S182" s="62">
        <f ca="1">AVERAGE(OFFSET($R$3,0,0,'Données projet'!$E$9+1,1))-AVERAGE(OFFSET($H$3,0,0,'Données projet'!$E$9+1,1))</f>
        <v>157.98488572680344</v>
      </c>
      <c r="T182" s="62">
        <f t="shared" si="142"/>
        <v>269.20989374735825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5.7207043957280206</v>
      </c>
      <c r="AA182" s="23">
        <f>EXP(-LN(2)/25)*AA181+(1-EXP(-LN(2)/25))/(LN(2)/25)*Calculateur!V182*Calculateur!X182*VLOOKUP('Données projet'!$B$9,Paramètres!$A$1:$I$89,3,0)*0.475*44/12</f>
        <v>5.3704129108713985E-2</v>
      </c>
      <c r="AB182" s="23">
        <f>EXP(-LN(2)/2)*AB181+(1-EXP(-LN(2)/2))/(LN(2)/2)*V182*Y182*VLOOKUP('Données projet'!$B$9,Paramètres!$A$1:$I$89,3,0)*0.475*44/12</f>
        <v>4.123416203749845E-20</v>
      </c>
      <c r="AC182" s="24">
        <f t="shared" si="163"/>
        <v>5.7744085248367343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projet'!$B$9,Paramètres!$A$1:$I$89,3,0)*VLOOKUP('Données projet'!$B$9,Paramètres!$A$1:$I$89,5,0)</f>
        <v>3.3992364478763198E-14</v>
      </c>
      <c r="P183" s="14">
        <f t="shared" si="141"/>
        <v>5.790027782444094E-13</v>
      </c>
      <c r="Q183" s="22">
        <f t="shared" si="162"/>
        <v>1.0676332069095257E-12</v>
      </c>
      <c r="R183" s="62">
        <f t="shared" si="109"/>
        <v>293.33333333333439</v>
      </c>
      <c r="S183" s="62">
        <f ca="1">AVERAGE(OFFSET($R$3,0,0,'Données projet'!$E$9+1,1))-AVERAGE(OFFSET($H$3,0,0,'Données projet'!$E$9+1,1))</f>
        <v>157.98488572680344</v>
      </c>
      <c r="T183" s="62">
        <f t="shared" si="142"/>
        <v>269.20989374735825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5.6085248718129375</v>
      </c>
      <c r="AA183" s="23">
        <f>EXP(-LN(2)/25)*AA182+(1-EXP(-LN(2)/25))/(LN(2)/25)*Calculateur!V183*Calculateur!X183*VLOOKUP('Données projet'!$B$9,Paramètres!$A$1:$I$89,3,0)*0.475*44/12</f>
        <v>5.2235586874058791E-2</v>
      </c>
      <c r="AB183" s="23">
        <f>EXP(-LN(2)/2)*AB182+(1-EXP(-LN(2)/2))/(LN(2)/2)*V183*Y183*VLOOKUP('Données projet'!$B$9,Paramètres!$A$1:$I$89,3,0)*0.475*44/12</f>
        <v>2.9156955593260061E-20</v>
      </c>
      <c r="AC183" s="24">
        <f t="shared" si="163"/>
        <v>5.6607604586869966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projet'!$B$9,Paramètres!$A$1:$I$89,3,0)*VLOOKUP('Données projet'!$B$9,Paramètres!$A$1:$I$89,5,0)</f>
        <v>3.3992364478763198E-14</v>
      </c>
      <c r="P184" s="14">
        <f t="shared" si="141"/>
        <v>5.790027782444094E-13</v>
      </c>
      <c r="Q184" s="22">
        <f t="shared" si="162"/>
        <v>1.0676332069095257E-12</v>
      </c>
      <c r="R184" s="62">
        <f t="shared" si="109"/>
        <v>293.33333333333439</v>
      </c>
      <c r="S184" s="62">
        <f ca="1">AVERAGE(OFFSET($R$3,0,0,'Données projet'!$E$9+1,1))-AVERAGE(OFFSET($H$3,0,0,'Données projet'!$E$9+1,1))</f>
        <v>157.98488572680344</v>
      </c>
      <c r="T184" s="62">
        <f t="shared" si="142"/>
        <v>269.20989374735825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5.4985451199390756</v>
      </c>
      <c r="AA184" s="23">
        <f>EXP(-LN(2)/25)*AA183+(1-EXP(-LN(2)/25))/(LN(2)/25)*Calculateur!V184*Calculateur!X184*VLOOKUP('Données projet'!$B$9,Paramètres!$A$1:$I$89,3,0)*0.475*44/12</f>
        <v>5.0807202004037523E-2</v>
      </c>
      <c r="AB184" s="23">
        <f>EXP(-LN(2)/2)*AB183+(1-EXP(-LN(2)/2))/(LN(2)/2)*V184*Y184*VLOOKUP('Données projet'!$B$9,Paramètres!$A$1:$I$89,3,0)*0.475*44/12</f>
        <v>2.0617081018749225E-20</v>
      </c>
      <c r="AC184" s="24">
        <f t="shared" si="163"/>
        <v>5.5493523219431129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projet'!$B$9,Paramètres!$A$1:$I$89,3,0)*VLOOKUP('Données projet'!$B$9,Paramètres!$A$1:$I$89,5,0)</f>
        <v>3.3992364478763198E-14</v>
      </c>
      <c r="P185" s="14">
        <f t="shared" si="141"/>
        <v>5.790027782444094E-13</v>
      </c>
      <c r="Q185" s="22">
        <f t="shared" si="162"/>
        <v>1.0676332069095257E-12</v>
      </c>
      <c r="R185" s="62">
        <f t="shared" si="109"/>
        <v>293.33333333333439</v>
      </c>
      <c r="S185" s="62">
        <f ca="1">AVERAGE(OFFSET($R$3,0,0,'Données projet'!$E$9+1,1))-AVERAGE(OFFSET($H$3,0,0,'Données projet'!$E$9+1,1))</f>
        <v>157.98488572680344</v>
      </c>
      <c r="T185" s="62">
        <f t="shared" si="142"/>
        <v>269.20989374735825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5.3907220039184347</v>
      </c>
      <c r="AA185" s="23">
        <f>EXP(-LN(2)/25)*AA184+(1-EXP(-LN(2)/25))/(LN(2)/25)*Calculateur!V185*Calculateur!X185*VLOOKUP('Données projet'!$B$9,Paramètres!$A$1:$I$89,3,0)*0.475*44/12</f>
        <v>4.9417876393402484E-2</v>
      </c>
      <c r="AB185" s="23">
        <f>EXP(-LN(2)/2)*AB184+(1-EXP(-LN(2)/2))/(LN(2)/2)*V185*Y185*VLOOKUP('Données projet'!$B$9,Paramètres!$A$1:$I$89,3,0)*0.475*44/12</f>
        <v>1.4578477796630031E-20</v>
      </c>
      <c r="AC185" s="24">
        <f t="shared" si="163"/>
        <v>5.440139880311837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projet'!$B$9,Paramètres!$A$1:$I$89,3,0)*VLOOKUP('Données projet'!$B$9,Paramètres!$A$1:$I$89,5,0)</f>
        <v>3.3992364478763198E-14</v>
      </c>
      <c r="P186" s="14">
        <f t="shared" si="141"/>
        <v>5.790027782444094E-13</v>
      </c>
      <c r="Q186" s="22">
        <f t="shared" si="162"/>
        <v>1.0676332069095257E-12</v>
      </c>
      <c r="R186" s="62">
        <f t="shared" si="109"/>
        <v>293.33333333333439</v>
      </c>
      <c r="S186" s="62">
        <f ca="1">AVERAGE(OFFSET($R$3,0,0,'Données projet'!$E$9+1,1))-AVERAGE(OFFSET($H$3,0,0,'Données projet'!$E$9+1,1))</f>
        <v>157.98488572680344</v>
      </c>
      <c r="T186" s="62">
        <f t="shared" si="142"/>
        <v>269.20989374735825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5.2850132334373523</v>
      </c>
      <c r="AA186" s="23">
        <f>EXP(-LN(2)/25)*AA185+(1-EXP(-LN(2)/25))/(LN(2)/25)*Calculateur!V186*Calculateur!X186*VLOOKUP('Données projet'!$B$9,Paramètres!$A$1:$I$89,3,0)*0.475*44/12</f>
        <v>4.8066541964651717E-2</v>
      </c>
      <c r="AB186" s="23">
        <f>EXP(-LN(2)/2)*AB185+(1-EXP(-LN(2)/2))/(LN(2)/2)*V186*Y186*VLOOKUP('Données projet'!$B$9,Paramètres!$A$1:$I$89,3,0)*0.475*44/12</f>
        <v>1.0308540509374613E-20</v>
      </c>
      <c r="AC186" s="24">
        <f t="shared" si="163"/>
        <v>5.3330797754020036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projet'!$B$9,Paramètres!$A$1:$I$89,3,0)*VLOOKUP('Données projet'!$B$9,Paramètres!$A$1:$I$89,5,0)</f>
        <v>3.3992364478763198E-14</v>
      </c>
      <c r="P187" s="14">
        <f t="shared" si="141"/>
        <v>5.790027782444094E-13</v>
      </c>
      <c r="Q187" s="22">
        <f t="shared" si="162"/>
        <v>1.0676332069095257E-12</v>
      </c>
      <c r="R187" s="62">
        <f t="shared" si="109"/>
        <v>293.33333333333439</v>
      </c>
      <c r="S187" s="62">
        <f ca="1">AVERAGE(OFFSET($R$3,0,0,'Données projet'!$E$9+1,1))-AVERAGE(OFFSET($H$3,0,0,'Données projet'!$E$9+1,1))</f>
        <v>157.98488572680344</v>
      </c>
      <c r="T187" s="62">
        <f t="shared" si="142"/>
        <v>269.20989374735825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5.1813773474694198</v>
      </c>
      <c r="AA187" s="23">
        <f>EXP(-LN(2)/25)*AA186+(1-EXP(-LN(2)/25))/(LN(2)/25)*Calculateur!V187*Calculateur!X187*VLOOKUP('Données projet'!$B$9,Paramètres!$A$1:$I$89,3,0)*0.475*44/12</f>
        <v>4.6752159846918731E-2</v>
      </c>
      <c r="AB187" s="23">
        <f>EXP(-LN(2)/2)*AB186+(1-EXP(-LN(2)/2))/(LN(2)/2)*V187*Y187*VLOOKUP('Données projet'!$B$9,Paramètres!$A$1:$I$89,3,0)*0.475*44/12</f>
        <v>7.2892388983150153E-21</v>
      </c>
      <c r="AC187" s="24">
        <f t="shared" si="163"/>
        <v>5.2281295073163383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projet'!$B$9,Paramètres!$A$1:$I$89,3,0)*VLOOKUP('Données projet'!$B$9,Paramètres!$A$1:$I$89,5,0)</f>
        <v>3.3992364478763198E-14</v>
      </c>
      <c r="P188" s="14">
        <f t="shared" si="141"/>
        <v>5.790027782444094E-13</v>
      </c>
      <c r="Q188" s="22">
        <f t="shared" si="162"/>
        <v>1.0676332069095257E-12</v>
      </c>
      <c r="R188" s="62">
        <f t="shared" si="109"/>
        <v>293.33333333333439</v>
      </c>
      <c r="S188" s="62">
        <f ca="1">AVERAGE(OFFSET($R$3,0,0,'Données projet'!$E$9+1,1))-AVERAGE(OFFSET($H$3,0,0,'Données projet'!$E$9+1,1))</f>
        <v>157.98488572680344</v>
      </c>
      <c r="T188" s="62">
        <f t="shared" si="142"/>
        <v>269.20989374735825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5.0797736980136703</v>
      </c>
      <c r="AA188" s="23">
        <f>EXP(-LN(2)/25)*AA187+(1-EXP(-LN(2)/25))/(LN(2)/25)*Calculateur!V188*Calculateur!X188*VLOOKUP('Données projet'!$B$9,Paramètres!$A$1:$I$89,3,0)*0.475*44/12</f>
        <v>4.5473719577315504E-2</v>
      </c>
      <c r="AB188" s="23">
        <f>EXP(-LN(2)/2)*AB187+(1-EXP(-LN(2)/2))/(LN(2)/2)*V188*Y188*VLOOKUP('Données projet'!$B$9,Paramètres!$A$1:$I$89,3,0)*0.475*44/12</f>
        <v>5.1542702546873063E-21</v>
      </c>
      <c r="AC188" s="24">
        <f t="shared" si="163"/>
        <v>5.1252474175909857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projet'!$B$9,Paramètres!$A$1:$I$89,3,0)*VLOOKUP('Données projet'!$B$9,Paramètres!$A$1:$I$89,5,0)</f>
        <v>3.3992364478763198E-14</v>
      </c>
      <c r="P189" s="14">
        <f t="shared" si="141"/>
        <v>5.790027782444094E-13</v>
      </c>
      <c r="Q189" s="22">
        <f t="shared" si="162"/>
        <v>1.0676332069095257E-12</v>
      </c>
      <c r="R189" s="62">
        <f t="shared" si="109"/>
        <v>293.33333333333439</v>
      </c>
      <c r="S189" s="62">
        <f ca="1">AVERAGE(OFFSET($R$3,0,0,'Données projet'!$E$9+1,1))-AVERAGE(OFFSET($H$3,0,0,'Données projet'!$E$9+1,1))</f>
        <v>157.98488572680344</v>
      </c>
      <c r="T189" s="62">
        <f t="shared" si="142"/>
        <v>269.20989374735825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4.9801624341516408</v>
      </c>
      <c r="AA189" s="23">
        <f>EXP(-LN(2)/25)*AA188+(1-EXP(-LN(2)/25))/(LN(2)/25)*Calculateur!V189*Calculateur!X189*VLOOKUP('Données projet'!$B$9,Paramètres!$A$1:$I$89,3,0)*0.475*44/12</f>
        <v>4.423023832411483E-2</v>
      </c>
      <c r="AB189" s="23">
        <f>EXP(-LN(2)/2)*AB188+(1-EXP(-LN(2)/2))/(LN(2)/2)*V189*Y189*VLOOKUP('Données projet'!$B$9,Paramètres!$A$1:$I$89,3,0)*0.475*44/12</f>
        <v>3.6446194491575077E-21</v>
      </c>
      <c r="AC189" s="24">
        <f t="shared" si="163"/>
        <v>5.0243926724757557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projet'!$B$9,Paramètres!$A$1:$I$89,3,0)*VLOOKUP('Données projet'!$B$9,Paramètres!$A$1:$I$89,5,0)</f>
        <v>3.3992364478763198E-14</v>
      </c>
      <c r="P190" s="14">
        <f t="shared" si="141"/>
        <v>5.790027782444094E-13</v>
      </c>
      <c r="Q190" s="22">
        <f t="shared" si="162"/>
        <v>1.0676332069095257E-12</v>
      </c>
      <c r="R190" s="62">
        <f t="shared" si="109"/>
        <v>293.33333333333439</v>
      </c>
      <c r="S190" s="62">
        <f ca="1">AVERAGE(OFFSET($R$3,0,0,'Données projet'!$E$9+1,1))-AVERAGE(OFFSET($H$3,0,0,'Données projet'!$E$9+1,1))</f>
        <v>157.98488572680344</v>
      </c>
      <c r="T190" s="62">
        <f t="shared" si="142"/>
        <v>269.20989374735825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4.8825044864170737</v>
      </c>
      <c r="AA190" s="23">
        <f>EXP(-LN(2)/25)*AA189+(1-EXP(-LN(2)/25))/(LN(2)/25)*Calculateur!V190*Calculateur!X190*VLOOKUP('Données projet'!$B$9,Paramètres!$A$1:$I$89,3,0)*0.475*44/12</f>
        <v>4.3020760131174764E-2</v>
      </c>
      <c r="AB190" s="23">
        <f>EXP(-LN(2)/2)*AB189+(1-EXP(-LN(2)/2))/(LN(2)/2)*V190*Y190*VLOOKUP('Données projet'!$B$9,Paramètres!$A$1:$I$89,3,0)*0.475*44/12</f>
        <v>2.5771351273436531E-21</v>
      </c>
      <c r="AC190" s="24">
        <f t="shared" si="163"/>
        <v>4.9255252465482489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projet'!$B$9,Paramètres!$A$1:$I$89,3,0)*VLOOKUP('Données projet'!$B$9,Paramètres!$A$1:$I$89,5,0)</f>
        <v>3.3992364478763198E-14</v>
      </c>
      <c r="P191" s="14">
        <f t="shared" si="141"/>
        <v>5.790027782444094E-13</v>
      </c>
      <c r="Q191" s="22">
        <f t="shared" si="162"/>
        <v>1.0676332069095257E-12</v>
      </c>
      <c r="R191" s="62">
        <f t="shared" si="109"/>
        <v>293.33333333333439</v>
      </c>
      <c r="S191" s="62">
        <f ca="1">AVERAGE(OFFSET($R$3,0,0,'Données projet'!$E$9+1,1))-AVERAGE(OFFSET($H$3,0,0,'Données projet'!$E$9+1,1))</f>
        <v>157.98488572680344</v>
      </c>
      <c r="T191" s="62">
        <f t="shared" si="142"/>
        <v>269.20989374735825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4.7867615514721154</v>
      </c>
      <c r="AA191" s="23">
        <f>EXP(-LN(2)/25)*AA190+(1-EXP(-LN(2)/25))/(LN(2)/25)*Calculateur!V191*Calculateur!X191*VLOOKUP('Données projet'!$B$9,Paramètres!$A$1:$I$89,3,0)*0.475*44/12</f>
        <v>4.1844355183024338E-2</v>
      </c>
      <c r="AB191" s="23">
        <f>EXP(-LN(2)/2)*AB190+(1-EXP(-LN(2)/2))/(LN(2)/2)*V191*Y191*VLOOKUP('Données projet'!$B$9,Paramètres!$A$1:$I$89,3,0)*0.475*44/12</f>
        <v>1.8223097245787538E-21</v>
      </c>
      <c r="AC191" s="24">
        <f t="shared" si="163"/>
        <v>4.8286059066551399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projet'!$B$9,Paramètres!$A$1:$I$89,3,0)*VLOOKUP('Données projet'!$B$9,Paramètres!$A$1:$I$89,5,0)</f>
        <v>3.3992364478763198E-14</v>
      </c>
      <c r="P192" s="14">
        <f t="shared" si="141"/>
        <v>5.790027782444094E-13</v>
      </c>
      <c r="Q192" s="22">
        <f t="shared" si="162"/>
        <v>1.0676332069095257E-12</v>
      </c>
      <c r="R192" s="62">
        <f t="shared" si="109"/>
        <v>293.33333333333439</v>
      </c>
      <c r="S192" s="62">
        <f ca="1">AVERAGE(OFFSET($R$3,0,0,'Données projet'!$E$9+1,1))-AVERAGE(OFFSET($H$3,0,0,'Données projet'!$E$9+1,1))</f>
        <v>157.98488572680344</v>
      </c>
      <c r="T192" s="62">
        <f t="shared" si="142"/>
        <v>269.20989374735825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4.6928960770840034</v>
      </c>
      <c r="AA192" s="23">
        <f>EXP(-LN(2)/25)*AA191+(1-EXP(-LN(2)/25))/(LN(2)/25)*Calculateur!V192*Calculateur!X192*VLOOKUP('Données projet'!$B$9,Paramètres!$A$1:$I$89,3,0)*0.475*44/12</f>
        <v>4.0700119090045533E-2</v>
      </c>
      <c r="AB192" s="23">
        <f>EXP(-LN(2)/2)*AB191+(1-EXP(-LN(2)/2))/(LN(2)/2)*V192*Y192*VLOOKUP('Données projet'!$B$9,Paramètres!$A$1:$I$89,3,0)*0.475*44/12</f>
        <v>1.2885675636718266E-21</v>
      </c>
      <c r="AC192" s="24">
        <f t="shared" si="163"/>
        <v>4.7335961961740489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projet'!$B$9,Paramètres!$A$1:$I$89,3,0)*VLOOKUP('Données projet'!$B$9,Paramètres!$A$1:$I$89,5,0)</f>
        <v>3.3992364478763198E-14</v>
      </c>
      <c r="P193" s="14">
        <f t="shared" si="141"/>
        <v>5.790027782444094E-13</v>
      </c>
      <c r="Q193" s="22">
        <f t="shared" si="162"/>
        <v>1.0676332069095257E-12</v>
      </c>
      <c r="R193" s="62">
        <f t="shared" si="109"/>
        <v>293.33333333333439</v>
      </c>
      <c r="S193" s="62">
        <f ca="1">AVERAGE(OFFSET($R$3,0,0,'Données projet'!$E$9+1,1))-AVERAGE(OFFSET($H$3,0,0,'Données projet'!$E$9+1,1))</f>
        <v>157.98488572680344</v>
      </c>
      <c r="T193" s="62">
        <f t="shared" si="142"/>
        <v>269.20989374735825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4.6008712473963564</v>
      </c>
      <c r="AA193" s="23">
        <f>EXP(-LN(2)/25)*AA192+(1-EXP(-LN(2)/25))/(LN(2)/25)*Calculateur!V193*Calculateur!X193*VLOOKUP('Données projet'!$B$9,Paramètres!$A$1:$I$89,3,0)*0.475*44/12</f>
        <v>3.9587172193202E-2</v>
      </c>
      <c r="AB193" s="23">
        <f>EXP(-LN(2)/2)*AB192+(1-EXP(-LN(2)/2))/(LN(2)/2)*V193*Y193*VLOOKUP('Données projet'!$B$9,Paramètres!$A$1:$I$89,3,0)*0.475*44/12</f>
        <v>9.1115486228937691E-22</v>
      </c>
      <c r="AC193" s="24">
        <f t="shared" si="163"/>
        <v>4.6404584195895584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projet'!$B$9,Paramètres!$A$1:$I$89,3,0)*VLOOKUP('Données projet'!$B$9,Paramètres!$A$1:$I$89,5,0)</f>
        <v>3.3992364478763198E-14</v>
      </c>
      <c r="P194" s="14">
        <f t="shared" si="141"/>
        <v>5.790027782444094E-13</v>
      </c>
      <c r="Q194" s="22">
        <f t="shared" si="162"/>
        <v>1.0676332069095257E-12</v>
      </c>
      <c r="R194" s="62">
        <f t="shared" si="109"/>
        <v>293.33333333333439</v>
      </c>
      <c r="S194" s="62">
        <f ca="1">AVERAGE(OFFSET($R$3,0,0,'Données projet'!$E$9+1,1))-AVERAGE(OFFSET($H$3,0,0,'Données projet'!$E$9+1,1))</f>
        <v>157.98488572680344</v>
      </c>
      <c r="T194" s="62">
        <f t="shared" si="142"/>
        <v>269.20989374735825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4.5106509684892799</v>
      </c>
      <c r="AA194" s="23">
        <f>EXP(-LN(2)/25)*AA193+(1-EXP(-LN(2)/25))/(LN(2)/25)*Calculateur!V194*Calculateur!X194*VLOOKUP('Données projet'!$B$9,Paramètres!$A$1:$I$89,3,0)*0.475*44/12</f>
        <v>3.8504658887779986E-2</v>
      </c>
      <c r="AB194" s="23">
        <f>EXP(-LN(2)/2)*AB193+(1-EXP(-LN(2)/2))/(LN(2)/2)*V194*Y194*VLOOKUP('Données projet'!$B$9,Paramètres!$A$1:$I$89,3,0)*0.475*44/12</f>
        <v>6.4428378183591328E-22</v>
      </c>
      <c r="AC194" s="24">
        <f t="shared" si="163"/>
        <v>4.5491556273770595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projet'!$B$9,Paramètres!$A$1:$I$89,3,0)*VLOOKUP('Données projet'!$B$9,Paramètres!$A$1:$I$89,5,0)</f>
        <v>3.3992364478763198E-14</v>
      </c>
      <c r="P195" s="14">
        <f t="shared" si="141"/>
        <v>5.790027782444094E-13</v>
      </c>
      <c r="Q195" s="22">
        <f t="shared" si="162"/>
        <v>1.0676332069095257E-12</v>
      </c>
      <c r="R195" s="62">
        <f t="shared" ref="R195:R203" si="191">Q195+(I195+J195)*44/12</f>
        <v>293.33333333333439</v>
      </c>
      <c r="S195" s="62">
        <f ca="1">AVERAGE(OFFSET($R$3,0,0,'Données projet'!$E$9+1,1))-AVERAGE(OFFSET($H$3,0,0,'Données projet'!$E$9+1,1))</f>
        <v>157.98488572680344</v>
      </c>
      <c r="T195" s="62">
        <f t="shared" si="142"/>
        <v>269.20989374735825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4.4221998542226348</v>
      </c>
      <c r="AA195" s="23">
        <f>EXP(-LN(2)/25)*AA194+(1-EXP(-LN(2)/25))/(LN(2)/25)*Calculateur!V195*Calculateur!X195*VLOOKUP('Données projet'!$B$9,Paramètres!$A$1:$I$89,3,0)*0.475*44/12</f>
        <v>3.7451746965621632E-2</v>
      </c>
      <c r="AB195" s="23">
        <f>EXP(-LN(2)/2)*AB194+(1-EXP(-LN(2)/2))/(LN(2)/2)*V195*Y195*VLOOKUP('Données projet'!$B$9,Paramètres!$A$1:$I$89,3,0)*0.475*44/12</f>
        <v>4.5557743114468846E-22</v>
      </c>
      <c r="AC195" s="24">
        <f t="shared" si="163"/>
        <v>4.4596516011882565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projet'!$B$9,Paramètres!$A$1:$I$89,3,0)*VLOOKUP('Données projet'!$B$9,Paramètres!$A$1:$I$89,5,0)</f>
        <v>3.3992364478763198E-14</v>
      </c>
      <c r="P196" s="14">
        <f t="shared" si="141"/>
        <v>5.790027782444094E-13</v>
      </c>
      <c r="Q196" s="22">
        <f t="shared" si="162"/>
        <v>1.0676332069095257E-12</v>
      </c>
      <c r="R196" s="62">
        <f t="shared" si="191"/>
        <v>293.33333333333439</v>
      </c>
      <c r="S196" s="62">
        <f ca="1">AVERAGE(OFFSET($R$3,0,0,'Données projet'!$E$9+1,1))-AVERAGE(OFFSET($H$3,0,0,'Données projet'!$E$9+1,1))</f>
        <v>157.98488572680344</v>
      </c>
      <c r="T196" s="62">
        <f t="shared" si="142"/>
        <v>269.20989374735825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4.3354832123569063</v>
      </c>
      <c r="AA196" s="23">
        <f>EXP(-LN(2)/25)*AA195+(1-EXP(-LN(2)/25))/(LN(2)/25)*Calculateur!V196*Calculateur!X196*VLOOKUP('Données projet'!$B$9,Paramètres!$A$1:$I$89,3,0)*0.475*44/12</f>
        <v>3.6427626975344934E-2</v>
      </c>
      <c r="AB196" s="23">
        <f>EXP(-LN(2)/2)*AB195+(1-EXP(-LN(2)/2))/(LN(2)/2)*V196*Y196*VLOOKUP('Données projet'!$B$9,Paramètres!$A$1:$I$89,3,0)*0.475*44/12</f>
        <v>3.2214189091795664E-22</v>
      </c>
      <c r="AC196" s="24">
        <f t="shared" si="163"/>
        <v>4.3719108393322514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projet'!$B$9,Paramètres!$A$1:$I$89,3,0)*VLOOKUP('Données projet'!$B$9,Paramètres!$A$1:$I$89,5,0)</f>
        <v>3.3992364478763198E-14</v>
      </c>
      <c r="P197" s="14">
        <f t="shared" ref="P197:P203" si="203">EXP(-1.0587+0.8836*LN(O197)+0.284)</f>
        <v>5.790027782444094E-13</v>
      </c>
      <c r="Q197" s="22">
        <f t="shared" si="162"/>
        <v>1.0676332069095257E-12</v>
      </c>
      <c r="R197" s="62">
        <f t="shared" si="191"/>
        <v>293.33333333333439</v>
      </c>
      <c r="S197" s="62">
        <f ca="1">AVERAGE(OFFSET($R$3,0,0,'Données projet'!$E$9+1,1))-AVERAGE(OFFSET($H$3,0,0,'Données projet'!$E$9+1,1))</f>
        <v>157.98488572680344</v>
      </c>
      <c r="T197" s="62">
        <f t="shared" ref="T197:T203" si="204">$T$3</f>
        <v>269.20989374735825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4.2504670309462353</v>
      </c>
      <c r="AA197" s="23">
        <f>EXP(-LN(2)/25)*AA196+(1-EXP(-LN(2)/25))/(LN(2)/25)*Calculateur!V197*Calculateur!X197*VLOOKUP('Données projet'!$B$9,Paramètres!$A$1:$I$89,3,0)*0.475*44/12</f>
        <v>3.5431511600058481E-2</v>
      </c>
      <c r="AB197" s="23">
        <f>EXP(-LN(2)/2)*AB196+(1-EXP(-LN(2)/2))/(LN(2)/2)*V197*Y197*VLOOKUP('Données projet'!$B$9,Paramètres!$A$1:$I$89,3,0)*0.475*44/12</f>
        <v>2.2778871557234423E-22</v>
      </c>
      <c r="AC197" s="24">
        <f t="shared" si="163"/>
        <v>4.2858985425462937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projet'!$B$9,Paramètres!$A$1:$I$89,3,0)*VLOOKUP('Données projet'!$B$9,Paramètres!$A$1:$I$89,5,0)</f>
        <v>3.3992364478763198E-14</v>
      </c>
      <c r="P198" s="14">
        <f t="shared" si="203"/>
        <v>5.790027782444094E-13</v>
      </c>
      <c r="Q198" s="22">
        <f t="shared" si="162"/>
        <v>1.0676332069095257E-12</v>
      </c>
      <c r="R198" s="62">
        <f t="shared" si="191"/>
        <v>293.33333333333439</v>
      </c>
      <c r="S198" s="62">
        <f ca="1">AVERAGE(OFFSET($R$3,0,0,'Données projet'!$E$9+1,1))-AVERAGE(OFFSET($H$3,0,0,'Données projet'!$E$9+1,1))</f>
        <v>157.98488572680344</v>
      </c>
      <c r="T198" s="62">
        <f t="shared" si="204"/>
        <v>269.20989374735825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4.1671179649982779</v>
      </c>
      <c r="AA198" s="23">
        <f>EXP(-LN(2)/25)*AA197+(1-EXP(-LN(2)/25))/(LN(2)/25)*Calculateur!V198*Calculateur!X198*VLOOKUP('Données projet'!$B$9,Paramètres!$A$1:$I$89,3,0)*0.475*44/12</f>
        <v>3.4462635052092669E-2</v>
      </c>
      <c r="AB198" s="23">
        <f>EXP(-LN(2)/2)*AB197+(1-EXP(-LN(2)/2))/(LN(2)/2)*V198*Y198*VLOOKUP('Données projet'!$B$9,Paramètres!$A$1:$I$89,3,0)*0.475*44/12</f>
        <v>1.6107094545897832E-22</v>
      </c>
      <c r="AC198" s="24">
        <f t="shared" si="163"/>
        <v>4.2015806000503702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projet'!$B$9,Paramètres!$A$1:$I$89,3,0)*VLOOKUP('Données projet'!$B$9,Paramètres!$A$1:$I$89,5,0)</f>
        <v>3.3992364478763198E-14</v>
      </c>
      <c r="P199" s="14">
        <f t="shared" si="203"/>
        <v>5.790027782444094E-13</v>
      </c>
      <c r="Q199" s="22">
        <f t="shared" si="162"/>
        <v>1.0676332069095257E-12</v>
      </c>
      <c r="R199" s="62">
        <f t="shared" si="191"/>
        <v>293.33333333333439</v>
      </c>
      <c r="S199" s="62">
        <f ca="1">AVERAGE(OFFSET($R$3,0,0,'Données projet'!$E$9+1,1))-AVERAGE(OFFSET($H$3,0,0,'Données projet'!$E$9+1,1))</f>
        <v>157.98488572680344</v>
      </c>
      <c r="T199" s="62">
        <f t="shared" si="204"/>
        <v>269.20989374735825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4.0854033233956493</v>
      </c>
      <c r="AA199" s="23">
        <f>EXP(-LN(2)/25)*AA198+(1-EXP(-LN(2)/25))/(LN(2)/25)*Calculateur!V199*Calculateur!X199*VLOOKUP('Données projet'!$B$9,Paramètres!$A$1:$I$89,3,0)*0.475*44/12</f>
        <v>3.3520252484281983E-2</v>
      </c>
      <c r="AB199" s="23">
        <f>EXP(-LN(2)/2)*AB198+(1-EXP(-LN(2)/2))/(LN(2)/2)*V199*Y199*VLOOKUP('Données projet'!$B$9,Paramètres!$A$1:$I$89,3,0)*0.475*44/12</f>
        <v>1.1389435778617211E-22</v>
      </c>
      <c r="AC199" s="24">
        <f t="shared" si="163"/>
        <v>4.118923575879931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projet'!$B$9,Paramètres!$A$1:$I$89,3,0)*VLOOKUP('Données projet'!$B$9,Paramètres!$A$1:$I$89,5,0)</f>
        <v>3.3992364478763198E-14</v>
      </c>
      <c r="P200" s="14">
        <f t="shared" si="203"/>
        <v>5.790027782444094E-13</v>
      </c>
      <c r="Q200" s="22">
        <f t="shared" si="162"/>
        <v>1.0676332069095257E-12</v>
      </c>
      <c r="R200" s="62">
        <f t="shared" si="191"/>
        <v>293.33333333333439</v>
      </c>
      <c r="S200" s="62">
        <f ca="1">AVERAGE(OFFSET($R$3,0,0,'Données projet'!$E$9+1,1))-AVERAGE(OFFSET($H$3,0,0,'Données projet'!$E$9+1,1))</f>
        <v>157.98488572680344</v>
      </c>
      <c r="T200" s="62">
        <f t="shared" si="204"/>
        <v>269.20989374735825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4.0052910560738377</v>
      </c>
      <c r="AA200" s="23">
        <f>EXP(-LN(2)/25)*AA199+(1-EXP(-LN(2)/25))/(LN(2)/25)*Calculateur!V200*Calculateur!X200*VLOOKUP('Données projet'!$B$9,Paramètres!$A$1:$I$89,3,0)*0.475*44/12</f>
        <v>3.2603639417345828E-2</v>
      </c>
      <c r="AB200" s="23">
        <f>EXP(-LN(2)/2)*AB199+(1-EXP(-LN(2)/2))/(LN(2)/2)*V200*Y200*VLOOKUP('Données projet'!$B$9,Paramètres!$A$1:$I$89,3,0)*0.475*44/12</f>
        <v>8.053547272948916E-23</v>
      </c>
      <c r="AC200" s="24">
        <f t="shared" si="163"/>
        <v>4.0378946954911834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projet'!$B$9,Paramètres!$A$1:$I$89,3,0)*VLOOKUP('Données projet'!$B$9,Paramètres!$A$1:$I$89,5,0)</f>
        <v>3.3992364478763198E-14</v>
      </c>
      <c r="P201" s="14">
        <f t="shared" si="203"/>
        <v>5.790027782444094E-13</v>
      </c>
      <c r="Q201" s="22">
        <f t="shared" si="162"/>
        <v>1.0676332069095257E-12</v>
      </c>
      <c r="R201" s="62">
        <f t="shared" si="191"/>
        <v>293.33333333333439</v>
      </c>
      <c r="S201" s="62">
        <f ca="1">AVERAGE(OFFSET($R$3,0,0,'Données projet'!$E$9+1,1))-AVERAGE(OFFSET($H$3,0,0,'Données projet'!$E$9+1,1))</f>
        <v>157.98488572680344</v>
      </c>
      <c r="T201" s="62">
        <f t="shared" si="204"/>
        <v>269.20989374735825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3.926749741450549</v>
      </c>
      <c r="AA201" s="23">
        <f>EXP(-LN(2)/25)*AA200+(1-EXP(-LN(2)/25))/(LN(2)/25)*Calculateur!V201*Calculateur!X201*VLOOKUP('Données projet'!$B$9,Paramètres!$A$1:$I$89,3,0)*0.475*44/12</f>
        <v>3.1712091182927629E-2</v>
      </c>
      <c r="AB201" s="23">
        <f>EXP(-LN(2)/2)*AB200+(1-EXP(-LN(2)/2))/(LN(2)/2)*V201*Y201*VLOOKUP('Données projet'!$B$9,Paramètres!$A$1:$I$89,3,0)*0.475*44/12</f>
        <v>5.6947178893086057E-23</v>
      </c>
      <c r="AC201" s="24">
        <f t="shared" si="163"/>
        <v>3.9584618326334766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projet'!$B$9,Paramètres!$A$1:$I$89,3,0)*VLOOKUP('Données projet'!$B$9,Paramètres!$A$1:$I$89,5,0)</f>
        <v>3.3992364478763198E-14</v>
      </c>
      <c r="P202" s="14">
        <f t="shared" si="203"/>
        <v>5.790027782444094E-13</v>
      </c>
      <c r="Q202" s="22">
        <f t="shared" si="162"/>
        <v>1.0676332069095257E-12</v>
      </c>
      <c r="R202" s="62">
        <f t="shared" si="191"/>
        <v>293.33333333333439</v>
      </c>
      <c r="S202" s="62">
        <f ca="1">AVERAGE(OFFSET($R$3,0,0,'Données projet'!$E$9+1,1))-AVERAGE(OFFSET($H$3,0,0,'Données projet'!$E$9+1,1))</f>
        <v>157.98488572680344</v>
      </c>
      <c r="T202" s="62">
        <f t="shared" si="204"/>
        <v>269.20989374735825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3.8497485741015516</v>
      </c>
      <c r="AA202" s="23">
        <f>EXP(-LN(2)/25)*AA201+(1-EXP(-LN(2)/25))/(LN(2)/25)*Calculateur!V202*Calculateur!X202*VLOOKUP('Données projet'!$B$9,Paramètres!$A$1:$I$89,3,0)*0.475*44/12</f>
        <v>3.0844922381864075E-2</v>
      </c>
      <c r="AB202" s="23">
        <f>EXP(-LN(2)/2)*AB201+(1-EXP(-LN(2)/2))/(LN(2)/2)*V202*Y202*VLOOKUP('Données projet'!$B$9,Paramètres!$A$1:$I$89,3,0)*0.475*44/12</f>
        <v>4.026773636474458E-23</v>
      </c>
      <c r="AC202" s="24">
        <f t="shared" si="163"/>
        <v>3.8805934964834154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projet'!$B$9,Paramètres!$A$1:$I$89,3,0)*VLOOKUP('Données projet'!$B$9,Paramètres!$A$1:$I$89,5,0)</f>
        <v>3.3992364478763198E-14</v>
      </c>
      <c r="P203" s="14">
        <f t="shared" si="203"/>
        <v>5.790027782444094E-13</v>
      </c>
      <c r="Q203" s="22">
        <f t="shared" si="162"/>
        <v>1.0676332069095257E-12</v>
      </c>
      <c r="R203" s="62">
        <f t="shared" si="191"/>
        <v>293.33333333333439</v>
      </c>
      <c r="S203" s="62">
        <f ca="1">AVERAGE(OFFSET($R$3,0,0,'Données projet'!$E$9+1,1))-AVERAGE(OFFSET($H$3,0,0,'Données projet'!$E$9+1,1))</f>
        <v>157.98488572680344</v>
      </c>
      <c r="T203" s="62">
        <f t="shared" si="204"/>
        <v>269.20989374735825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3.7742573526781933</v>
      </c>
      <c r="AA203" s="23">
        <f>EXP(-LN(2)/25)*AA202+(1-EXP(-LN(2)/25))/(LN(2)/25)*Calculateur!V203*Calculateur!X203*VLOOKUP('Données projet'!$B$9,Paramètres!$A$1:$I$89,3,0)*0.475*44/12</f>
        <v>3.0001466357268032E-2</v>
      </c>
      <c r="AB203" s="23">
        <f>EXP(-LN(2)/2)*AB202+(1-EXP(-LN(2)/2))/(LN(2)/2)*V203*Y203*VLOOKUP('Données projet'!$B$9,Paramètres!$A$1:$I$89,3,0)*0.475*44/12</f>
        <v>2.8473589446543029E-23</v>
      </c>
      <c r="AC203" s="24">
        <f t="shared" si="163"/>
        <v>3.8042588190354611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1.3939124009120489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4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5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4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6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6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5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4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5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5" sqref="G25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18" t="s">
        <v>191</v>
      </c>
      <c r="C2" s="319"/>
      <c r="D2" s="319"/>
      <c r="E2" s="319"/>
      <c r="F2" s="319"/>
      <c r="G2" s="32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17"/>
      <c r="C4" s="317"/>
      <c r="D4" s="317"/>
      <c r="E4" s="317"/>
      <c r="F4" s="317"/>
      <c r="G4" s="31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324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3" workbookViewId="0">
      <selection activeCell="J21" sqref="J21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18" t="s">
        <v>271</v>
      </c>
      <c r="B2" s="319"/>
      <c r="C2" s="319"/>
      <c r="D2" s="319"/>
      <c r="E2" s="319"/>
      <c r="F2" s="319"/>
      <c r="G2" s="319"/>
      <c r="H2" s="319"/>
      <c r="I2" s="319"/>
      <c r="J2" s="319"/>
      <c r="K2" s="319"/>
      <c r="L2" s="32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Pin maritime</v>
      </c>
      <c r="B6" s="155">
        <f>'Données projet'!D9</f>
        <v>2</v>
      </c>
      <c r="C6" s="156">
        <f ca="1">IF(OR('Données projet'!B9="",'Données projet'!C9="",'Données projet'!C9=0%),0,Calculateur!S3)</f>
        <v>157.98488572680344</v>
      </c>
      <c r="D6" s="156">
        <f>IF(OR('Données projet'!B9="",'Données projet'!C9="",'Données projet'!C9=0%),0,Calculateur!T3)</f>
        <v>269.20989374735825</v>
      </c>
      <c r="E6" s="156">
        <f ca="1">MIN(C6,D6)</f>
        <v>157.98488572680344</v>
      </c>
      <c r="F6" s="156">
        <f ca="1">E6*B6</f>
        <v>315.96977145360688</v>
      </c>
      <c r="G6" s="156">
        <f ca="1">F6*(100%-'Données projet'!$C$24)*(100%-'Données projet'!$C$25)*(100%-'Données projet'!$C$26)*(100%-'Données projet'!$C$27)</f>
        <v>241.71687516200927</v>
      </c>
      <c r="H6" s="157">
        <f>IF(OR('Données projet'!B9="",'Données projet'!C9="",'Données projet'!C9=0%),0,AVERAGE(Calculateur!$AC$3:$AC$33)*B6)</f>
        <v>16.374099352728159</v>
      </c>
      <c r="I6" s="158">
        <f>H6*(100%-'Données projet'!$C$24)*(100%-'Données projet'!$C$25)*(100%-'Données projet'!$C$26)*(100%-'Données projet'!$C$27)</f>
        <v>12.526186004837042</v>
      </c>
      <c r="J6" s="159">
        <f>IF(OR('Données projet'!B9="",'Données projet'!C9="",'Données projet'!C9=0%),0,SUM(Calculateur!$V$3:$V$33)*VLOOKUP('Données projet'!$B$9,Paramètres!$A$1:$I$89,9,0)*B6)</f>
        <v>128.62</v>
      </c>
      <c r="K6" s="160">
        <f>J6*(100%-'Données projet'!$C$24)*(100%-'Données projet'!$C$25)*(100%-'Données projet'!$C$26)*(100%-'Données projet'!$C$27)</f>
        <v>98.394300000000001</v>
      </c>
      <c r="L6" s="161">
        <f ca="1">G6+I6+K6</f>
        <v>352.63736116684629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315.96977145360688</v>
      </c>
      <c r="G16" s="175">
        <f t="shared" ca="1" si="3"/>
        <v>241.71687516200927</v>
      </c>
      <c r="H16" s="176">
        <f t="shared" si="3"/>
        <v>16.374099352728159</v>
      </c>
      <c r="I16" s="176">
        <f t="shared" si="3"/>
        <v>12.526186004837042</v>
      </c>
      <c r="J16" s="177">
        <f t="shared" si="3"/>
        <v>128.62</v>
      </c>
      <c r="K16" s="177">
        <f t="shared" si="3"/>
        <v>98.394300000000001</v>
      </c>
      <c r="L16" s="178">
        <f t="shared" ca="1" si="3"/>
        <v>352.63736116684629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A11" zoomScale="90" zoomScaleNormal="90" workbookViewId="0">
      <selection activeCell="I25" sqref="I25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18" t="s">
        <v>272</v>
      </c>
      <c r="C2" s="319"/>
      <c r="D2" s="319"/>
      <c r="E2" s="319"/>
      <c r="F2" s="319"/>
      <c r="G2" s="319"/>
      <c r="H2" s="319"/>
      <c r="I2" s="319"/>
      <c r="J2" s="319"/>
      <c r="K2" s="319"/>
      <c r="L2" s="319"/>
      <c r="M2" s="319"/>
      <c r="N2" s="319"/>
      <c r="O2" s="319"/>
      <c r="P2" s="32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27" t="s">
        <v>315</v>
      </c>
      <c r="I4" s="327"/>
      <c r="K4" s="324" t="s">
        <v>253</v>
      </c>
      <c r="L4" s="325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5" t="s">
        <v>310</v>
      </c>
      <c r="S7" s="336"/>
      <c r="T7" s="336"/>
      <c r="U7" s="336"/>
      <c r="V7" s="337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3649.4923141241525</v>
      </c>
      <c r="U10" s="190">
        <f>'Données projet'!D9</f>
        <v>2</v>
      </c>
      <c r="V10" s="189">
        <f>U10*T10</f>
        <v>7298.9846282483049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28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8"/>
      <c r="H16" s="203"/>
      <c r="I16" s="204"/>
      <c r="J16" s="216"/>
      <c r="K16" s="225"/>
      <c r="L16" s="324" t="s">
        <v>254</v>
      </c>
      <c r="M16" s="325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8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8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8"/>
      <c r="H19" s="232" t="s">
        <v>178</v>
      </c>
      <c r="I19" s="232" t="s">
        <v>287</v>
      </c>
      <c r="J19" s="260"/>
      <c r="K19" s="183"/>
      <c r="L19" s="324" t="s">
        <v>288</v>
      </c>
      <c r="M19" s="325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8"/>
      <c r="H20" s="203">
        <v>0</v>
      </c>
      <c r="I20" s="204">
        <v>1735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/>
      <c r="D21" s="211" t="s">
        <v>132</v>
      </c>
      <c r="E21" s="206"/>
      <c r="F21" s="261"/>
      <c r="H21" s="203">
        <v>1</v>
      </c>
      <c r="I21" s="204">
        <v>890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v>600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13</v>
      </c>
      <c r="B23" s="193">
        <f>'Données projet'!D36</f>
        <v>15</v>
      </c>
      <c r="C23" s="206">
        <v>10</v>
      </c>
      <c r="D23" s="194">
        <f>B23*C23</f>
        <v>150</v>
      </c>
      <c r="E23" s="206"/>
      <c r="F23" s="261"/>
      <c r="H23" s="203">
        <v>3</v>
      </c>
      <c r="I23" s="204">
        <v>600</v>
      </c>
      <c r="K23" s="225"/>
      <c r="L23" s="326" t="s">
        <v>260</v>
      </c>
      <c r="M23" s="326"/>
      <c r="N23" s="326"/>
      <c r="O23" s="25"/>
      <c r="P23" s="25"/>
      <c r="Q23" s="265"/>
      <c r="R23" s="25"/>
      <c r="S23" s="185" t="s">
        <v>264</v>
      </c>
      <c r="T23" s="34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-1067.9828808499824</v>
      </c>
      <c r="U23" s="340"/>
      <c r="V23" s="340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19</v>
      </c>
      <c r="B24" s="193">
        <f>'Données projet'!D37</f>
        <v>40</v>
      </c>
      <c r="C24" s="206">
        <v>15</v>
      </c>
      <c r="D24" s="194">
        <f t="shared" ref="D24:D42" si="2">B24*C24</f>
        <v>600</v>
      </c>
      <c r="E24" s="206"/>
      <c r="F24" s="264"/>
      <c r="H24" s="203">
        <v>5</v>
      </c>
      <c r="I24" s="204">
        <v>650</v>
      </c>
      <c r="K24" s="225"/>
      <c r="O24" s="25"/>
      <c r="P24" s="25"/>
      <c r="Q24" s="265"/>
      <c r="R24" s="25"/>
      <c r="S24" s="185" t="s">
        <v>261</v>
      </c>
      <c r="T24" s="34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1"/>
      <c r="V24" s="341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25</v>
      </c>
      <c r="B25" s="193">
        <f>'Données projet'!D38</f>
        <v>54</v>
      </c>
      <c r="C25" s="206">
        <v>25</v>
      </c>
      <c r="D25" s="194">
        <f t="shared" si="2"/>
        <v>1350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2">
        <f ca="1">T23-T24</f>
        <v>-1067.9828808499824</v>
      </c>
      <c r="U25" s="342"/>
      <c r="V25" s="342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30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9" t="s">
        <v>258</v>
      </c>
      <c r="M26" s="330"/>
      <c r="N26" s="330"/>
      <c r="O26" s="330"/>
      <c r="P26" s="331"/>
      <c r="Q26" s="265"/>
      <c r="R26" s="25"/>
      <c r="S26" s="198" t="s">
        <v>265</v>
      </c>
      <c r="T26" s="339" t="str">
        <f ca="1">IF(T25&lt;0,"Votre projet est additionnel","Votre projet n'est pas additionnel")</f>
        <v>Votre projet est additionnel</v>
      </c>
      <c r="U26" s="339"/>
      <c r="V26" s="339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38</v>
      </c>
      <c r="B27" s="193">
        <f>'Données projet'!D40</f>
        <v>338</v>
      </c>
      <c r="C27" s="206">
        <v>45</v>
      </c>
      <c r="D27" s="194">
        <f t="shared" si="2"/>
        <v>15210</v>
      </c>
      <c r="E27" s="206"/>
      <c r="F27" s="264"/>
      <c r="G27" s="259"/>
      <c r="H27" s="203"/>
      <c r="I27" s="204"/>
      <c r="K27" s="225"/>
      <c r="L27" s="332"/>
      <c r="M27" s="333"/>
      <c r="N27" s="333"/>
      <c r="O27" s="333"/>
      <c r="P27" s="334"/>
      <c r="Q27" s="265"/>
      <c r="R27" s="25"/>
      <c r="S27" s="338" t="s">
        <v>267</v>
      </c>
      <c r="T27" s="338"/>
      <c r="U27" s="338"/>
      <c r="V27" s="338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str">
        <f>IF(O71+1&lt;=MIN('Données projet'!$E$9:$E$18),O71+1,"STOP")</f>
        <v>STOP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Calculateur</vt:lpstr>
      <vt:lpstr>Paramètres</vt:lpstr>
      <vt:lpstr>Scénario référence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NEVEU Tancrede</cp:lastModifiedBy>
  <dcterms:created xsi:type="dcterms:W3CDTF">2021-02-01T08:22:39Z</dcterms:created>
  <dcterms:modified xsi:type="dcterms:W3CDTF">2024-11-26T14:25:50Z</dcterms:modified>
</cp:coreProperties>
</file>