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LAZENAY (18) - GASSIPARD Romain\Formulaire LBC\"/>
    </mc:Choice>
  </mc:AlternateContent>
  <xr:revisionPtr revIDLastSave="0" documentId="13_ncr:1_{5B0FE51A-61B3-4B87-9A0D-A755052DD73E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<sst xmlns="http://schemas.openxmlformats.org/spreadsheetml/2006/main" count="1170" uniqueCount="325">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</sst>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2.5983166838350953</c:v>
                </c:pt>
                <c:pt idx="2">
                  <c:v>3.2463174463232147</c:v>
                </c:pt>
                <c:pt idx="3">
                  <c:v>4.0565513374209239</c:v>
                </c:pt>
                <c:pt idx="4">
                  <c:v>5.0697828618695446</c:v>
                </c:pt>
                <c:pt idx="5">
                  <c:v>6.3370542463297648</c:v>
                </c:pt>
                <c:pt idx="6">
                  <c:v>7.9222848506989054</c:v>
                </c:pt>
                <c:pt idx="7">
                  <c:v>9.9055299174053317</c:v>
                </c:pt>
                <c:pt idx="8">
                  <c:v>12.387066341894517</c:v>
                </c:pt>
                <c:pt idx="9">
                  <c:v>15.492515895586982</c:v>
                </c:pt>
                <c:pt idx="10">
                  <c:v>19.379270002357259</c:v>
                </c:pt>
                <c:pt idx="11">
                  <c:v>24.244547556933963</c:v>
                </c:pt>
                <c:pt idx="12">
                  <c:v>30.335501891424943</c:v>
                </c:pt>
                <c:pt idx="13">
                  <c:v>37.961899258450863</c:v>
                </c:pt>
                <c:pt idx="14">
                  <c:v>47.512024652827165</c:v>
                </c:pt>
                <c:pt idx="15">
                  <c:v>59.472638408851729</c:v>
                </c:pt>
                <c:pt idx="16">
                  <c:v>51.14604758586254</c:v>
                </c:pt>
                <c:pt idx="17">
                  <c:v>59.111281132030484</c:v>
                </c:pt>
                <c:pt idx="18">
                  <c:v>67.048481362777309</c:v>
                </c:pt>
                <c:pt idx="19">
                  <c:v>74.961445431691871</c:v>
                </c:pt>
                <c:pt idx="20">
                  <c:v>82.85309935773347</c:v>
                </c:pt>
                <c:pt idx="21">
                  <c:v>76.756782812610453</c:v>
                </c:pt>
                <c:pt idx="22">
                  <c:v>85.001986825858381</c:v>
                </c:pt>
                <c:pt idx="23">
                  <c:v>93.227035453839406</c:v>
                </c:pt>
                <c:pt idx="24">
                  <c:v>101.43396134832467</c:v>
                </c:pt>
                <c:pt idx="25">
                  <c:v>109.62444036403467</c:v>
                </c:pt>
                <c:pt idx="26">
                  <c:v>102.14680795061109</c:v>
                </c:pt>
                <c:pt idx="27">
                  <c:v>110.69162732463077</c:v>
                </c:pt>
                <c:pt idx="28">
                  <c:v>119.22024730063917</c:v>
                </c:pt>
                <c:pt idx="29">
                  <c:v>127.73399203044187</c:v>
                </c:pt>
                <c:pt idx="30">
                  <c:v>136.23399433545887</c:v>
                </c:pt>
                <c:pt idx="31">
                  <c:v>127.02505270872973</c:v>
                </c:pt>
                <c:pt idx="32">
                  <c:v>135.52616089797618</c:v>
                </c:pt>
                <c:pt idx="33">
                  <c:v>144.01442975042448</c:v>
                </c:pt>
                <c:pt idx="34">
                  <c:v>152.4907238380421</c:v>
                </c:pt>
                <c:pt idx="35">
                  <c:v>160.95580359158959</c:v>
                </c:pt>
                <c:pt idx="36">
                  <c:v>151.78480419557519</c:v>
                </c:pt>
                <c:pt idx="37">
                  <c:v>160.25079164727723</c:v>
                </c:pt>
                <c:pt idx="38">
                  <c:v>168.70618534384241</c:v>
                </c:pt>
                <c:pt idx="39">
                  <c:v>177.15159182297262</c:v>
                </c:pt>
                <c:pt idx="40">
                  <c:v>185.58755497750232</c:v>
                </c:pt>
                <c:pt idx="41">
                  <c:v>174.68934684982239</c:v>
                </c:pt>
                <c:pt idx="42">
                  <c:v>183.12801142826854</c:v>
                </c:pt>
                <c:pt idx="43">
                  <c:v>191.55758507110059</c:v>
                </c:pt>
                <c:pt idx="44">
                  <c:v>199.97852475003637</c:v>
                </c:pt>
                <c:pt idx="45">
                  <c:v>208.39124575488822</c:v>
                </c:pt>
                <c:pt idx="46">
                  <c:v>197.1724777566096</c:v>
                </c:pt>
                <c:pt idx="47">
                  <c:v>205.23741371043863</c:v>
                </c:pt>
                <c:pt idx="48">
                  <c:v>213.29502298328634</c:v>
                </c:pt>
                <c:pt idx="49">
                  <c:v>221.34562173829309</c:v>
                </c:pt>
                <c:pt idx="50">
                  <c:v>229.38950123185126</c:v>
                </c:pt>
                <c:pt idx="51">
                  <c:v>217.84620360621361</c:v>
                </c:pt>
                <c:pt idx="52">
                  <c:v>225.54324923059607</c:v>
                </c:pt>
                <c:pt idx="53">
                  <c:v>233.23427816301714</c:v>
                </c:pt>
                <c:pt idx="54">
                  <c:v>240.91951704181267</c:v>
                </c:pt>
                <c:pt idx="55">
                  <c:v>248.59917684690126</c:v>
                </c:pt>
                <c:pt idx="56">
                  <c:v>236.7282733117103</c:v>
                </c:pt>
                <c:pt idx="57">
                  <c:v>244.06185890372947</c:v>
                </c:pt>
                <c:pt idx="58">
                  <c:v>251.39043603631282</c:v>
                </c:pt>
                <c:pt idx="59">
                  <c:v>258.71417149720054</c:v>
                </c:pt>
                <c:pt idx="60">
                  <c:v>266.03322184840977</c:v>
                </c:pt>
                <c:pt idx="61">
                  <c:v>253.83221122068196</c:v>
                </c:pt>
                <c:pt idx="62">
                  <c:v>260.80580020638376</c:v>
                </c:pt>
                <c:pt idx="63">
                  <c:v>267.77517870928608</c:v>
                </c:pt>
                <c:pt idx="64">
                  <c:v>274.74047191396761</c:v>
                </c:pt>
                <c:pt idx="65">
                  <c:v>281.70179813149127</c:v>
                </c:pt>
                <c:pt idx="66">
                  <c:v>269.51688027254551</c:v>
                </c:pt>
                <c:pt idx="67">
                  <c:v>276.48117089491979</c:v>
                </c:pt>
                <c:pt idx="68">
                  <c:v>283.44152309866411</c:v>
                </c:pt>
                <c:pt idx="69">
                  <c:v>290.39804735815125</c:v>
                </c:pt>
                <c:pt idx="70">
                  <c:v>297.35084841658903</c:v>
                </c:pt>
                <c:pt idx="71">
                  <c:v>284.48524314677434</c:v>
                </c:pt>
                <c:pt idx="72">
                  <c:v>290.74577498968858</c:v>
                </c:pt>
                <c:pt idx="73">
                  <c:v>297.00329523405804</c:v>
                </c:pt>
                <c:pt idx="74">
                  <c:v>303.25787636453441</c:v>
                </c:pt>
                <c:pt idx="75">
                  <c:v>309.50958762804504</c:v>
                </c:pt>
                <c:pt idx="76">
                  <c:v>296.65573298101737</c:v>
                </c:pt>
                <c:pt idx="77">
                  <c:v>302.91047555001904</c:v>
                </c:pt>
                <c:pt idx="78">
                  <c:v>309.16234448631582</c:v>
                </c:pt>
                <c:pt idx="79">
                  <c:v>315.41140617079759</c:v>
                </c:pt>
                <c:pt idx="80">
                  <c:v>321.65772413618157</c:v>
                </c:pt>
                <c:pt idx="81">
                  <c:v>308.46783220083063</c:v>
                </c:pt>
                <c:pt idx="82">
                  <c:v>314.37008810789513</c:v>
                </c:pt>
                <c:pt idx="83">
                  <c:v>320.26988743158756</c:v>
                </c:pt>
                <c:pt idx="84">
                  <c:v>326.16728186715699</c:v>
                </c:pt>
                <c:pt idx="85">
                  <c:v>332.06232108561693</c:v>
                </c:pt>
                <c:pt idx="86">
                  <c:v>319.92290747907674</c:v>
                </c:pt>
                <c:pt idx="87">
                  <c:v>325.12673773238447</c:v>
                </c:pt>
                <c:pt idx="88">
                  <c:v>330.32872765301551</c:v>
                </c:pt>
                <c:pt idx="89">
                  <c:v>335.52891035063578</c:v>
                </c:pt>
                <c:pt idx="90">
                  <c:v>340.7273178235244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3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3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3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3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3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3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3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3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3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3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3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3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3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3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3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3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3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3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D17" sqref="D1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6" t="s">
        <v>231</v>
      </c>
      <c r="B5" s="306"/>
      <c r="C5" s="26">
        <v>10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5</v>
      </c>
      <c r="C9" s="35">
        <v>0.2</v>
      </c>
      <c r="D9" s="36">
        <f t="shared" ref="D9:D18" si="0">C9*$C$5</f>
        <v>2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324</v>
      </c>
      <c r="C10" s="35">
        <v>0.8</v>
      </c>
      <c r="D10" s="36">
        <f t="shared" si="0"/>
        <v>8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10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Bouleau verruqueux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63">
        <v>32</v>
      </c>
      <c r="C36" s="63">
        <v>1</v>
      </c>
      <c r="D36" s="63">
        <v>9</v>
      </c>
      <c r="E36" s="54"/>
      <c r="F36" s="54"/>
      <c r="G36" s="54">
        <v>1</v>
      </c>
      <c r="H36" s="54"/>
      <c r="I36" s="52">
        <f>IFERROR(B36/A36,"")</f>
        <v>2.1333333333333333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3">
        <v>45</v>
      </c>
      <c r="C37" s="63">
        <v>2</v>
      </c>
      <c r="D37" s="63">
        <v>8</v>
      </c>
      <c r="E37" s="54"/>
      <c r="F37" s="54">
        <v>0.2</v>
      </c>
      <c r="G37" s="54">
        <v>0.8</v>
      </c>
      <c r="H37" s="54"/>
      <c r="I37" s="56">
        <f t="shared" ref="I37:I55" si="1">IF(A37&lt;&gt;0,(B37-(B36-D36))/(A37-A36),"")</f>
        <v>4.4000000000000004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60</v>
      </c>
      <c r="C38" s="63">
        <v>3</v>
      </c>
      <c r="D38" s="63">
        <v>9</v>
      </c>
      <c r="E38" s="54"/>
      <c r="F38" s="54">
        <v>0.4</v>
      </c>
      <c r="G38" s="54">
        <v>0.6</v>
      </c>
      <c r="H38" s="54"/>
      <c r="I38" s="56">
        <f t="shared" si="1"/>
        <v>4.5999999999999996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75</v>
      </c>
      <c r="C39" s="63">
        <v>4</v>
      </c>
      <c r="D39" s="63">
        <v>10</v>
      </c>
      <c r="E39" s="54">
        <v>0.2</v>
      </c>
      <c r="F39" s="54">
        <v>0.2</v>
      </c>
      <c r="G39" s="54">
        <v>0.6</v>
      </c>
      <c r="H39" s="54"/>
      <c r="I39" s="52">
        <f t="shared" si="1"/>
        <v>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63">
        <v>89</v>
      </c>
      <c r="C40" s="63">
        <v>5</v>
      </c>
      <c r="D40" s="63">
        <v>10</v>
      </c>
      <c r="E40" s="54"/>
      <c r="F40" s="54"/>
      <c r="G40" s="54"/>
      <c r="H40" s="54"/>
      <c r="I40" s="52">
        <f t="shared" si="1"/>
        <v>4.8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63">
        <v>103</v>
      </c>
      <c r="C41" s="63">
        <v>6</v>
      </c>
      <c r="D41" s="63">
        <v>11</v>
      </c>
      <c r="E41" s="54"/>
      <c r="F41" s="54"/>
      <c r="G41" s="54"/>
      <c r="H41" s="54"/>
      <c r="I41" s="56">
        <f t="shared" si="1"/>
        <v>4.8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45</v>
      </c>
      <c r="B42" s="63">
        <v>116</v>
      </c>
      <c r="C42" s="63">
        <v>7</v>
      </c>
      <c r="D42" s="63">
        <v>11</v>
      </c>
      <c r="E42" s="54"/>
      <c r="F42" s="54"/>
      <c r="G42" s="54"/>
      <c r="H42" s="54"/>
      <c r="I42" s="56">
        <f t="shared" si="1"/>
        <v>4.8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50</v>
      </c>
      <c r="B43" s="63">
        <v>128</v>
      </c>
      <c r="C43" s="63">
        <v>8</v>
      </c>
      <c r="D43" s="63">
        <v>11</v>
      </c>
      <c r="E43" s="54"/>
      <c r="F43" s="54"/>
      <c r="G43" s="54"/>
      <c r="H43" s="54"/>
      <c r="I43" s="52">
        <f t="shared" si="1"/>
        <v>4.5999999999999996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55</v>
      </c>
      <c r="B44" s="63">
        <v>139</v>
      </c>
      <c r="C44" s="63">
        <v>9</v>
      </c>
      <c r="D44" s="63">
        <v>11</v>
      </c>
      <c r="E44" s="54"/>
      <c r="F44" s="54"/>
      <c r="G44" s="54"/>
      <c r="H44" s="54"/>
      <c r="I44" s="52">
        <f t="shared" si="1"/>
        <v>4.4000000000000004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60</v>
      </c>
      <c r="B45" s="63">
        <v>149</v>
      </c>
      <c r="C45" s="63">
        <v>10</v>
      </c>
      <c r="D45" s="63">
        <v>11</v>
      </c>
      <c r="E45" s="54"/>
      <c r="F45" s="54"/>
      <c r="G45" s="54"/>
      <c r="H45" s="54"/>
      <c r="I45" s="52">
        <f t="shared" si="1"/>
        <v>4.2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65</v>
      </c>
      <c r="B46" s="63">
        <v>158</v>
      </c>
      <c r="C46" s="63">
        <v>11</v>
      </c>
      <c r="D46" s="63">
        <v>11</v>
      </c>
      <c r="E46" s="54"/>
      <c r="F46" s="54"/>
      <c r="G46" s="54"/>
      <c r="H46" s="54"/>
      <c r="I46" s="52">
        <f t="shared" si="1"/>
        <v>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70</v>
      </c>
      <c r="B47" s="63">
        <v>167</v>
      </c>
      <c r="C47" s="63">
        <v>12</v>
      </c>
      <c r="D47" s="63">
        <v>11</v>
      </c>
      <c r="E47" s="54"/>
      <c r="F47" s="54"/>
      <c r="G47" s="54"/>
      <c r="H47" s="54"/>
      <c r="I47" s="52">
        <f t="shared" si="1"/>
        <v>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75</v>
      </c>
      <c r="B48" s="63">
        <v>174</v>
      </c>
      <c r="C48" s="63">
        <v>13</v>
      </c>
      <c r="D48" s="63">
        <v>11</v>
      </c>
      <c r="E48" s="54"/>
      <c r="F48" s="54"/>
      <c r="G48" s="54"/>
      <c r="H48" s="54"/>
      <c r="I48" s="52">
        <f t="shared" si="1"/>
        <v>3.6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80</v>
      </c>
      <c r="B49" s="63">
        <v>181</v>
      </c>
      <c r="C49" s="63">
        <v>14</v>
      </c>
      <c r="D49" s="63">
        <v>11</v>
      </c>
      <c r="E49" s="54"/>
      <c r="F49" s="54"/>
      <c r="G49" s="54"/>
      <c r="H49" s="54"/>
      <c r="I49" s="52">
        <f t="shared" si="1"/>
        <v>3.6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85</v>
      </c>
      <c r="B50" s="63">
        <v>187</v>
      </c>
      <c r="C50" s="63">
        <v>15</v>
      </c>
      <c r="D50" s="53">
        <v>10</v>
      </c>
      <c r="E50" s="54"/>
      <c r="F50" s="54"/>
      <c r="G50" s="54"/>
      <c r="H50" s="54"/>
      <c r="I50" s="52">
        <f t="shared" si="1"/>
        <v>3.4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90</v>
      </c>
      <c r="B51" s="53">
        <v>192</v>
      </c>
      <c r="C51" s="63">
        <v>16</v>
      </c>
      <c r="D51" s="53">
        <v>192</v>
      </c>
      <c r="E51" s="54"/>
      <c r="F51" s="54"/>
      <c r="G51" s="54"/>
      <c r="H51" s="54"/>
      <c r="I51" s="52">
        <f t="shared" si="1"/>
        <v>3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293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237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6" sqref="C2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Bouleau verruqueux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pin maritime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/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214.30779675250909</v>
      </c>
      <c r="T3" s="62">
        <f>IF('Données projet'!E9&gt;30,$R$33-$H$33,LOOKUP('Données projet'!$E$9,$A$3:$A$203,R3:R203)-LOOKUP('Données projet'!$E$9,$A$3:$A$203,$H$3:$H$203))</f>
        <v>172.9006610021255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206.5885410269899</v>
      </c>
      <c r="AO3" s="62">
        <f>IF('Données projet'!E10&gt;30,$AM$33-$H$33,LOOKUP('Données projet'!$E$10,$A$3:$A$203,AM3:AM203)-LOOKUP('Données projet'!$E$10,$A$3:$A$203,$H$3:$H$203))</f>
        <v>347.41156847586302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2.1333333333333333</v>
      </c>
      <c r="N4" s="14">
        <f>IF('Données projet'!$A$36&gt;35,N3+M4-V3,IF(A4&lt;'Données projet'!$A$36,$K$205^A4,IF(A4='Données projet'!$A$36,'Données projet'!$B$36,N3+M4-V3)))</f>
        <v>1.2599210498948732</v>
      </c>
      <c r="O4" s="14">
        <f>N4*VLOOKUP('Données projet'!$B$9,Paramètres!$A$1:$I$89,3,0)*VLOOKUP('Données projet'!$B$9,Paramètres!$A$1:$I$89,5,0)</f>
        <v>1.0220479556747213</v>
      </c>
      <c r="P4" s="14">
        <f>EXP(-1.0587+0.8836*LN(O4)+0.284)</f>
        <v>0.4698085135128936</v>
      </c>
      <c r="Q4" s="22">
        <f t="shared" ref="Q4:Q34" si="2">(O4+P4)*0.475*44/12</f>
        <v>2.5983166838350953</v>
      </c>
      <c r="R4" s="62">
        <f t="shared" si="0"/>
        <v>260.48720557272395</v>
      </c>
      <c r="S4" s="62">
        <f ca="1">AVERAGE(OFFSET($R$3,0,0,'Données projet'!$E$9+1,1))-AVERAGE(OFFSET($H$3,0,0,'Données projet'!$E$9+1,1))</f>
        <v>214.30779675250909</v>
      </c>
      <c r="T4" s="62">
        <f>$T$3</f>
        <v>172.9006610021255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260.02404319784944</v>
      </c>
      <c r="AN4" s="62">
        <f ca="1">AVERAGE(OFFSET($AM$3,0,0,'Données projet'!$E$10+1,1))-AVERAGE(OFFSET($H$3,0,0,'Données projet'!$E$10+1,1))</f>
        <v>206.5885410269899</v>
      </c>
      <c r="AO4" s="62">
        <f>$AO$3</f>
        <v>347.41156847586302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2.1333333333333333</v>
      </c>
      <c r="N5" s="14">
        <f>IF('Données projet'!$A$36&gt;35,N4+M5-V4,IF(A5&lt;'Données projet'!$A$36,$K$205^A5,IF(A5='Données projet'!$A$36,'Données projet'!$B$36,N4+M5-V4)))</f>
        <v>1.5874010519681996</v>
      </c>
      <c r="O5" s="14">
        <f>N5*VLOOKUP('Données projet'!$B$9,Paramètres!$A$1:$I$89,3,0)*VLOOKUP('Données projet'!$B$9,Paramètres!$A$1:$I$89,5,0)</f>
        <v>1.2876997333566036</v>
      </c>
      <c r="P5" s="14">
        <f t="shared" ref="P5:P68" si="33">EXP(-1.0587+0.8836*LN(O5)+0.284)</f>
        <v>0.57621458989117558</v>
      </c>
      <c r="Q5" s="22">
        <f t="shared" si="2"/>
        <v>3.2463174463232147</v>
      </c>
      <c r="R5" s="62">
        <f t="shared" si="0"/>
        <v>262.35742855743433</v>
      </c>
      <c r="S5" s="62">
        <f ca="1">AVERAGE(OFFSET($R$3,0,0,'Données projet'!$E$9+1,1))-AVERAGE(OFFSET($H$3,0,0,'Données projet'!$E$9+1,1))</f>
        <v>214.30779675250909</v>
      </c>
      <c r="T5" s="62">
        <f t="shared" ref="T5:T68" si="34">$T$3</f>
        <v>172.9006610021255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262.0512076998549</v>
      </c>
      <c r="AN5" s="62">
        <f ca="1">AVERAGE(OFFSET($AM$3,0,0,'Données projet'!$E$10+1,1))-AVERAGE(OFFSET($H$3,0,0,'Données projet'!$E$10+1,1))</f>
        <v>206.5885410269899</v>
      </c>
      <c r="AO5" s="62">
        <f t="shared" ref="AO5:AO68" si="36">$AO$3</f>
        <v>347.41156847586302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2.1333333333333333</v>
      </c>
      <c r="N6" s="14">
        <f>IF('Données projet'!$A$36&gt;35,N5+M6-V5,IF(A6&lt;'Données projet'!$A$36,$K$205^A6,IF(A6='Données projet'!$A$36,'Données projet'!$B$36,N5+M6-V5)))</f>
        <v>2</v>
      </c>
      <c r="O6" s="14">
        <f>N6*VLOOKUP('Données projet'!$B$9,Paramètres!$A$1:$I$89,3,0)*VLOOKUP('Données projet'!$B$9,Paramètres!$A$1:$I$89,5,0)</f>
        <v>1.6224000000000001</v>
      </c>
      <c r="P6" s="14">
        <f t="shared" si="33"/>
        <v>0.70672038512206192</v>
      </c>
      <c r="Q6" s="22">
        <f t="shared" si="2"/>
        <v>4.0565513374209239</v>
      </c>
      <c r="R6" s="62">
        <f t="shared" si="0"/>
        <v>264.38988467075421</v>
      </c>
      <c r="S6" s="62">
        <f ca="1">AVERAGE(OFFSET($R$3,0,0,'Données projet'!$E$9+1,1))-AVERAGE(OFFSET($H$3,0,0,'Données projet'!$E$9+1,1))</f>
        <v>214.30779675250909</v>
      </c>
      <c r="T6" s="62">
        <f t="shared" si="34"/>
        <v>172.9006610021255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264.38312954955643</v>
      </c>
      <c r="AN6" s="62">
        <f ca="1">AVERAGE(OFFSET($AM$3,0,0,'Données projet'!$E$10+1,1))-AVERAGE(OFFSET($H$3,0,0,'Données projet'!$E$10+1,1))</f>
        <v>206.5885410269899</v>
      </c>
      <c r="AO6" s="62">
        <f t="shared" si="36"/>
        <v>347.41156847586302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2.1333333333333333</v>
      </c>
      <c r="N7" s="14">
        <f>IF('Données projet'!$A$36&gt;35,N6+M7-V6,IF(A7&lt;'Données projet'!$A$36,$K$205^A7,IF(A7='Données projet'!$A$36,'Données projet'!$B$36,N6+M7-V6)))</f>
        <v>2.5198420997897468</v>
      </c>
      <c r="O7" s="14">
        <f>N7*VLOOKUP('Données projet'!$B$9,Paramètres!$A$1:$I$89,3,0)*VLOOKUP('Données projet'!$B$9,Paramètres!$A$1:$I$89,5,0)</f>
        <v>2.0440959113494426</v>
      </c>
      <c r="P7" s="14">
        <f t="shared" si="33"/>
        <v>0.86678420072876483</v>
      </c>
      <c r="Q7" s="22">
        <f t="shared" si="2"/>
        <v>5.0697828618695446</v>
      </c>
      <c r="R7" s="62">
        <f t="shared" si="0"/>
        <v>266.6253384174251</v>
      </c>
      <c r="S7" s="62">
        <f ca="1">AVERAGE(OFFSET($R$3,0,0,'Données projet'!$E$9+1,1))-AVERAGE(OFFSET($H$3,0,0,'Données projet'!$E$9+1,1))</f>
        <v>214.30779675250909</v>
      </c>
      <c r="T7" s="62">
        <f t="shared" si="34"/>
        <v>172.9006610021255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267.13565485757238</v>
      </c>
      <c r="AN7" s="62">
        <f ca="1">AVERAGE(OFFSET($AM$3,0,0,'Données projet'!$E$10+1,1))-AVERAGE(OFFSET($H$3,0,0,'Données projet'!$E$10+1,1))</f>
        <v>206.5885410269899</v>
      </c>
      <c r="AO7" s="62">
        <f t="shared" si="36"/>
        <v>347.41156847586302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2.1333333333333333</v>
      </c>
      <c r="N8" s="14">
        <f>IF('Données projet'!$A$36&gt;35,N7+M8-V7,IF(A8&lt;'Données projet'!$A$36,$K$205^A8,IF(A8='Données projet'!$A$36,'Données projet'!$B$36,N7+M8-V7)))</f>
        <v>3.1748021039363996</v>
      </c>
      <c r="O8" s="14">
        <f>N8*VLOOKUP('Données projet'!$B$9,Paramètres!$A$1:$I$89,3,0)*VLOOKUP('Données projet'!$B$9,Paramètres!$A$1:$I$89,5,0)</f>
        <v>2.5753994667132076</v>
      </c>
      <c r="P8" s="14">
        <f t="shared" si="33"/>
        <v>1.0631005790263708</v>
      </c>
      <c r="Q8" s="22">
        <f t="shared" si="2"/>
        <v>6.3370542463297648</v>
      </c>
      <c r="R8" s="62">
        <f t="shared" si="0"/>
        <v>269.11483202410756</v>
      </c>
      <c r="S8" s="62">
        <f ca="1">AVERAGE(OFFSET($R$3,0,0,'Données projet'!$E$9+1,1))-AVERAGE(OFFSET($H$3,0,0,'Données projet'!$E$9+1,1))</f>
        <v>214.30779675250909</v>
      </c>
      <c r="T8" s="62">
        <f t="shared" si="34"/>
        <v>172.9006610021255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270.46882998305745</v>
      </c>
      <c r="AN8" s="62">
        <f ca="1">AVERAGE(OFFSET($AM$3,0,0,'Données projet'!$E$10+1,1))-AVERAGE(OFFSET($H$3,0,0,'Données projet'!$E$10+1,1))</f>
        <v>206.5885410269899</v>
      </c>
      <c r="AO8" s="62">
        <f t="shared" si="36"/>
        <v>347.41156847586302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2.1333333333333333</v>
      </c>
      <c r="N9" s="14">
        <f>IF('Données projet'!$A$36&gt;35,N8+M9-V8,IF(A9&lt;'Données projet'!$A$36,$K$205^A9,IF(A9='Données projet'!$A$36,'Données projet'!$B$36,N8+M9-V8)))</f>
        <v>4.0000000000000009</v>
      </c>
      <c r="O9" s="14">
        <f>N9*VLOOKUP('Données projet'!$B$9,Paramètres!$A$1:$I$89,3,0)*VLOOKUP('Données projet'!$B$9,Paramètres!$A$1:$I$89,5,0)</f>
        <v>3.244800000000001</v>
      </c>
      <c r="P9" s="14">
        <f t="shared" si="33"/>
        <v>1.3038802970520027</v>
      </c>
      <c r="Q9" s="22">
        <f t="shared" si="2"/>
        <v>7.9222848506989054</v>
      </c>
      <c r="R9" s="62">
        <f t="shared" si="0"/>
        <v>271.92228485069893</v>
      </c>
      <c r="S9" s="62">
        <f ca="1">AVERAGE(OFFSET($R$3,0,0,'Données projet'!$E$9+1,1))-AVERAGE(OFFSET($H$3,0,0,'Données projet'!$E$9+1,1))</f>
        <v>214.30779675250909</v>
      </c>
      <c r="T9" s="62">
        <f t="shared" si="34"/>
        <v>172.9006610021255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274.60382383831177</v>
      </c>
      <c r="AN9" s="62">
        <f ca="1">AVERAGE(OFFSET($AM$3,0,0,'Données projet'!$E$10+1,1))-AVERAGE(OFFSET($H$3,0,0,'Données projet'!$E$10+1,1))</f>
        <v>206.5885410269899</v>
      </c>
      <c r="AO9" s="62">
        <f t="shared" si="36"/>
        <v>347.41156847586302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2.1333333333333333</v>
      </c>
      <c r="N10" s="14">
        <f>IF('Données projet'!$A$36&gt;35,N9+M10-V9,IF(A10&lt;'Données projet'!$A$36,$K$205^A10,IF(A10='Données projet'!$A$36,'Données projet'!$B$36,N9+M10-V9)))</f>
        <v>5.0396841995794937</v>
      </c>
      <c r="O10" s="14">
        <f>N10*VLOOKUP('Données projet'!$B$9,Paramètres!$A$1:$I$89,3,0)*VLOOKUP('Données projet'!$B$9,Paramètres!$A$1:$I$89,5,0)</f>
        <v>4.0881918226988851</v>
      </c>
      <c r="P10" s="14">
        <f t="shared" si="33"/>
        <v>1.5991937758113535</v>
      </c>
      <c r="Q10" s="22">
        <f t="shared" si="2"/>
        <v>9.9055299174053317</v>
      </c>
      <c r="R10" s="62">
        <f t="shared" si="0"/>
        <v>275.12775213962755</v>
      </c>
      <c r="S10" s="62">
        <f ca="1">AVERAGE(OFFSET($R$3,0,0,'Données projet'!$E$9+1,1))-AVERAGE(OFFSET($H$3,0,0,'Données projet'!$E$9+1,1))</f>
        <v>214.30779675250909</v>
      </c>
      <c r="T10" s="62">
        <f t="shared" si="34"/>
        <v>172.9006610021255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279.84634941832229</v>
      </c>
      <c r="AN10" s="62">
        <f ca="1">AVERAGE(OFFSET($AM$3,0,0,'Données projet'!$E$10+1,1))-AVERAGE(OFFSET($H$3,0,0,'Données projet'!$E$10+1,1))</f>
        <v>206.5885410269899</v>
      </c>
      <c r="AO10" s="62">
        <f t="shared" si="36"/>
        <v>347.41156847586302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2.1333333333333333</v>
      </c>
      <c r="N11" s="14">
        <f>IF('Données projet'!$A$36&gt;35,N10+M11-V10,IF(A11&lt;'Données projet'!$A$36,$K$205^A11,IF(A11='Données projet'!$A$36,'Données projet'!$B$36,N10+M11-V10)))</f>
        <v>6.3496042078728001</v>
      </c>
      <c r="O11" s="14">
        <f>N11*VLOOKUP('Données projet'!$B$9,Paramètres!$A$1:$I$89,3,0)*VLOOKUP('Données projet'!$B$9,Paramètres!$A$1:$I$89,5,0)</f>
        <v>5.1507989334264161</v>
      </c>
      <c r="P11" s="14">
        <f t="shared" si="33"/>
        <v>1.9613922676613451</v>
      </c>
      <c r="Q11" s="22">
        <f t="shared" si="2"/>
        <v>12.387066341894517</v>
      </c>
      <c r="R11" s="62">
        <f t="shared" si="0"/>
        <v>278.83151078633898</v>
      </c>
      <c r="S11" s="62">
        <f ca="1">AVERAGE(OFFSET($R$3,0,0,'Données projet'!$E$9+1,1))-AVERAGE(OFFSET($H$3,0,0,'Données projet'!$E$9+1,1))</f>
        <v>214.30779675250909</v>
      </c>
      <c r="T11" s="62">
        <f t="shared" si="34"/>
        <v>172.9006610021255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286.61908783330978</v>
      </c>
      <c r="AN11" s="62">
        <f ca="1">AVERAGE(OFFSET($AM$3,0,0,'Données projet'!$E$10+1,1))-AVERAGE(OFFSET($H$3,0,0,'Données projet'!$E$10+1,1))</f>
        <v>206.5885410269899</v>
      </c>
      <c r="AO11" s="62">
        <f t="shared" si="36"/>
        <v>347.41156847586302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2.1333333333333333</v>
      </c>
      <c r="N12" s="14">
        <f>IF('Données projet'!$A$36&gt;35,N11+M12-V11,IF(A12&lt;'Données projet'!$A$36,$K$205^A12,IF(A12='Données projet'!$A$36,'Données projet'!$B$36,N11+M12-V11)))</f>
        <v>8.0000000000000036</v>
      </c>
      <c r="O12" s="14">
        <f>N12*VLOOKUP('Données projet'!$B$9,Paramètres!$A$1:$I$89,3,0)*VLOOKUP('Données projet'!$B$9,Paramètres!$A$1:$I$89,5,0)</f>
        <v>6.4896000000000029</v>
      </c>
      <c r="P12" s="14">
        <f t="shared" si="33"/>
        <v>2.4056244376575937</v>
      </c>
      <c r="Q12" s="22">
        <f t="shared" si="2"/>
        <v>15.492515895586982</v>
      </c>
      <c r="R12" s="62">
        <f t="shared" si="0"/>
        <v>283.15918256225365</v>
      </c>
      <c r="S12" s="62">
        <f ca="1">AVERAGE(OFFSET($R$3,0,0,'Données projet'!$E$9+1,1))-AVERAGE(OFFSET($H$3,0,0,'Données projet'!$E$9+1,1))</f>
        <v>214.30779675250909</v>
      </c>
      <c r="T12" s="62">
        <f t="shared" si="34"/>
        <v>172.9006610021255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295.50658480661582</v>
      </c>
      <c r="AN12" s="62">
        <f ca="1">AVERAGE(OFFSET($AM$3,0,0,'Données projet'!$E$10+1,1))-AVERAGE(OFFSET($H$3,0,0,'Données projet'!$E$10+1,1))</f>
        <v>206.5885410269899</v>
      </c>
      <c r="AO12" s="62">
        <f t="shared" si="36"/>
        <v>347.41156847586302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2.1333333333333333</v>
      </c>
      <c r="N13" s="14">
        <f>IF('Données projet'!$A$36&gt;35,N12+M13-V12,IF(A13&lt;'Données projet'!$A$36,$K$205^A13,IF(A13='Données projet'!$A$36,'Données projet'!$B$36,N12+M13-V12)))</f>
        <v>10.079368399158989</v>
      </c>
      <c r="O13" s="14">
        <f>N13*VLOOKUP('Données projet'!$B$9,Paramètres!$A$1:$I$89,3,0)*VLOOKUP('Données projet'!$B$9,Paramètres!$A$1:$I$89,5,0)</f>
        <v>8.1763836453977721</v>
      </c>
      <c r="P13" s="14">
        <f t="shared" si="33"/>
        <v>2.9504699444724252</v>
      </c>
      <c r="Q13" s="22">
        <f t="shared" si="2"/>
        <v>19.379270002357259</v>
      </c>
      <c r="R13" s="62">
        <f t="shared" si="0"/>
        <v>288.26815889124612</v>
      </c>
      <c r="S13" s="62">
        <f ca="1">AVERAGE(OFFSET($R$3,0,0,'Données projet'!$E$9+1,1))-AVERAGE(OFFSET($H$3,0,0,'Données projet'!$E$9+1,1))</f>
        <v>214.30779675250909</v>
      </c>
      <c r="T13" s="62">
        <f t="shared" si="34"/>
        <v>172.9006610021255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307.31743046108022</v>
      </c>
      <c r="AN13" s="62">
        <f ca="1">AVERAGE(OFFSET($AM$3,0,0,'Données projet'!$E$10+1,1))-AVERAGE(OFFSET($H$3,0,0,'Données projet'!$E$10+1,1))</f>
        <v>206.5885410269899</v>
      </c>
      <c r="AO13" s="62">
        <f t="shared" si="36"/>
        <v>347.41156847586302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2.1333333333333333</v>
      </c>
      <c r="N14" s="14">
        <f>IF('Données projet'!$A$36&gt;35,N13+M14-V13,IF(A14&lt;'Données projet'!$A$36,$K$205^A14,IF(A14='Données projet'!$A$36,'Données projet'!$B$36,N13+M14-V13)))</f>
        <v>12.6992084157456</v>
      </c>
      <c r="O14" s="14">
        <f>N14*VLOOKUP('Données projet'!$B$9,Paramètres!$A$1:$I$89,3,0)*VLOOKUP('Données projet'!$B$9,Paramètres!$A$1:$I$89,5,0)</f>
        <v>10.301597866852832</v>
      </c>
      <c r="P14" s="14">
        <f t="shared" si="33"/>
        <v>3.6187165199035083</v>
      </c>
      <c r="Q14" s="22">
        <f t="shared" si="2"/>
        <v>24.244547556933963</v>
      </c>
      <c r="R14" s="62">
        <f t="shared" si="0"/>
        <v>294.35565866804512</v>
      </c>
      <c r="S14" s="62">
        <f ca="1">AVERAGE(OFFSET($R$3,0,0,'Données projet'!$E$9+1,1))-AVERAGE(OFFSET($H$3,0,0,'Données projet'!$E$9+1,1))</f>
        <v>214.30779675250909</v>
      </c>
      <c r="T14" s="62">
        <f t="shared" si="34"/>
        <v>172.9006610021255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323.17039339202512</v>
      </c>
      <c r="AN14" s="62">
        <f ca="1">AVERAGE(OFFSET($AM$3,0,0,'Données projet'!$E$10+1,1))-AVERAGE(OFFSET($H$3,0,0,'Données projet'!$E$10+1,1))</f>
        <v>206.5885410269899</v>
      </c>
      <c r="AO14" s="62">
        <f t="shared" si="36"/>
        <v>347.41156847586302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2.1333333333333333</v>
      </c>
      <c r="N15" s="14">
        <f>IF('Données projet'!$A$36&gt;35,N14+M15-V14,IF(A15&lt;'Données projet'!$A$36,$K$205^A15,IF(A15='Données projet'!$A$36,'Données projet'!$B$36,N14+M15-V14)))</f>
        <v>16.000000000000007</v>
      </c>
      <c r="O15" s="14">
        <f>N15*VLOOKUP('Données projet'!$B$9,Paramètres!$A$1:$I$89,3,0)*VLOOKUP('Données projet'!$B$9,Paramètres!$A$1:$I$89,5,0)</f>
        <v>12.979200000000006</v>
      </c>
      <c r="P15" s="14">
        <f t="shared" si="33"/>
        <v>4.4383130477080988</v>
      </c>
      <c r="Q15" s="22">
        <f t="shared" si="2"/>
        <v>30.335501891424943</v>
      </c>
      <c r="R15" s="62">
        <f t="shared" si="0"/>
        <v>301.66883522475825</v>
      </c>
      <c r="S15" s="62">
        <f ca="1">AVERAGE(OFFSET($R$3,0,0,'Données projet'!$E$9+1,1))-AVERAGE(OFFSET($H$3,0,0,'Données projet'!$E$9+1,1))</f>
        <v>214.30779675250909</v>
      </c>
      <c r="T15" s="62">
        <f t="shared" si="34"/>
        <v>172.9006610021255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344.61376105404327</v>
      </c>
      <c r="AN15" s="62">
        <f ca="1">AVERAGE(OFFSET($AM$3,0,0,'Données projet'!$E$10+1,1))-AVERAGE(OFFSET($H$3,0,0,'Données projet'!$E$10+1,1))</f>
        <v>206.5885410269899</v>
      </c>
      <c r="AO15" s="62">
        <f t="shared" si="36"/>
        <v>347.41156847586302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2.1333333333333333</v>
      </c>
      <c r="N16" s="14">
        <f>IF('Données projet'!$A$36&gt;35,N15+M16-V15,IF(A16&lt;'Données projet'!$A$36,$K$205^A16,IF(A16='Données projet'!$A$36,'Données projet'!$B$36,N15+M16-V15)))</f>
        <v>20.158736798317982</v>
      </c>
      <c r="O16" s="14">
        <f>N16*VLOOKUP('Données projet'!$B$9,Paramètres!$A$1:$I$89,3,0)*VLOOKUP('Données projet'!$B$9,Paramètres!$A$1:$I$89,5,0)</f>
        <v>16.352767290795548</v>
      </c>
      <c r="P16" s="14">
        <f t="shared" si="33"/>
        <v>5.4435385035303101</v>
      </c>
      <c r="Q16" s="22">
        <f t="shared" si="2"/>
        <v>37.961899258450863</v>
      </c>
      <c r="R16" s="62">
        <f t="shared" si="0"/>
        <v>310.51745481400638</v>
      </c>
      <c r="S16" s="62">
        <f ca="1">AVERAGE(OFFSET($R$3,0,0,'Données projet'!$E$9+1,1))-AVERAGE(OFFSET($H$3,0,0,'Données projet'!$E$9+1,1))</f>
        <v>214.30779675250909</v>
      </c>
      <c r="T16" s="62">
        <f t="shared" si="34"/>
        <v>172.9006610021255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373.79072026959176</v>
      </c>
      <c r="AN16" s="62">
        <f ca="1">AVERAGE(OFFSET($AM$3,0,0,'Données projet'!$E$10+1,1))-AVERAGE(OFFSET($H$3,0,0,'Données projet'!$E$10+1,1))</f>
        <v>206.5885410269899</v>
      </c>
      <c r="AO16" s="62">
        <f t="shared" si="36"/>
        <v>347.41156847586302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2.1333333333333333</v>
      </c>
      <c r="N17" s="14">
        <f>IF('Données projet'!$A$36&gt;35,N16+M17-V16,IF(A17&lt;'Données projet'!$A$36,$K$205^A17,IF(A17='Données projet'!$A$36,'Données projet'!$B$36,N16+M17-V16)))</f>
        <v>25.398416831491208</v>
      </c>
      <c r="O17" s="14">
        <f>N17*VLOOKUP('Données projet'!$B$9,Paramètres!$A$1:$I$89,3,0)*VLOOKUP('Données projet'!$B$9,Paramètres!$A$1:$I$89,5,0)</f>
        <v>20.603195733705668</v>
      </c>
      <c r="P17" s="14">
        <f t="shared" si="33"/>
        <v>6.6764356459080147</v>
      </c>
      <c r="Q17" s="22">
        <f t="shared" si="2"/>
        <v>47.512024652827165</v>
      </c>
      <c r="R17" s="62">
        <f t="shared" si="0"/>
        <v>321.28980243060494</v>
      </c>
      <c r="S17" s="62">
        <f ca="1">AVERAGE(OFFSET($R$3,0,0,'Données projet'!$E$9+1,1))-AVERAGE(OFFSET($H$3,0,0,'Données projet'!$E$9+1,1))</f>
        <v>214.30779675250909</v>
      </c>
      <c r="T17" s="62">
        <f t="shared" si="34"/>
        <v>172.9006610021255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377.8587824872688</v>
      </c>
      <c r="AN17" s="62">
        <f ca="1">AVERAGE(OFFSET($AM$3,0,0,'Données projet'!$E$10+1,1))-AVERAGE(OFFSET($H$3,0,0,'Données projet'!$E$10+1,1))</f>
        <v>206.5885410269899</v>
      </c>
      <c r="AO17" s="62">
        <f t="shared" si="36"/>
        <v>347.41156847586302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32</v>
      </c>
      <c r="L18" s="13">
        <f>VLOOKUP(A18,'Données projet'!$A$35:$I$55,9,0)</f>
        <v>2.1333333333333333</v>
      </c>
      <c r="M18" s="13">
        <f t="array" ref="M18">INDEX(L:L,MIN(IF(ISNUMBER(L18:L214),ROW(L18:L214),"")))</f>
        <v>2.1333333333333333</v>
      </c>
      <c r="N18" s="14">
        <f>IF('Données projet'!$A$36&gt;35,N17+M18-V17,IF(A18&lt;'Données projet'!$A$36,$K$205^A18,IF(A18='Données projet'!$A$36,'Données projet'!$B$36,N17+M18-V17)))</f>
        <v>32</v>
      </c>
      <c r="O18" s="14">
        <f>N18*VLOOKUP('Données projet'!$B$9,Paramètres!$A$1:$I$89,3,0)*VLOOKUP('Données projet'!$B$9,Paramètres!$A$1:$I$89,5,0)</f>
        <v>25.958400000000001</v>
      </c>
      <c r="P18" s="14">
        <f t="shared" si="33"/>
        <v>8.1885694213502802</v>
      </c>
      <c r="Q18" s="22">
        <f t="shared" si="2"/>
        <v>59.472638408851729</v>
      </c>
      <c r="R18" s="62">
        <f t="shared" si="0"/>
        <v>334.47263840885171</v>
      </c>
      <c r="S18" s="62">
        <f ca="1">AVERAGE(OFFSET($R$3,0,0,'Données projet'!$E$9+1,1))-AVERAGE(OFFSET($H$3,0,0,'Données projet'!$E$9+1,1))</f>
        <v>214.30779675250909</v>
      </c>
      <c r="T18" s="62">
        <f t="shared" si="34"/>
        <v>172.9006610021255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9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6.8885012981510174</v>
      </c>
      <c r="AC18" s="24">
        <f t="shared" si="3"/>
        <v>6.8885012981510174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401.56525127580693</v>
      </c>
      <c r="AN18" s="62">
        <f ca="1">AVERAGE(OFFSET($AM$3,0,0,'Données projet'!$E$10+1,1))-AVERAGE(OFFSET($H$3,0,0,'Données projet'!$E$10+1,1))</f>
        <v>206.5885410269899</v>
      </c>
      <c r="AO18" s="62">
        <f t="shared" si="36"/>
        <v>347.41156847586302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4.4000000000000004</v>
      </c>
      <c r="N19" s="14">
        <f>IF('Données projet'!$A$36&gt;35,N18+M19-V18,IF(A19&lt;'Données projet'!$A$36,$K$205^A19,IF(A19='Données projet'!$A$36,'Données projet'!$B$36,N18+M19-V18)))</f>
        <v>27.4</v>
      </c>
      <c r="O19" s="14">
        <f>N19*VLOOKUP('Données projet'!$B$9,Paramètres!$A$1:$I$89,3,0)*VLOOKUP('Données projet'!$B$9,Paramètres!$A$1:$I$89,5,0)</f>
        <v>22.226880000000001</v>
      </c>
      <c r="P19" s="14">
        <f t="shared" si="33"/>
        <v>7.1392717239402108</v>
      </c>
      <c r="Q19" s="22">
        <f t="shared" si="2"/>
        <v>51.14604758586254</v>
      </c>
      <c r="R19" s="62">
        <f t="shared" si="0"/>
        <v>327.36826980808479</v>
      </c>
      <c r="S19" s="62">
        <f ca="1">AVERAGE(OFFSET($R$3,0,0,'Données projet'!$E$9+1,1))-AVERAGE(OFFSET($H$3,0,0,'Données projet'!$E$9+1,1))</f>
        <v>214.30779675250909</v>
      </c>
      <c r="T19" s="62">
        <f t="shared" si="34"/>
        <v>172.9006610021255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4.8709059801349204</v>
      </c>
      <c r="AC19" s="24">
        <f t="shared" si="3"/>
        <v>4.8709059801349204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425.17463824707193</v>
      </c>
      <c r="AN19" s="62">
        <f ca="1">AVERAGE(OFFSET($AM$3,0,0,'Données projet'!$E$10+1,1))-AVERAGE(OFFSET($H$3,0,0,'Données projet'!$E$10+1,1))</f>
        <v>206.5885410269899</v>
      </c>
      <c r="AO19" s="62">
        <f t="shared" si="36"/>
        <v>347.41156847586302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4.4000000000000004</v>
      </c>
      <c r="N20" s="14">
        <f>IF('Données projet'!$A$36&gt;35,N19+M20-V19,IF(A20&lt;'Données projet'!$A$36,$K$205^A20,IF(A20='Données projet'!$A$36,'Données projet'!$B$36,N19+M20-V19)))</f>
        <v>31.799999999999997</v>
      </c>
      <c r="O20" s="14">
        <f>N20*VLOOKUP('Données projet'!$B$9,Paramètres!$A$1:$I$89,3,0)*VLOOKUP('Données projet'!$B$9,Paramètres!$A$1:$I$89,5,0)</f>
        <v>25.796159999999997</v>
      </c>
      <c r="P20" s="14">
        <f t="shared" si="33"/>
        <v>8.1433315590605648</v>
      </c>
      <c r="Q20" s="22">
        <f t="shared" si="2"/>
        <v>59.111281132030484</v>
      </c>
      <c r="R20" s="62">
        <f t="shared" si="0"/>
        <v>336.55572557647497</v>
      </c>
      <c r="S20" s="62">
        <f ca="1">AVERAGE(OFFSET($R$3,0,0,'Données projet'!$E$9+1,1))-AVERAGE(OFFSET($H$3,0,0,'Données projet'!$E$9+1,1))</f>
        <v>214.30779675250909</v>
      </c>
      <c r="T20" s="62">
        <f t="shared" si="34"/>
        <v>172.9006610021255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3.4442506490755092</v>
      </c>
      <c r="AC20" s="24">
        <f t="shared" si="3"/>
        <v>3.4442506490755092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448.70362518967272</v>
      </c>
      <c r="AN20" s="62">
        <f ca="1">AVERAGE(OFFSET($AM$3,0,0,'Données projet'!$E$10+1,1))-AVERAGE(OFFSET($H$3,0,0,'Données projet'!$E$10+1,1))</f>
        <v>206.5885410269899</v>
      </c>
      <c r="AO20" s="62">
        <f t="shared" si="36"/>
        <v>347.41156847586302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4.4000000000000004</v>
      </c>
      <c r="N21" s="14">
        <f>IF('Données projet'!$A$36&gt;35,N20+M21-V20,IF(A21&lt;'Données projet'!$A$36,$K$205^A21,IF(A21='Données projet'!$A$36,'Données projet'!$B$36,N20+M21-V20)))</f>
        <v>36.199999999999996</v>
      </c>
      <c r="O21" s="14">
        <f>N21*VLOOKUP('Données projet'!$B$9,Paramètres!$A$1:$I$89,3,0)*VLOOKUP('Données projet'!$B$9,Paramètres!$A$1:$I$89,5,0)</f>
        <v>29.36544</v>
      </c>
      <c r="P21" s="14">
        <f t="shared" si="33"/>
        <v>9.1312957106855368</v>
      </c>
      <c r="Q21" s="22">
        <f t="shared" si="2"/>
        <v>67.048481362777309</v>
      </c>
      <c r="R21" s="62">
        <f t="shared" si="0"/>
        <v>345.71514802944398</v>
      </c>
      <c r="S21" s="62">
        <f ca="1">AVERAGE(OFFSET($R$3,0,0,'Données projet'!$E$9+1,1))-AVERAGE(OFFSET($H$3,0,0,'Données projet'!$E$9+1,1))</f>
        <v>214.30779675250909</v>
      </c>
      <c r="T21" s="62">
        <f t="shared" si="34"/>
        <v>172.9006610021255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2.4354529900674606</v>
      </c>
      <c r="AC21" s="24">
        <f t="shared" si="3"/>
        <v>2.4354529900674606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472.16417147518968</v>
      </c>
      <c r="AN21" s="62">
        <f ca="1">AVERAGE(OFFSET($AM$3,0,0,'Données projet'!$E$10+1,1))-AVERAGE(OFFSET($H$3,0,0,'Données projet'!$E$10+1,1))</f>
        <v>206.5885410269899</v>
      </c>
      <c r="AO21" s="62">
        <f t="shared" si="36"/>
        <v>347.41156847586302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4.4000000000000004</v>
      </c>
      <c r="N22" s="14">
        <f>IF('Données projet'!$A$36&gt;35,N21+M22-V21,IF(A22&lt;'Données projet'!$A$36,$K$205^A22,IF(A22='Données projet'!$A$36,'Données projet'!$B$36,N21+M22-V21)))</f>
        <v>40.599999999999994</v>
      </c>
      <c r="O22" s="14">
        <f>N22*VLOOKUP('Données projet'!$B$9,Paramètres!$A$1:$I$89,3,0)*VLOOKUP('Données projet'!$B$9,Paramètres!$A$1:$I$89,5,0)</f>
        <v>32.934719999999999</v>
      </c>
      <c r="P22" s="14">
        <f t="shared" si="33"/>
        <v>10.1053443626939</v>
      </c>
      <c r="Q22" s="22">
        <f t="shared" si="2"/>
        <v>74.961445431691871</v>
      </c>
      <c r="R22" s="62">
        <f t="shared" si="0"/>
        <v>354.85033432058071</v>
      </c>
      <c r="S22" s="62">
        <f ca="1">AVERAGE(OFFSET($R$3,0,0,'Données projet'!$E$9+1,1))-AVERAGE(OFFSET($H$3,0,0,'Données projet'!$E$9+1,1))</f>
        <v>214.30779675250909</v>
      </c>
      <c r="T22" s="62">
        <f t="shared" si="34"/>
        <v>172.9006610021255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1.7221253245377548</v>
      </c>
      <c r="AC22" s="24">
        <f t="shared" si="3"/>
        <v>1.7221253245377548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495.56525411827351</v>
      </c>
      <c r="AN22" s="62">
        <f ca="1">AVERAGE(OFFSET($AM$3,0,0,'Données projet'!$E$10+1,1))-AVERAGE(OFFSET($H$3,0,0,'Données projet'!$E$10+1,1))</f>
        <v>206.5885410269899</v>
      </c>
      <c r="AO22" s="62">
        <f t="shared" si="36"/>
        <v>347.41156847586302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45</v>
      </c>
      <c r="L23" s="13">
        <f>VLOOKUP(A23,'Données projet'!$A$35:$I$55,9,0)</f>
        <v>4.4000000000000004</v>
      </c>
      <c r="M23" s="13">
        <f t="array" ref="M23">INDEX(L:L,MIN(IF(ISNUMBER(L23:L219),ROW(L23:L219),"")))</f>
        <v>4.4000000000000004</v>
      </c>
      <c r="N23" s="14">
        <f>IF('Données projet'!$A$36&gt;35,N22+M23-V22,IF(A23&lt;'Données projet'!$A$36,$K$205^A23,IF(A23='Données projet'!$A$36,'Données projet'!$B$36,N22+M23-V22)))</f>
        <v>44.999999999999993</v>
      </c>
      <c r="O23" s="14">
        <f>N23*VLOOKUP('Données projet'!$B$9,Paramètres!$A$1:$I$89,3,0)*VLOOKUP('Données projet'!$B$9,Paramètres!$A$1:$I$89,5,0)</f>
        <v>36.503999999999998</v>
      </c>
      <c r="P23" s="14">
        <f t="shared" si="33"/>
        <v>11.067157525971377</v>
      </c>
      <c r="Q23" s="22">
        <f t="shared" si="2"/>
        <v>82.85309935773347</v>
      </c>
      <c r="R23" s="62">
        <f t="shared" si="0"/>
        <v>363.96421046884461</v>
      </c>
      <c r="S23" s="62">
        <f ca="1">AVERAGE(OFFSET($R$3,0,0,'Données projet'!$E$9+1,1))-AVERAGE(OFFSET($H$3,0,0,'Données projet'!$E$9+1,1))</f>
        <v>214.30779675250909</v>
      </c>
      <c r="T23" s="62">
        <f t="shared" si="34"/>
        <v>172.9006610021255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8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8.6000000000000007E-2</v>
      </c>
      <c r="Y23" s="17">
        <f>IF(ISNA(VLOOKUP(A23,'Données projet'!$A$35:$I$55,7,0)),0%,VLOOKUP(A23,'Données projet'!$A$35:$I$55,7,0))</f>
        <v>0.8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0.61453996659015542</v>
      </c>
      <c r="AB23" s="23">
        <f>EXP(-LN(2)/2)*AB22+(1-EXP(-LN(2)/2))/(LN(2)/2)*V23*Y23*VLOOKUP('Données projet'!$B$9,Paramètres!$A$1:$I$89,3,0)*0.475*44/12</f>
        <v>6.1162163070522331</v>
      </c>
      <c r="AC23" s="24">
        <f t="shared" si="3"/>
        <v>6.7307562736423883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466.41153358646295</v>
      </c>
      <c r="AN23" s="62">
        <f ca="1">AVERAGE(OFFSET($AM$3,0,0,'Données projet'!$E$10+1,1))-AVERAGE(OFFSET($H$3,0,0,'Données projet'!$E$10+1,1))</f>
        <v>206.5885410269899</v>
      </c>
      <c r="AO23" s="62">
        <f t="shared" si="36"/>
        <v>347.41156847586302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4.5999999999999996</v>
      </c>
      <c r="N24" s="14">
        <f>IF('Données projet'!$A$36&gt;35,N23+M24-V23,IF(A24&lt;'Données projet'!$A$36,$K$205^A24,IF(A24='Données projet'!$A$36,'Données projet'!$B$36,N23+M24-V23)))</f>
        <v>41.599999999999994</v>
      </c>
      <c r="O24" s="14">
        <f>N24*VLOOKUP('Données projet'!$B$9,Paramètres!$A$1:$I$89,3,0)*VLOOKUP('Données projet'!$B$9,Paramètres!$A$1:$I$89,5,0)</f>
        <v>33.745919999999998</v>
      </c>
      <c r="P24" s="14">
        <f t="shared" si="33"/>
        <v>10.324960083795476</v>
      </c>
      <c r="Q24" s="22">
        <f t="shared" si="2"/>
        <v>76.756782812610453</v>
      </c>
      <c r="R24" s="62">
        <f t="shared" si="0"/>
        <v>359.09011614594374</v>
      </c>
      <c r="S24" s="62">
        <f ca="1">AVERAGE(OFFSET($R$3,0,0,'Données projet'!$E$9+1,1))-AVERAGE(OFFSET($H$3,0,0,'Données projet'!$E$9+1,1))</f>
        <v>214.30779675250909</v>
      </c>
      <c r="T24" s="62">
        <f t="shared" si="34"/>
        <v>172.9006610021255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0.59773533888649533</v>
      </c>
      <c r="AB24" s="23">
        <f>EXP(-LN(2)/2)*AB23+(1-EXP(-LN(2)/2))/(LN(2)/2)*V24*Y24*VLOOKUP('Données projet'!$B$9,Paramètres!$A$1:$I$89,3,0)*0.475*44/12</f>
        <v>4.3248180259203775</v>
      </c>
      <c r="AC24" s="24">
        <f t="shared" si="3"/>
        <v>4.9225533648068724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488.97258746891305</v>
      </c>
      <c r="AN24" s="62">
        <f ca="1">AVERAGE(OFFSET($AM$3,0,0,'Données projet'!$E$10+1,1))-AVERAGE(OFFSET($H$3,0,0,'Données projet'!$E$10+1,1))</f>
        <v>206.5885410269899</v>
      </c>
      <c r="AO24" s="62">
        <f t="shared" si="36"/>
        <v>347.41156847586302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4.5999999999999996</v>
      </c>
      <c r="N25" s="14">
        <f>IF('Données projet'!$A$36&gt;35,N24+M25-V24,IF(A25&lt;'Données projet'!$A$36,$K$205^A25,IF(A25='Données projet'!$A$36,'Données projet'!$B$36,N24+M25-V24)))</f>
        <v>46.199999999999996</v>
      </c>
      <c r="O25" s="14">
        <f>N25*VLOOKUP('Données projet'!$B$9,Paramètres!$A$1:$I$89,3,0)*VLOOKUP('Données projet'!$B$9,Paramètres!$A$1:$I$89,5,0)</f>
        <v>37.477439999999994</v>
      </c>
      <c r="P25" s="14">
        <f t="shared" si="33"/>
        <v>11.327528512454581</v>
      </c>
      <c r="Q25" s="22">
        <f t="shared" si="2"/>
        <v>85.001986825858381</v>
      </c>
      <c r="R25" s="62">
        <f t="shared" si="0"/>
        <v>368.5575423814139</v>
      </c>
      <c r="S25" s="62">
        <f ca="1">AVERAGE(OFFSET($R$3,0,0,'Données projet'!$E$9+1,1))-AVERAGE(OFFSET($H$3,0,0,'Données projet'!$E$9+1,1))</f>
        <v>214.30779675250909</v>
      </c>
      <c r="T25" s="62">
        <f t="shared" si="34"/>
        <v>172.9006610021255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0.58139023461110884</v>
      </c>
      <c r="AB25" s="23">
        <f>EXP(-LN(2)/2)*AB24+(1-EXP(-LN(2)/2))/(LN(2)/2)*V25*Y25*VLOOKUP('Données projet'!$B$9,Paramètres!$A$1:$I$89,3,0)*0.475*44/12</f>
        <v>3.058108153526117</v>
      </c>
      <c r="AC25" s="24">
        <f t="shared" si="3"/>
        <v>3.639498388137226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511.48271498288614</v>
      </c>
      <c r="AN25" s="62">
        <f ca="1">AVERAGE(OFFSET($AM$3,0,0,'Données projet'!$E$10+1,1))-AVERAGE(OFFSET($H$3,0,0,'Données projet'!$E$10+1,1))</f>
        <v>206.5885410269899</v>
      </c>
      <c r="AO25" s="62">
        <f t="shared" si="36"/>
        <v>347.41156847586302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4.5999999999999996</v>
      </c>
      <c r="N26" s="14">
        <f>IF('Données projet'!$A$36&gt;35,N25+M26-V25,IF(A26&lt;'Données projet'!$A$36,$K$205^A26,IF(A26='Données projet'!$A$36,'Données projet'!$B$36,N25+M26-V25)))</f>
        <v>50.8</v>
      </c>
      <c r="O26" s="14">
        <f>N26*VLOOKUP('Données projet'!$B$9,Paramètres!$A$1:$I$89,3,0)*VLOOKUP('Données projet'!$B$9,Paramètres!$A$1:$I$89,5,0)</f>
        <v>41.208960000000005</v>
      </c>
      <c r="P26" s="14">
        <f t="shared" si="33"/>
        <v>12.318524471103974</v>
      </c>
      <c r="Q26" s="22">
        <f t="shared" si="2"/>
        <v>93.227035453839406</v>
      </c>
      <c r="R26" s="62">
        <f t="shared" si="0"/>
        <v>378.00481323161716</v>
      </c>
      <c r="S26" s="62">
        <f ca="1">AVERAGE(OFFSET($R$3,0,0,'Données projet'!$E$9+1,1))-AVERAGE(OFFSET($H$3,0,0,'Données projet'!$E$9+1,1))</f>
        <v>214.30779675250909</v>
      </c>
      <c r="T26" s="62">
        <f t="shared" si="34"/>
        <v>172.9006610021255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0.56549208807168438</v>
      </c>
      <c r="AB26" s="23">
        <f>EXP(-LN(2)/2)*AB25+(1-EXP(-LN(2)/2))/(LN(2)/2)*V26*Y26*VLOOKUP('Données projet'!$B$9,Paramètres!$A$1:$I$89,3,0)*0.475*44/12</f>
        <v>2.1624090129601892</v>
      </c>
      <c r="AC26" s="24">
        <f t="shared" si="3"/>
        <v>2.7279011010318737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533.9473415713627</v>
      </c>
      <c r="AN26" s="62">
        <f ca="1">AVERAGE(OFFSET($AM$3,0,0,'Données projet'!$E$10+1,1))-AVERAGE(OFFSET($H$3,0,0,'Données projet'!$E$10+1,1))</f>
        <v>206.5885410269899</v>
      </c>
      <c r="AO26" s="62">
        <f t="shared" si="36"/>
        <v>347.41156847586302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4.5999999999999996</v>
      </c>
      <c r="N27" s="14">
        <f>IF('Données projet'!$A$36&gt;35,N26+M27-V26,IF(A27&lt;'Données projet'!$A$36,$K$205^A27,IF(A27='Données projet'!$A$36,'Données projet'!$B$36,N26+M27-V26)))</f>
        <v>55.4</v>
      </c>
      <c r="O27" s="14">
        <f>N27*VLOOKUP('Données projet'!$B$9,Paramètres!$A$1:$I$89,3,0)*VLOOKUP('Données projet'!$B$9,Paramètres!$A$1:$I$89,5,0)</f>
        <v>44.940480000000001</v>
      </c>
      <c r="P27" s="14">
        <f t="shared" si="33"/>
        <v>13.29911503253091</v>
      </c>
      <c r="Q27" s="22">
        <f t="shared" si="2"/>
        <v>101.43396134832467</v>
      </c>
      <c r="R27" s="62">
        <f t="shared" si="0"/>
        <v>387.43396134832466</v>
      </c>
      <c r="S27" s="62">
        <f ca="1">AVERAGE(OFFSET($R$3,0,0,'Données projet'!$E$9+1,1))-AVERAGE(OFFSET($H$3,0,0,'Données projet'!$E$9+1,1))</f>
        <v>214.30779675250909</v>
      </c>
      <c r="T27" s="62">
        <f t="shared" si="34"/>
        <v>172.9006610021255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0.55002867718542769</v>
      </c>
      <c r="AB27" s="23">
        <f>EXP(-LN(2)/2)*AB26+(1-EXP(-LN(2)/2))/(LN(2)/2)*V27*Y27*VLOOKUP('Données projet'!$B$9,Paramètres!$A$1:$I$89,3,0)*0.475*44/12</f>
        <v>1.5290540767630587</v>
      </c>
      <c r="AC27" s="24">
        <f t="shared" si="3"/>
        <v>2.0790827539484864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556.37089120353016</v>
      </c>
      <c r="AN27" s="62">
        <f ca="1">AVERAGE(OFFSET($AM$3,0,0,'Données projet'!$E$10+1,1))-AVERAGE(OFFSET($H$3,0,0,'Données projet'!$E$10+1,1))</f>
        <v>206.5885410269899</v>
      </c>
      <c r="AO27" s="62">
        <f t="shared" si="36"/>
        <v>347.41156847586302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60</v>
      </c>
      <c r="L28" s="13">
        <f>VLOOKUP(A28,'Données projet'!$A$35:$I$55,9,0)</f>
        <v>4.5999999999999996</v>
      </c>
      <c r="M28" s="13">
        <f t="array" ref="M28">INDEX(L:L,MIN(IF(ISNUMBER(L28:L224),ROW(L28:L224),"")))</f>
        <v>4.5999999999999996</v>
      </c>
      <c r="N28" s="14">
        <f>IF('Données projet'!$A$36&gt;35,N27+M28-V27,IF(A28&lt;'Données projet'!$A$36,$K$205^A28,IF(A28='Données projet'!$A$36,'Données projet'!$B$36,N27+M28-V27)))</f>
        <v>60</v>
      </c>
      <c r="O28" s="14">
        <f>N28*VLOOKUP('Données projet'!$B$9,Paramètres!$A$1:$I$89,3,0)*VLOOKUP('Données projet'!$B$9,Paramètres!$A$1:$I$89,5,0)</f>
        <v>48.672000000000004</v>
      </c>
      <c r="P28" s="14">
        <f t="shared" si="33"/>
        <v>14.270262409972053</v>
      </c>
      <c r="Q28" s="22">
        <f t="shared" si="2"/>
        <v>109.62444036403467</v>
      </c>
      <c r="R28" s="62">
        <f t="shared" si="0"/>
        <v>396.84666258625691</v>
      </c>
      <c r="S28" s="62">
        <f ca="1">AVERAGE(OFFSET($R$3,0,0,'Données projet'!$E$9+1,1))-AVERAGE(OFFSET($H$3,0,0,'Données projet'!$E$9+1,1))</f>
        <v>214.30779675250909</v>
      </c>
      <c r="T28" s="62">
        <f t="shared" si="34"/>
        <v>172.9006610021255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9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0.17200000000000001</v>
      </c>
      <c r="Y28" s="17">
        <f>IF(ISNA(VLOOKUP(A28,'Données projet'!$A$35:$I$55,7,0)),0%,VLOOKUP(A28,'Données projet'!$A$35:$I$55,7,0))</f>
        <v>0.6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1.9177030389108909</v>
      </c>
      <c r="AB28" s="23">
        <f>EXP(-LN(2)/2)*AB27+(1-EXP(-LN(2)/2))/(LN(2)/2)*V28*Y28*VLOOKUP('Données projet'!$B$9,Paramètres!$A$1:$I$89,3,0)*0.475*44/12</f>
        <v>5.2143052853707053</v>
      </c>
      <c r="AC28" s="24">
        <f t="shared" si="3"/>
        <v>7.1320083242815961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578.75703699758935</v>
      </c>
      <c r="AN28" s="62">
        <f ca="1">AVERAGE(OFFSET($AM$3,0,0,'Données projet'!$E$10+1,1))-AVERAGE(OFFSET($H$3,0,0,'Données projet'!$E$10+1,1))</f>
        <v>206.5885410269899</v>
      </c>
      <c r="AO28" s="62">
        <f t="shared" si="36"/>
        <v>347.41156847586302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55.8</v>
      </c>
      <c r="O29" s="14">
        <f>N29*VLOOKUP('Données projet'!$B$9,Paramètres!$A$1:$I$89,3,0)*VLOOKUP('Données projet'!$B$9,Paramètres!$A$1:$I$89,5,0)</f>
        <v>45.264960000000002</v>
      </c>
      <c r="P29" s="14">
        <f t="shared" si="33"/>
        <v>13.383924947719283</v>
      </c>
      <c r="Q29" s="22">
        <f t="shared" si="2"/>
        <v>102.14680795061109</v>
      </c>
      <c r="R29" s="62">
        <f t="shared" si="0"/>
        <v>390.59125239505556</v>
      </c>
      <c r="S29" s="62">
        <f ca="1">AVERAGE(OFFSET($R$3,0,0,'Données projet'!$E$9+1,1))-AVERAGE(OFFSET($H$3,0,0,'Données projet'!$E$9+1,1))</f>
        <v>214.30779675250909</v>
      </c>
      <c r="T29" s="62">
        <f t="shared" si="34"/>
        <v>172.9006610021255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1.8652633484642527</v>
      </c>
      <c r="AB29" s="23">
        <f>EXP(-LN(2)/2)*AB28+(1-EXP(-LN(2)/2))/(LN(2)/2)*V29*Y29*VLOOKUP('Données projet'!$B$9,Paramètres!$A$1:$I$89,3,0)*0.475*44/12</f>
        <v>3.6870706264624817</v>
      </c>
      <c r="AC29" s="24">
        <f t="shared" si="3"/>
        <v>5.552333974926734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528.34988770855341</v>
      </c>
      <c r="AN29" s="62">
        <f ca="1">AVERAGE(OFFSET($AM$3,0,0,'Données projet'!$E$10+1,1))-AVERAGE(OFFSET($H$3,0,0,'Données projet'!$E$10+1,1))</f>
        <v>206.5885410269899</v>
      </c>
      <c r="AO29" s="62">
        <f t="shared" si="36"/>
        <v>347.41156847586302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60.599999999999994</v>
      </c>
      <c r="O30" s="14">
        <f>N30*VLOOKUP('Données projet'!$B$9,Paramètres!$A$1:$I$89,3,0)*VLOOKUP('Données projet'!$B$9,Paramètres!$A$1:$I$89,5,0)</f>
        <v>49.158719999999995</v>
      </c>
      <c r="P30" s="14">
        <f t="shared" si="33"/>
        <v>14.396281334716242</v>
      </c>
      <c r="Q30" s="22">
        <f t="shared" si="2"/>
        <v>110.69162732463077</v>
      </c>
      <c r="R30" s="62">
        <f t="shared" si="0"/>
        <v>400.35829399129744</v>
      </c>
      <c r="S30" s="62">
        <f ca="1">AVERAGE(OFFSET($R$3,0,0,'Données projet'!$E$9+1,1))-AVERAGE(OFFSET($H$3,0,0,'Données projet'!$E$9+1,1))</f>
        <v>214.30779675250909</v>
      </c>
      <c r="T30" s="62">
        <f t="shared" si="34"/>
        <v>172.9006610021255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1.8142576241105612</v>
      </c>
      <c r="AB30" s="23">
        <f>EXP(-LN(2)/2)*AB29+(1-EXP(-LN(2)/2))/(LN(2)/2)*V30*Y30*VLOOKUP('Données projet'!$B$9,Paramètres!$A$1:$I$89,3,0)*0.475*44/12</f>
        <v>2.6071526426853531</v>
      </c>
      <c r="AC30" s="24">
        <f t="shared" si="3"/>
        <v>4.4214102667959141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547.32147029642249</v>
      </c>
      <c r="AN30" s="62">
        <f ca="1">AVERAGE(OFFSET($AM$3,0,0,'Données projet'!$E$10+1,1))-AVERAGE(OFFSET($H$3,0,0,'Données projet'!$E$10+1,1))</f>
        <v>206.5885410269899</v>
      </c>
      <c r="AO30" s="62">
        <f t="shared" si="36"/>
        <v>347.41156847586302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65.399999999999991</v>
      </c>
      <c r="O31" s="14">
        <f>N31*VLOOKUP('Données projet'!$B$9,Paramètres!$A$1:$I$89,3,0)*VLOOKUP('Données projet'!$B$9,Paramètres!$A$1:$I$89,5,0)</f>
        <v>53.052479999999996</v>
      </c>
      <c r="P31" s="14">
        <f t="shared" si="33"/>
        <v>15.399336631945946</v>
      </c>
      <c r="Q31" s="22">
        <f t="shared" si="2"/>
        <v>119.22024730063917</v>
      </c>
      <c r="R31" s="62">
        <f t="shared" si="0"/>
        <v>410.10913618952804</v>
      </c>
      <c r="S31" s="62">
        <f ca="1">AVERAGE(OFFSET($R$3,0,0,'Données projet'!$E$9+1,1))-AVERAGE(OFFSET($H$3,0,0,'Données projet'!$E$9+1,1))</f>
        <v>214.30779675250909</v>
      </c>
      <c r="T31" s="62">
        <f t="shared" si="34"/>
        <v>172.9006610021255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1.7646466539715959</v>
      </c>
      <c r="AB31" s="23">
        <f>EXP(-LN(2)/2)*AB30+(1-EXP(-LN(2)/2))/(LN(2)/2)*V31*Y31*VLOOKUP('Données projet'!$B$9,Paramètres!$A$1:$I$89,3,0)*0.475*44/12</f>
        <v>1.8435353132312413</v>
      </c>
      <c r="AC31" s="24">
        <f t="shared" si="3"/>
        <v>3.608181967202837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566.2654140778385</v>
      </c>
      <c r="AN31" s="62">
        <f ca="1">AVERAGE(OFFSET($AM$3,0,0,'Données projet'!$E$10+1,1))-AVERAGE(OFFSET($H$3,0,0,'Données projet'!$E$10+1,1))</f>
        <v>206.5885410269899</v>
      </c>
      <c r="AO31" s="62">
        <f t="shared" si="36"/>
        <v>347.41156847586302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70.199999999999989</v>
      </c>
      <c r="O32" s="14">
        <f>N32*VLOOKUP('Données projet'!$B$9,Paramètres!$A$1:$I$89,3,0)*VLOOKUP('Données projet'!$B$9,Paramètres!$A$1:$I$89,5,0)</f>
        <v>56.946239999999996</v>
      </c>
      <c r="P32" s="14">
        <f t="shared" si="33"/>
        <v>16.393851117957059</v>
      </c>
      <c r="Q32" s="22">
        <f t="shared" si="2"/>
        <v>127.73399203044187</v>
      </c>
      <c r="R32" s="62">
        <f t="shared" si="0"/>
        <v>419.84510314155301</v>
      </c>
      <c r="S32" s="62">
        <f ca="1">AVERAGE(OFFSET($R$3,0,0,'Données projet'!$E$9+1,1))-AVERAGE(OFFSET($H$3,0,0,'Données projet'!$E$9+1,1))</f>
        <v>214.30779675250909</v>
      </c>
      <c r="T32" s="62">
        <f t="shared" si="34"/>
        <v>172.9006610021255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1.7163922984200082</v>
      </c>
      <c r="AB32" s="23">
        <f>EXP(-LN(2)/2)*AB31+(1-EXP(-LN(2)/2))/(LN(2)/2)*V32*Y32*VLOOKUP('Données projet'!$B$9,Paramètres!$A$1:$I$89,3,0)*0.475*44/12</f>
        <v>1.3035763213426768</v>
      </c>
      <c r="AC32" s="24">
        <f t="shared" si="3"/>
        <v>3.0199686197626852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585.1837477938916</v>
      </c>
      <c r="AN32" s="62">
        <f ca="1">AVERAGE(OFFSET($AM$3,0,0,'Données projet'!$E$10+1,1))-AVERAGE(OFFSET($H$3,0,0,'Données projet'!$E$10+1,1))</f>
        <v>206.5885410269899</v>
      </c>
      <c r="AO32" s="62">
        <f t="shared" si="36"/>
        <v>347.41156847586302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75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74.999999999999986</v>
      </c>
      <c r="O33" s="14">
        <f>N33*VLOOKUP('Données projet'!$B$9,Paramètres!$A$1:$I$89,3,0)*VLOOKUP('Données projet'!$B$9,Paramètres!$A$1:$I$89,5,0)</f>
        <v>60.839999999999989</v>
      </c>
      <c r="P33" s="14">
        <f t="shared" si="33"/>
        <v>17.38047521653144</v>
      </c>
      <c r="Q33" s="22">
        <f t="shared" si="2"/>
        <v>136.23399433545887</v>
      </c>
      <c r="R33" s="62">
        <f t="shared" si="0"/>
        <v>429.56732766879219</v>
      </c>
      <c r="S33" s="62">
        <f ca="1">AVERAGE(OFFSET($R$3,0,0,'Données projet'!$E$9+1,1))-AVERAGE(OFFSET($H$3,0,0,'Données projet'!$E$9+1,1))</f>
        <v>214.30779675250909</v>
      </c>
      <c r="T33" s="62">
        <f t="shared" si="34"/>
        <v>172.9006610021255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10</v>
      </c>
      <c r="W33" s="17">
        <f>IF(ISNA(VLOOKUP(A33,'Données projet'!$A$35:$I$55,5,0)),0%,VLOOKUP(A33,'Données projet'!$A$35:$I$55,5,0)*VLOOKUP('Données projet'!$B$9,Paramètres!$A$1:$I$89,7,0))</f>
        <v>8.6000000000000007E-2</v>
      </c>
      <c r="X33" s="17">
        <f>IF(ISNA(VLOOKUP(A33,'Données projet'!$A$35:$I$55,6,0)),0%,VLOOKUP(A33,'Données projet'!$A$35:$I$55,6,0)*VLOOKUP('Données projet'!$B$9,Paramètres!$A$1:$I$89,7,0))</f>
        <v>8.6000000000000007E-2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0.77121151181433112</v>
      </c>
      <c r="AA33" s="23">
        <f>EXP(-LN(2)/25)*AA32+(1-EXP(-LN(2)/25))/(LN(2)/25)*Calculateur!V33*Calculateur!X33*VLOOKUP('Données projet'!$B$9,Paramètres!$A$1:$I$89,3,0)*0.475*44/12</f>
        <v>2.4376324189962593</v>
      </c>
      <c r="AB33" s="23">
        <f>EXP(-LN(2)/2)*AB32+(1-EXP(-LN(2)/2))/(LN(2)/2)*V33*Y33*VLOOKUP('Données projet'!$B$9,Paramètres!$A$1:$I$89,3,0)*0.475*44/12</f>
        <v>5.5141018553829664</v>
      </c>
      <c r="AC33" s="24">
        <f t="shared" si="3"/>
        <v>8.7229457861935558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604.07823514252971</v>
      </c>
      <c r="AN33" s="62">
        <f ca="1">AVERAGE(OFFSET($AM$3,0,0,'Données projet'!$E$10+1,1))-AVERAGE(OFFSET($H$3,0,0,'Données projet'!$E$10+1,1))</f>
        <v>206.5885410269899</v>
      </c>
      <c r="AO33" s="62">
        <f t="shared" si="36"/>
        <v>347.41156847586302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4.8</v>
      </c>
      <c r="N34" s="14">
        <f>IF('Données projet'!$A$36&gt;35,N33+M34-V33,IF(A34&lt;'Données projet'!$A$36,$K$205^A34,IF(A34='Données projet'!$A$36,'Données projet'!$B$36,N33+M34-V33)))</f>
        <v>69.799999999999983</v>
      </c>
      <c r="O34" s="14">
        <f>N34*VLOOKUP('Données projet'!$B$9,Paramètres!$A$1:$I$89,3,0)*VLOOKUP('Données projet'!$B$9,Paramètres!$A$1:$I$89,5,0)</f>
        <v>56.621759999999988</v>
      </c>
      <c r="P34" s="14">
        <f t="shared" si="33"/>
        <v>16.3112846174525</v>
      </c>
      <c r="Q34" s="22">
        <f t="shared" si="2"/>
        <v>127.02505270872973</v>
      </c>
      <c r="R34" s="62">
        <f t="shared" si="0"/>
        <v>420.35838604206305</v>
      </c>
      <c r="S34" s="62">
        <f ca="1">AVERAGE(OFFSET($R$3,0,0,'Données projet'!$E$9+1,1))-AVERAGE(OFFSET($H$3,0,0,'Données projet'!$E$9+1,1))</f>
        <v>214.30779675250909</v>
      </c>
      <c r="T34" s="62">
        <f t="shared" si="34"/>
        <v>172.9006610021255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0.7560885244602269</v>
      </c>
      <c r="AA34" s="23">
        <f>EXP(-LN(2)/25)*AA33+(1-EXP(-LN(2)/25))/(LN(2)/25)*Calculateur!V34*Calculateur!X34*VLOOKUP('Données projet'!$B$9,Paramètres!$A$1:$I$89,3,0)*0.475*44/12</f>
        <v>2.3709752323092887</v>
      </c>
      <c r="AB34" s="23">
        <f>EXP(-LN(2)/2)*AB33+(1-EXP(-LN(2)/2))/(LN(2)/2)*V34*Y34*VLOOKUP('Données projet'!$B$9,Paramètres!$A$1:$I$89,3,0)*0.475*44/12</f>
        <v>3.8990588140946194</v>
      </c>
      <c r="AC34" s="24">
        <f t="shared" si="3"/>
        <v>7.0261225708641355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620.22622902455157</v>
      </c>
      <c r="AN34" s="62">
        <f ca="1">AVERAGE(OFFSET($AM$3,0,0,'Données projet'!$E$10+1,1))-AVERAGE(OFFSET($H$3,0,0,'Données projet'!$E$10+1,1))</f>
        <v>206.5885410269899</v>
      </c>
      <c r="AO34" s="62">
        <f t="shared" si="36"/>
        <v>347.41156847586302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4.8</v>
      </c>
      <c r="N35" s="14">
        <f>IF('Données projet'!$A$36&gt;35,N34+M35-V34,IF(A35&lt;'Données projet'!$A$36,$K$205^A35,IF(A35='Données projet'!$A$36,'Données projet'!$B$36,N34+M35-V34)))</f>
        <v>74.59999999999998</v>
      </c>
      <c r="O35" s="14">
        <f>N35*VLOOKUP('Données projet'!$B$9,Paramètres!$A$1:$I$89,3,0)*VLOOKUP('Données projet'!$B$9,Paramètres!$A$1:$I$89,5,0)</f>
        <v>60.515519999999995</v>
      </c>
      <c r="P35" s="14">
        <f t="shared" si="33"/>
        <v>17.298543673479163</v>
      </c>
      <c r="Q35" s="22">
        <f t="shared" ref="Q35:Q66" si="53">(O35+P35)*0.475*44/12</f>
        <v>135.52616089797618</v>
      </c>
      <c r="R35" s="62">
        <f t="shared" si="0"/>
        <v>428.8594942313095</v>
      </c>
      <c r="S35" s="62">
        <f ca="1">AVERAGE(OFFSET($R$3,0,0,'Données projet'!$E$9+1,1))-AVERAGE(OFFSET($H$3,0,0,'Données projet'!$E$9+1,1))</f>
        <v>214.30779675250909</v>
      </c>
      <c r="T35" s="62">
        <f t="shared" si="34"/>
        <v>172.9006610021255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0.74126208966402518</v>
      </c>
      <c r="AA35" s="23">
        <f>EXP(-LN(2)/25)*AA34+(1-EXP(-LN(2)/25))/(LN(2)/25)*Calculateur!V35*Calculateur!X35*VLOOKUP('Données projet'!$B$9,Paramètres!$A$1:$I$89,3,0)*0.475*44/12</f>
        <v>2.3061407898976225</v>
      </c>
      <c r="AB35" s="23">
        <f>EXP(-LN(2)/2)*AB34+(1-EXP(-LN(2)/2))/(LN(2)/2)*V35*Y35*VLOOKUP('Données projet'!$B$9,Paramètres!$A$1:$I$89,3,0)*0.475*44/12</f>
        <v>2.7570509276914836</v>
      </c>
      <c r="AC35" s="24">
        <f t="shared" si="3"/>
        <v>5.8044538072531306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636.35661254650108</v>
      </c>
      <c r="AN35" s="62">
        <f ca="1">AVERAGE(OFFSET($AM$3,0,0,'Données projet'!$E$10+1,1))-AVERAGE(OFFSET($H$3,0,0,'Données projet'!$E$10+1,1))</f>
        <v>206.5885410269899</v>
      </c>
      <c r="AO35" s="62">
        <f t="shared" si="36"/>
        <v>347.41156847586302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4.8</v>
      </c>
      <c r="N36" s="14">
        <f>IF('Données projet'!$A$36&gt;35,N35+M36-V35,IF(A36&lt;'Données projet'!$A$36,$K$205^A36,IF(A36='Données projet'!$A$36,'Données projet'!$B$36,N35+M36-V35)))</f>
        <v>79.399999999999977</v>
      </c>
      <c r="O36" s="14">
        <f>N36*VLOOKUP('Données projet'!$B$9,Paramètres!$A$1:$I$89,3,0)*VLOOKUP('Données projet'!$B$9,Paramètres!$A$1:$I$89,5,0)</f>
        <v>64.409279999999981</v>
      </c>
      <c r="P36" s="14">
        <f t="shared" si="33"/>
        <v>18.278430861487756</v>
      </c>
      <c r="Q36" s="22">
        <f t="shared" si="53"/>
        <v>144.01442975042448</v>
      </c>
      <c r="R36" s="62">
        <f t="shared" si="0"/>
        <v>437.3477630837578</v>
      </c>
      <c r="S36" s="62">
        <f ca="1">AVERAGE(OFFSET($R$3,0,0,'Données projet'!$E$9+1,1))-AVERAGE(OFFSET($H$3,0,0,'Données projet'!$E$9+1,1))</f>
        <v>214.30779675250909</v>
      </c>
      <c r="T36" s="62">
        <f t="shared" si="34"/>
        <v>172.9006610021255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0.7267263922109447</v>
      </c>
      <c r="AA36" s="23">
        <f>EXP(-LN(2)/25)*AA35+(1-EXP(-LN(2)/25))/(LN(2)/25)*Calculateur!V36*Calculateur!X36*VLOOKUP('Données projet'!$B$9,Paramètres!$A$1:$I$89,3,0)*0.475*44/12</f>
        <v>2.2430792487231987</v>
      </c>
      <c r="AB36" s="23">
        <f>EXP(-LN(2)/2)*AB35+(1-EXP(-LN(2)/2))/(LN(2)/2)*V36*Y36*VLOOKUP('Données projet'!$B$9,Paramètres!$A$1:$I$89,3,0)*0.475*44/12</f>
        <v>1.9495294070473099</v>
      </c>
      <c r="AC36" s="24">
        <f t="shared" si="3"/>
        <v>4.9193350479814537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652.47033027175962</v>
      </c>
      <c r="AN36" s="62">
        <f ca="1">AVERAGE(OFFSET($AM$3,0,0,'Données projet'!$E$10+1,1))-AVERAGE(OFFSET($H$3,0,0,'Données projet'!$E$10+1,1))</f>
        <v>206.5885410269899</v>
      </c>
      <c r="AO36" s="62">
        <f t="shared" si="36"/>
        <v>347.41156847586302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4.8</v>
      </c>
      <c r="N37" s="14">
        <f>IF('Données projet'!$A$36&gt;35,N36+M37-V36,IF(A37&lt;'Données projet'!$A$36,$K$205^A37,IF(A37='Données projet'!$A$36,'Données projet'!$B$36,N36+M37-V36)))</f>
        <v>84.199999999999974</v>
      </c>
      <c r="O37" s="14">
        <f>N37*VLOOKUP('Données projet'!$B$9,Paramètres!$A$1:$I$89,3,0)*VLOOKUP('Données projet'!$B$9,Paramètres!$A$1:$I$89,5,0)</f>
        <v>68.303039999999982</v>
      </c>
      <c r="P37" s="14">
        <f t="shared" si="33"/>
        <v>19.251442586435687</v>
      </c>
      <c r="Q37" s="22">
        <f t="shared" si="53"/>
        <v>152.4907238380421</v>
      </c>
      <c r="R37" s="62">
        <f t="shared" si="0"/>
        <v>445.82405717137544</v>
      </c>
      <c r="S37" s="62">
        <f ca="1">AVERAGE(OFFSET($R$3,0,0,'Données projet'!$E$9+1,1))-AVERAGE(OFFSET($H$3,0,0,'Données projet'!$E$9+1,1))</f>
        <v>214.30779675250909</v>
      </c>
      <c r="T37" s="62">
        <f t="shared" si="34"/>
        <v>172.9006610021255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0.71247573091901906</v>
      </c>
      <c r="AA37" s="23">
        <f>EXP(-LN(2)/25)*AA36+(1-EXP(-LN(2)/25))/(LN(2)/25)*Calculateur!V37*Calculateur!X37*VLOOKUP('Données projet'!$B$9,Paramètres!$A$1:$I$89,3,0)*0.475*44/12</f>
        <v>2.1817421287084517</v>
      </c>
      <c r="AB37" s="23">
        <f>EXP(-LN(2)/2)*AB36+(1-EXP(-LN(2)/2))/(LN(2)/2)*V37*Y37*VLOOKUP('Données projet'!$B$9,Paramètres!$A$1:$I$89,3,0)*0.475*44/12</f>
        <v>1.378525463845742</v>
      </c>
      <c r="AC37" s="24">
        <f t="shared" si="3"/>
        <v>4.2727433234732128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668.56823509196704</v>
      </c>
      <c r="AN37" s="62">
        <f ca="1">AVERAGE(OFFSET($AM$3,0,0,'Données projet'!$E$10+1,1))-AVERAGE(OFFSET($H$3,0,0,'Données projet'!$E$10+1,1))</f>
        <v>206.5885410269899</v>
      </c>
      <c r="AO37" s="62">
        <f t="shared" si="36"/>
        <v>347.41156847586302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89</v>
      </c>
      <c r="L38" s="13">
        <f>VLOOKUP(A38,'Données projet'!$A$35:$I$55,9,0)</f>
        <v>4.8</v>
      </c>
      <c r="M38" s="13">
        <f t="array" ref="M38">INDEX(L:L,MIN(IF(ISNUMBER(L38:L234),ROW(L38:L234),"")))</f>
        <v>4.8</v>
      </c>
      <c r="N38" s="14">
        <f>IF('Données projet'!$A$36&gt;35,N37+M38-V37,IF(A38&lt;'Données projet'!$A$36,$K$205^A38,IF(A38='Données projet'!$A$36,'Données projet'!$B$36,N37+M38-V37)))</f>
        <v>88.999999999999972</v>
      </c>
      <c r="O38" s="14">
        <f>N38*VLOOKUP('Données projet'!$B$9,Paramètres!$A$1:$I$89,3,0)*VLOOKUP('Données projet'!$B$9,Paramètres!$A$1:$I$89,5,0)</f>
        <v>72.196799999999982</v>
      </c>
      <c r="P38" s="14">
        <f t="shared" si="33"/>
        <v>20.218015459285905</v>
      </c>
      <c r="Q38" s="22">
        <f t="shared" si="53"/>
        <v>160.95580359158959</v>
      </c>
      <c r="R38" s="62">
        <f t="shared" si="0"/>
        <v>454.2891369249229</v>
      </c>
      <c r="S38" s="62">
        <f ca="1">AVERAGE(OFFSET($R$3,0,0,'Données projet'!$E$9+1,1))-AVERAGE(OFFSET($H$3,0,0,'Données projet'!$E$9+1,1))</f>
        <v>214.30779675250909</v>
      </c>
      <c r="T38" s="62">
        <f t="shared" si="34"/>
        <v>172.9006610021255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10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0.69850451640298294</v>
      </c>
      <c r="AA38" s="23">
        <f>EXP(-LN(2)/25)*AA37+(1-EXP(-LN(2)/25))/(LN(2)/25)*Calculateur!V38*Calculateur!X38*VLOOKUP('Données projet'!$B$9,Paramètres!$A$1:$I$89,3,0)*0.475*44/12</f>
        <v>2.1220822754660871</v>
      </c>
      <c r="AB38" s="23">
        <f>EXP(-LN(2)/2)*AB37+(1-EXP(-LN(2)/2))/(LN(2)/2)*V38*Y38*VLOOKUP('Données projet'!$B$9,Paramètres!$A$1:$I$89,3,0)*0.475*44/12</f>
        <v>0.97476470352365507</v>
      </c>
      <c r="AC38" s="24">
        <f t="shared" si="3"/>
        <v>3.7953514953927252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684.65110075710459</v>
      </c>
      <c r="AN38" s="62">
        <f ca="1">AVERAGE(OFFSET($AM$3,0,0,'Données projet'!$E$10+1,1))-AVERAGE(OFFSET($H$3,0,0,'Données projet'!$E$10+1,1))</f>
        <v>206.5885410269899</v>
      </c>
      <c r="AO38" s="62">
        <f t="shared" si="36"/>
        <v>347.41156847586302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</v>
      </c>
      <c r="N39" s="14">
        <f>IF('Données projet'!$A$36&gt;35,N38+M39-V38,IF(A39&lt;'Données projet'!$A$36,$K$205^A39,IF(A39='Données projet'!$A$36,'Données projet'!$B$36,N38+M39-V38)))</f>
        <v>83.799999999999969</v>
      </c>
      <c r="O39" s="14">
        <f>N39*VLOOKUP('Données projet'!$B$9,Paramètres!$A$1:$I$89,3,0)*VLOOKUP('Données projet'!$B$9,Paramètres!$A$1:$I$89,5,0)</f>
        <v>67.978559999999987</v>
      </c>
      <c r="P39" s="14">
        <f t="shared" si="33"/>
        <v>19.170609873057547</v>
      </c>
      <c r="Q39" s="22">
        <f t="shared" si="53"/>
        <v>151.78480419557519</v>
      </c>
      <c r="R39" s="62">
        <f t="shared" si="0"/>
        <v>445.11813752890851</v>
      </c>
      <c r="S39" s="62">
        <f ca="1">AVERAGE(OFFSET($R$3,0,0,'Données projet'!$E$9+1,1))-AVERAGE(OFFSET($H$3,0,0,'Données projet'!$E$9+1,1))</f>
        <v>214.30779675250909</v>
      </c>
      <c r="T39" s="62">
        <f t="shared" si="34"/>
        <v>172.9006610021255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0.68480726888200694</v>
      </c>
      <c r="AA39" s="23">
        <f>EXP(-LN(2)/25)*AA38+(1-EXP(-LN(2)/25))/(LN(2)/25)*Calculateur!V39*Calculateur!X39*VLOOKUP('Données projet'!$B$9,Paramètres!$A$1:$I$89,3,0)*0.475*44/12</f>
        <v>2.0640538240480102</v>
      </c>
      <c r="AB39" s="23">
        <f>EXP(-LN(2)/2)*AB38+(1-EXP(-LN(2)/2))/(LN(2)/2)*V39*Y39*VLOOKUP('Données projet'!$B$9,Paramètres!$A$1:$I$89,3,0)*0.475*44/12</f>
        <v>0.68926273192287113</v>
      </c>
      <c r="AC39" s="24">
        <f t="shared" si="3"/>
        <v>3.4381238248528883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700.71963223779881</v>
      </c>
      <c r="AN39" s="62">
        <f ca="1">AVERAGE(OFFSET($AM$3,0,0,'Données projet'!$E$10+1,1))-AVERAGE(OFFSET($H$3,0,0,'Données projet'!$E$10+1,1))</f>
        <v>206.5885410269899</v>
      </c>
      <c r="AO39" s="62">
        <f t="shared" si="36"/>
        <v>347.41156847586302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</v>
      </c>
      <c r="N40" s="14">
        <f>IF('Données projet'!$A$36&gt;35,N39+M40-V39,IF(A40&lt;'Données projet'!$A$36,$K$205^A40,IF(A40='Données projet'!$A$36,'Données projet'!$B$36,N39+M40-V39)))</f>
        <v>88.599999999999966</v>
      </c>
      <c r="O40" s="14">
        <f>N40*VLOOKUP('Données projet'!$B$9,Paramètres!$A$1:$I$89,3,0)*VLOOKUP('Données projet'!$B$9,Paramètres!$A$1:$I$89,5,0)</f>
        <v>71.872319999999974</v>
      </c>
      <c r="P40" s="14">
        <f t="shared" si="33"/>
        <v>20.137703912312322</v>
      </c>
      <c r="Q40" s="22">
        <f t="shared" si="53"/>
        <v>160.25079164727723</v>
      </c>
      <c r="R40" s="62">
        <f t="shared" si="0"/>
        <v>453.58412498061057</v>
      </c>
      <c r="S40" s="62">
        <f ca="1">AVERAGE(OFFSET($R$3,0,0,'Données projet'!$E$9+1,1))-AVERAGE(OFFSET($H$3,0,0,'Données projet'!$E$9+1,1))</f>
        <v>214.30779675250909</v>
      </c>
      <c r="T40" s="62">
        <f t="shared" si="34"/>
        <v>172.9006610021255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0.67137861603042126</v>
      </c>
      <c r="AA40" s="23">
        <f>EXP(-LN(2)/25)*AA39+(1-EXP(-LN(2)/25))/(LN(2)/25)*Calculateur!V40*Calculateur!X40*VLOOKUP('Données projet'!$B$9,Paramètres!$A$1:$I$89,3,0)*0.475*44/12</f>
        <v>2.0076121636855442</v>
      </c>
      <c r="AB40" s="23">
        <f>EXP(-LN(2)/2)*AB39+(1-EXP(-LN(2)/2))/(LN(2)/2)*V40*Y40*VLOOKUP('Données projet'!$B$9,Paramètres!$A$1:$I$89,3,0)*0.475*44/12</f>
        <v>0.48738235176182765</v>
      </c>
      <c r="AC40" s="24">
        <f t="shared" si="3"/>
        <v>3.1663731314777932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716.77447436730927</v>
      </c>
      <c r="AN40" s="62">
        <f ca="1">AVERAGE(OFFSET($AM$3,0,0,'Données projet'!$E$10+1,1))-AVERAGE(OFFSET($H$3,0,0,'Données projet'!$E$10+1,1))</f>
        <v>206.5885410269899</v>
      </c>
      <c r="AO40" s="62">
        <f t="shared" si="36"/>
        <v>347.41156847586302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</v>
      </c>
      <c r="N41" s="14">
        <f>IF('Données projet'!$A$36&gt;35,N40+M41-V40,IF(A41&lt;'Données projet'!$A$36,$K$205^A41,IF(A41='Données projet'!$A$36,'Données projet'!$B$36,N40+M41-V40)))</f>
        <v>93.399999999999963</v>
      </c>
      <c r="O41" s="14">
        <f>N41*VLOOKUP('Données projet'!$B$9,Paramètres!$A$1:$I$89,3,0)*VLOOKUP('Données projet'!$B$9,Paramètres!$A$1:$I$89,5,0)</f>
        <v>75.766079999999974</v>
      </c>
      <c r="P41" s="14">
        <f t="shared" si="33"/>
        <v>21.09871541273251</v>
      </c>
      <c r="Q41" s="22">
        <f t="shared" si="53"/>
        <v>168.70618534384241</v>
      </c>
      <c r="R41" s="62">
        <f t="shared" si="0"/>
        <v>462.03951867717569</v>
      </c>
      <c r="S41" s="62">
        <f ca="1">AVERAGE(OFFSET($R$3,0,0,'Données projet'!$E$9+1,1))-AVERAGE(OFFSET($H$3,0,0,'Données projet'!$E$9+1,1))</f>
        <v>214.30779675250909</v>
      </c>
      <c r="T41" s="62">
        <f t="shared" si="34"/>
        <v>172.9006610021255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0.65821329087058567</v>
      </c>
      <c r="AA41" s="23">
        <f>EXP(-LN(2)/25)*AA40+(1-EXP(-LN(2)/25))/(LN(2)/25)*Calculateur!V41*Calculateur!X41*VLOOKUP('Données projet'!$B$9,Paramètres!$A$1:$I$89,3,0)*0.475*44/12</f>
        <v>1.9527139034938277</v>
      </c>
      <c r="AB41" s="23">
        <f>EXP(-LN(2)/2)*AB40+(1-EXP(-LN(2)/2))/(LN(2)/2)*V41*Y41*VLOOKUP('Données projet'!$B$9,Paramètres!$A$1:$I$89,3,0)*0.475*44/12</f>
        <v>0.34463136596143562</v>
      </c>
      <c r="AC41" s="24">
        <f t="shared" si="3"/>
        <v>2.9555585603258487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732.81621910449587</v>
      </c>
      <c r="AN41" s="62">
        <f ca="1">AVERAGE(OFFSET($AM$3,0,0,'Données projet'!$E$10+1,1))-AVERAGE(OFFSET($H$3,0,0,'Données projet'!$E$10+1,1))</f>
        <v>206.5885410269899</v>
      </c>
      <c r="AO41" s="62">
        <f t="shared" si="36"/>
        <v>347.41156847586302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</v>
      </c>
      <c r="N42" s="14">
        <f>IF('Données projet'!$A$36&gt;35,N41+M42-V41,IF(A42&lt;'Données projet'!$A$36,$K$205^A42,IF(A42='Données projet'!$A$36,'Données projet'!$B$36,N41+M42-V41)))</f>
        <v>98.19999999999996</v>
      </c>
      <c r="O42" s="14">
        <f>N42*VLOOKUP('Données projet'!$B$9,Paramètres!$A$1:$I$89,3,0)*VLOOKUP('Données projet'!$B$9,Paramètres!$A$1:$I$89,5,0)</f>
        <v>79.659839999999974</v>
      </c>
      <c r="P42" s="14">
        <f t="shared" si="33"/>
        <v>22.053992625630261</v>
      </c>
      <c r="Q42" s="22">
        <f t="shared" si="53"/>
        <v>177.15159182297262</v>
      </c>
      <c r="R42" s="62">
        <f t="shared" si="0"/>
        <v>470.48492515630596</v>
      </c>
      <c r="S42" s="62">
        <f ca="1">AVERAGE(OFFSET($R$3,0,0,'Données projet'!$E$9+1,1))-AVERAGE(OFFSET($H$3,0,0,'Données projet'!$E$9+1,1))</f>
        <v>214.30779675250909</v>
      </c>
      <c r="T42" s="62">
        <f t="shared" si="34"/>
        <v>172.9006610021255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0.64530612970707901</v>
      </c>
      <c r="AA42" s="23">
        <f>EXP(-LN(2)/25)*AA41+(1-EXP(-LN(2)/25))/(LN(2)/25)*Calculateur!V42*Calculateur!X42*VLOOKUP('Données projet'!$B$9,Paramètres!$A$1:$I$89,3,0)*0.475*44/12</f>
        <v>1.8993168391140278</v>
      </c>
      <c r="AB42" s="23">
        <f>EXP(-LN(2)/2)*AB41+(1-EXP(-LN(2)/2))/(LN(2)/2)*V42*Y42*VLOOKUP('Données projet'!$B$9,Paramètres!$A$1:$I$89,3,0)*0.475*44/12</f>
        <v>0.24369117588091385</v>
      </c>
      <c r="AC42" s="24">
        <f t="shared" si="3"/>
        <v>2.7883141447020208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293.33333333333439</v>
      </c>
      <c r="AN42" s="62">
        <f ca="1">AVERAGE(OFFSET($AM$3,0,0,'Données projet'!$E$10+1,1))-AVERAGE(OFFSET($H$3,0,0,'Données projet'!$E$10+1,1))</f>
        <v>206.5885410269899</v>
      </c>
      <c r="AO42" s="62">
        <f t="shared" si="36"/>
        <v>347.41156847586302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103</v>
      </c>
      <c r="L43" s="13">
        <f>VLOOKUP(A43,'Données projet'!$A$35:$I$55,9,0)</f>
        <v>4.8</v>
      </c>
      <c r="M43" s="13">
        <f t="array" ref="M43">INDEX(L:L,MIN(IF(ISNUMBER(L43:L239),ROW(L43:L239),"")))</f>
        <v>4.8</v>
      </c>
      <c r="N43" s="14">
        <f>IF('Données projet'!$A$36&gt;35,N42+M43-V42,IF(A43&lt;'Données projet'!$A$36,$K$205^A43,IF(A43='Données projet'!$A$36,'Données projet'!$B$36,N42+M43-V42)))</f>
        <v>102.99999999999996</v>
      </c>
      <c r="O43" s="14">
        <f>N43*VLOOKUP('Données projet'!$B$9,Paramètres!$A$1:$I$89,3,0)*VLOOKUP('Données projet'!$B$9,Paramètres!$A$1:$I$89,5,0)</f>
        <v>83.553599999999975</v>
      </c>
      <c r="P43" s="14">
        <f t="shared" si="33"/>
        <v>23.00384783397265</v>
      </c>
      <c r="Q43" s="22">
        <f t="shared" si="53"/>
        <v>185.58755497750232</v>
      </c>
      <c r="R43" s="62">
        <f t="shared" si="0"/>
        <v>478.92088831083561</v>
      </c>
      <c r="S43" s="62">
        <f ca="1">AVERAGE(OFFSET($R$3,0,0,'Données projet'!$E$9+1,1))-AVERAGE(OFFSET($H$3,0,0,'Données projet'!$E$9+1,1))</f>
        <v>214.30779675250909</v>
      </c>
      <c r="T43" s="62">
        <f t="shared" si="34"/>
        <v>172.9006610021255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11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0.63265207010139779</v>
      </c>
      <c r="AA43" s="23">
        <f>EXP(-LN(2)/25)*AA42+(1-EXP(-LN(2)/25))/(LN(2)/25)*Calculateur!V43*Calculateur!X43*VLOOKUP('Données projet'!$B$9,Paramètres!$A$1:$I$89,3,0)*0.475*44/12</f>
        <v>1.847379920267723</v>
      </c>
      <c r="AB43" s="23">
        <f>EXP(-LN(2)/2)*AB42+(1-EXP(-LN(2)/2))/(LN(2)/2)*V43*Y43*VLOOKUP('Données projet'!$B$9,Paramètres!$A$1:$I$89,3,0)*0.475*44/12</f>
        <v>0.17231568298071784</v>
      </c>
      <c r="AC43" s="24">
        <f t="shared" si="3"/>
        <v>2.6523476733498388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293.33333333333439</v>
      </c>
      <c r="AN43" s="62">
        <f ca="1">AVERAGE(OFFSET($AM$3,0,0,'Données projet'!$E$10+1,1))-AVERAGE(OFFSET($H$3,0,0,'Données projet'!$E$10+1,1))</f>
        <v>206.5885410269899</v>
      </c>
      <c r="AO43" s="62">
        <f t="shared" si="36"/>
        <v>347.41156847586302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4.8</v>
      </c>
      <c r="N44" s="14">
        <f>IF('Données projet'!$A$36&gt;35,N43+M44-V43,IF(A44&lt;'Données projet'!$A$36,$K$205^A44,IF(A44='Données projet'!$A$36,'Données projet'!$B$36,N43+M44-V43)))</f>
        <v>96.799999999999955</v>
      </c>
      <c r="O44" s="14">
        <f>N44*VLOOKUP('Données projet'!$B$9,Paramètres!$A$1:$I$89,3,0)*VLOOKUP('Données projet'!$B$9,Paramètres!$A$1:$I$89,5,0)</f>
        <v>78.524159999999966</v>
      </c>
      <c r="P44" s="14">
        <f t="shared" si="33"/>
        <v>21.775943454443503</v>
      </c>
      <c r="Q44" s="22">
        <f t="shared" si="53"/>
        <v>174.68934684982239</v>
      </c>
      <c r="R44" s="62">
        <f t="shared" si="0"/>
        <v>468.02268018315567</v>
      </c>
      <c r="S44" s="62">
        <f ca="1">AVERAGE(OFFSET($R$3,0,0,'Données projet'!$E$9+1,1))-AVERAGE(OFFSET($H$3,0,0,'Données projet'!$E$9+1,1))</f>
        <v>214.30779675250909</v>
      </c>
      <c r="T44" s="62">
        <f t="shared" si="34"/>
        <v>172.9006610021255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0.62024614888636964</v>
      </c>
      <c r="AA44" s="23">
        <f>EXP(-LN(2)/25)*AA43+(1-EXP(-LN(2)/25))/(LN(2)/25)*Calculateur!V44*Calculateur!X44*VLOOKUP('Données projet'!$B$9,Paramètres!$A$1:$I$89,3,0)*0.475*44/12</f>
        <v>1.7968632191985143</v>
      </c>
      <c r="AB44" s="23">
        <f>EXP(-LN(2)/2)*AB43+(1-EXP(-LN(2)/2))/(LN(2)/2)*V44*Y44*VLOOKUP('Données projet'!$B$9,Paramètres!$A$1:$I$89,3,0)*0.475*44/12</f>
        <v>0.12184558794045695</v>
      </c>
      <c r="AC44" s="24">
        <f t="shared" si="3"/>
        <v>2.5389549560253406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293.33333333333439</v>
      </c>
      <c r="AN44" s="62">
        <f ca="1">AVERAGE(OFFSET($AM$3,0,0,'Données projet'!$E$10+1,1))-AVERAGE(OFFSET($H$3,0,0,'Données projet'!$E$10+1,1))</f>
        <v>206.5885410269899</v>
      </c>
      <c r="AO44" s="62">
        <f t="shared" si="36"/>
        <v>347.41156847586302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4.8</v>
      </c>
      <c r="N45" s="14">
        <f>IF('Données projet'!$A$36&gt;35,N44+M45-V44,IF(A45&lt;'Données projet'!$A$36,$K$205^A45,IF(A45='Données projet'!$A$36,'Données projet'!$B$36,N44+M45-V44)))</f>
        <v>101.59999999999995</v>
      </c>
      <c r="O45" s="14">
        <f>N45*VLOOKUP('Données projet'!$B$9,Paramètres!$A$1:$I$89,3,0)*VLOOKUP('Données projet'!$B$9,Paramètres!$A$1:$I$89,5,0)</f>
        <v>82.417919999999967</v>
      </c>
      <c r="P45" s="14">
        <f t="shared" si="33"/>
        <v>22.727349719580065</v>
      </c>
      <c r="Q45" s="22">
        <f t="shared" si="53"/>
        <v>183.12801142826854</v>
      </c>
      <c r="R45" s="62">
        <f t="shared" si="0"/>
        <v>476.46134476160182</v>
      </c>
      <c r="S45" s="62">
        <f ca="1">AVERAGE(OFFSET($R$3,0,0,'Données projet'!$E$9+1,1))-AVERAGE(OFFSET($H$3,0,0,'Données projet'!$E$9+1,1))</f>
        <v>214.30779675250909</v>
      </c>
      <c r="T45" s="62">
        <f t="shared" si="34"/>
        <v>172.9006610021255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0.60808350021950341</v>
      </c>
      <c r="AA45" s="23">
        <f>EXP(-LN(2)/25)*AA44+(1-EXP(-LN(2)/25))/(LN(2)/25)*Calculateur!V45*Calculateur!X45*VLOOKUP('Données projet'!$B$9,Paramètres!$A$1:$I$89,3,0)*0.475*44/12</f>
        <v>1.7477278999766011</v>
      </c>
      <c r="AB45" s="23">
        <f>EXP(-LN(2)/2)*AB44+(1-EXP(-LN(2)/2))/(LN(2)/2)*V45*Y45*VLOOKUP('Données projet'!$B$9,Paramètres!$A$1:$I$89,3,0)*0.475*44/12</f>
        <v>8.6157841490358933E-2</v>
      </c>
      <c r="AC45" s="24">
        <f t="shared" si="3"/>
        <v>2.4419692416864631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293.33333333333439</v>
      </c>
      <c r="AN45" s="62">
        <f ca="1">AVERAGE(OFFSET($AM$3,0,0,'Données projet'!$E$10+1,1))-AVERAGE(OFFSET($H$3,0,0,'Données projet'!$E$10+1,1))</f>
        <v>206.5885410269899</v>
      </c>
      <c r="AO45" s="62">
        <f t="shared" si="36"/>
        <v>347.41156847586302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4.8</v>
      </c>
      <c r="N46" s="14">
        <f>IF('Données projet'!$A$36&gt;35,N45+M46-V45,IF(A46&lt;'Données projet'!$A$36,$K$205^A46,IF(A46='Données projet'!$A$36,'Données projet'!$B$36,N45+M46-V45)))</f>
        <v>106.39999999999995</v>
      </c>
      <c r="O46" s="14">
        <f>N46*VLOOKUP('Données projet'!$B$9,Paramètres!$A$1:$I$89,3,0)*VLOOKUP('Données projet'!$B$9,Paramètres!$A$1:$I$89,5,0)</f>
        <v>86.311679999999967</v>
      </c>
      <c r="P46" s="14">
        <f t="shared" si="33"/>
        <v>23.673536308765939</v>
      </c>
      <c r="Q46" s="22">
        <f t="shared" si="53"/>
        <v>191.55758507110059</v>
      </c>
      <c r="R46" s="62">
        <f t="shared" si="0"/>
        <v>484.89091840443393</v>
      </c>
      <c r="S46" s="62">
        <f ca="1">AVERAGE(OFFSET($R$3,0,0,'Données projet'!$E$9+1,1))-AVERAGE(OFFSET($H$3,0,0,'Données projet'!$E$9+1,1))</f>
        <v>214.30779675250909</v>
      </c>
      <c r="T46" s="62">
        <f t="shared" si="34"/>
        <v>172.9006610021255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0.59615935367451134</v>
      </c>
      <c r="AA46" s="23">
        <f>EXP(-LN(2)/25)*AA45+(1-EXP(-LN(2)/25))/(LN(2)/25)*Calculateur!V46*Calculateur!X46*VLOOKUP('Données projet'!$B$9,Paramètres!$A$1:$I$89,3,0)*0.475*44/12</f>
        <v>1.6999361886427251</v>
      </c>
      <c r="AB46" s="23">
        <f>EXP(-LN(2)/2)*AB45+(1-EXP(-LN(2)/2))/(LN(2)/2)*V46*Y46*VLOOKUP('Données projet'!$B$9,Paramètres!$A$1:$I$89,3,0)*0.475*44/12</f>
        <v>6.0922793970228484E-2</v>
      </c>
      <c r="AC46" s="24">
        <f t="shared" si="3"/>
        <v>2.357018336287465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293.33333333333439</v>
      </c>
      <c r="AN46" s="62">
        <f ca="1">AVERAGE(OFFSET($AM$3,0,0,'Données projet'!$E$10+1,1))-AVERAGE(OFFSET($H$3,0,0,'Données projet'!$E$10+1,1))</f>
        <v>206.5885410269899</v>
      </c>
      <c r="AO46" s="62">
        <f t="shared" si="36"/>
        <v>347.41156847586302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4.8</v>
      </c>
      <c r="N47" s="14">
        <f>IF('Données projet'!$A$36&gt;35,N46+M47-V46,IF(A47&lt;'Données projet'!$A$36,$K$205^A47,IF(A47='Données projet'!$A$36,'Données projet'!$B$36,N46+M47-V46)))</f>
        <v>111.19999999999995</v>
      </c>
      <c r="O47" s="14">
        <f>N47*VLOOKUP('Données projet'!$B$9,Paramètres!$A$1:$I$89,3,0)*VLOOKUP('Données projet'!$B$9,Paramètres!$A$1:$I$89,5,0)</f>
        <v>90.205439999999967</v>
      </c>
      <c r="P47" s="14">
        <f t="shared" si="33"/>
        <v>24.614765598107038</v>
      </c>
      <c r="Q47" s="22">
        <f t="shared" si="53"/>
        <v>199.97852475003637</v>
      </c>
      <c r="R47" s="62">
        <f t="shared" si="0"/>
        <v>493.31185808336966</v>
      </c>
      <c r="S47" s="62">
        <f ca="1">AVERAGE(OFFSET($R$3,0,0,'Données projet'!$E$9+1,1))-AVERAGE(OFFSET($H$3,0,0,'Données projet'!$E$9+1,1))</f>
        <v>214.30779675250909</v>
      </c>
      <c r="T47" s="62">
        <f t="shared" si="34"/>
        <v>172.9006610021255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0.58446903237025527</v>
      </c>
      <c r="AA47" s="23">
        <f>EXP(-LN(2)/25)*AA46+(1-EXP(-LN(2)/25))/(LN(2)/25)*Calculateur!V47*Calculateur!X47*VLOOKUP('Données projet'!$B$9,Paramètres!$A$1:$I$89,3,0)*0.475*44/12</f>
        <v>1.6534513441685308</v>
      </c>
      <c r="AB47" s="23">
        <f>EXP(-LN(2)/2)*AB46+(1-EXP(-LN(2)/2))/(LN(2)/2)*V47*Y47*VLOOKUP('Données projet'!$B$9,Paramètres!$A$1:$I$89,3,0)*0.475*44/12</f>
        <v>4.3078920745179473E-2</v>
      </c>
      <c r="AC47" s="24">
        <f t="shared" si="3"/>
        <v>2.2809992972839654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293.33333333333439</v>
      </c>
      <c r="AN47" s="62">
        <f ca="1">AVERAGE(OFFSET($AM$3,0,0,'Données projet'!$E$10+1,1))-AVERAGE(OFFSET($H$3,0,0,'Données projet'!$E$10+1,1))</f>
        <v>206.5885410269899</v>
      </c>
      <c r="AO47" s="62">
        <f t="shared" si="36"/>
        <v>347.41156847586302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116</v>
      </c>
      <c r="L48" s="13">
        <f>VLOOKUP(A48,'Données projet'!$A$35:$I$55,9,0)</f>
        <v>4.8</v>
      </c>
      <c r="M48" s="13">
        <f t="array" ref="M48">INDEX(L:L,MIN(IF(ISNUMBER(L48:L244),ROW(L48:L244),"")))</f>
        <v>4.8</v>
      </c>
      <c r="N48" s="14">
        <f>IF('Données projet'!$A$36&gt;35,N47+M48-V47,IF(A48&lt;'Données projet'!$A$36,$K$205^A48,IF(A48='Données projet'!$A$36,'Données projet'!$B$36,N47+M48-V47)))</f>
        <v>115.99999999999994</v>
      </c>
      <c r="O48" s="14">
        <f>N48*VLOOKUP('Données projet'!$B$9,Paramètres!$A$1:$I$89,3,0)*VLOOKUP('Données projet'!$B$9,Paramètres!$A$1:$I$89,5,0)</f>
        <v>94.099199999999954</v>
      </c>
      <c r="P48" s="14">
        <f t="shared" si="33"/>
        <v>25.551276031514817</v>
      </c>
      <c r="Q48" s="22">
        <f t="shared" si="53"/>
        <v>208.39124575488822</v>
      </c>
      <c r="R48" s="62">
        <f t="shared" si="0"/>
        <v>501.7245790882215</v>
      </c>
      <c r="S48" s="62">
        <f ca="1">AVERAGE(OFFSET($R$3,0,0,'Données projet'!$E$9+1,1))-AVERAGE(OFFSET($H$3,0,0,'Données projet'!$E$9+1,1))</f>
        <v>214.30779675250909</v>
      </c>
      <c r="T48" s="62">
        <f t="shared" si="34"/>
        <v>172.9006610021255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11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0.57300795113638381</v>
      </c>
      <c r="AA48" s="23">
        <f>EXP(-LN(2)/25)*AA47+(1-EXP(-LN(2)/25))/(LN(2)/25)*Calculateur!V48*Calculateur!X48*VLOOKUP('Données projet'!$B$9,Paramètres!$A$1:$I$89,3,0)*0.475*44/12</f>
        <v>1.6082376302110151</v>
      </c>
      <c r="AB48" s="23">
        <f>EXP(-LN(2)/2)*AB47+(1-EXP(-LN(2)/2))/(LN(2)/2)*V48*Y48*VLOOKUP('Données projet'!$B$9,Paramètres!$A$1:$I$89,3,0)*0.475*44/12</f>
        <v>3.0461396985114245E-2</v>
      </c>
      <c r="AC48" s="24">
        <f t="shared" si="3"/>
        <v>2.2117069783325132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293.33333333333439</v>
      </c>
      <c r="AN48" s="62">
        <f ca="1">AVERAGE(OFFSET($AM$3,0,0,'Données projet'!$E$10+1,1))-AVERAGE(OFFSET($H$3,0,0,'Données projet'!$E$10+1,1))</f>
        <v>206.5885410269899</v>
      </c>
      <c r="AO48" s="62">
        <f t="shared" si="36"/>
        <v>347.41156847586302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4.5999999999999996</v>
      </c>
      <c r="N49" s="14">
        <f>IF('Données projet'!$A$36&gt;35,N48+M49-V48,IF(A49&lt;'Données projet'!$A$36,$K$205^A49,IF(A49='Données projet'!$A$36,'Données projet'!$B$36,N48+M49-V48)))</f>
        <v>109.59999999999994</v>
      </c>
      <c r="O49" s="14">
        <f>N49*VLOOKUP('Données projet'!$B$9,Paramètres!$A$1:$I$89,3,0)*VLOOKUP('Données projet'!$B$9,Paramètres!$A$1:$I$89,5,0)</f>
        <v>88.907519999999948</v>
      </c>
      <c r="P49" s="14">
        <f t="shared" si="33"/>
        <v>24.301558137766328</v>
      </c>
      <c r="Q49" s="22">
        <f t="shared" si="53"/>
        <v>197.1724777566096</v>
      </c>
      <c r="R49" s="62">
        <f t="shared" si="0"/>
        <v>490.50581108994288</v>
      </c>
      <c r="S49" s="62">
        <f ca="1">AVERAGE(OFFSET($R$3,0,0,'Données projet'!$E$9+1,1))-AVERAGE(OFFSET($H$3,0,0,'Données projet'!$E$9+1,1))</f>
        <v>214.30779675250909</v>
      </c>
      <c r="T49" s="62">
        <f t="shared" si="34"/>
        <v>172.9006610021255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0.56177161471493919</v>
      </c>
      <c r="AA49" s="23">
        <f>EXP(-LN(2)/25)*AA48+(1-EXP(-LN(2)/25))/(LN(2)/25)*Calculateur!V49*Calculateur!X49*VLOOKUP('Données projet'!$B$9,Paramètres!$A$1:$I$89,3,0)*0.475*44/12</f>
        <v>1.5642602876393537</v>
      </c>
      <c r="AB49" s="23">
        <f>EXP(-LN(2)/2)*AB48+(1-EXP(-LN(2)/2))/(LN(2)/2)*V49*Y49*VLOOKUP('Données projet'!$B$9,Paramètres!$A$1:$I$89,3,0)*0.475*44/12</f>
        <v>2.153946037258974E-2</v>
      </c>
      <c r="AC49" s="24">
        <f t="shared" si="3"/>
        <v>2.1475713627268824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293.33333333333439</v>
      </c>
      <c r="AN49" s="62">
        <f ca="1">AVERAGE(OFFSET($AM$3,0,0,'Données projet'!$E$10+1,1))-AVERAGE(OFFSET($H$3,0,0,'Données projet'!$E$10+1,1))</f>
        <v>206.5885410269899</v>
      </c>
      <c r="AO49" s="62">
        <f t="shared" si="36"/>
        <v>347.41156847586302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4.5999999999999996</v>
      </c>
      <c r="N50" s="14">
        <f>IF('Données projet'!$A$36&gt;35,N49+M50-V49,IF(A50&lt;'Données projet'!$A$36,$K$205^A50,IF(A50='Données projet'!$A$36,'Données projet'!$B$36,N49+M50-V49)))</f>
        <v>114.19999999999993</v>
      </c>
      <c r="O50" s="14">
        <f>N50*VLOOKUP('Données projet'!$B$9,Paramètres!$A$1:$I$89,3,0)*VLOOKUP('Données projet'!$B$9,Paramètres!$A$1:$I$89,5,0)</f>
        <v>92.639039999999952</v>
      </c>
      <c r="P50" s="14">
        <f t="shared" si="33"/>
        <v>25.200623374414562</v>
      </c>
      <c r="Q50" s="22">
        <f t="shared" si="53"/>
        <v>205.23741371043863</v>
      </c>
      <c r="R50" s="62">
        <f t="shared" si="0"/>
        <v>498.57074704377192</v>
      </c>
      <c r="S50" s="62">
        <f ca="1">AVERAGE(OFFSET($R$3,0,0,'Données projet'!$E$9+1,1))-AVERAGE(OFFSET($H$3,0,0,'Données projet'!$E$9+1,1))</f>
        <v>214.30779675250909</v>
      </c>
      <c r="T50" s="62">
        <f t="shared" si="34"/>
        <v>172.9006610021255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0.55075561599723066</v>
      </c>
      <c r="AA50" s="23">
        <f>EXP(-LN(2)/25)*AA49+(1-EXP(-LN(2)/25))/(LN(2)/25)*Calculateur!V50*Calculateur!X50*VLOOKUP('Données projet'!$B$9,Paramètres!$A$1:$I$89,3,0)*0.475*44/12</f>
        <v>1.5214855078129821</v>
      </c>
      <c r="AB50" s="23">
        <f>EXP(-LN(2)/2)*AB49+(1-EXP(-LN(2)/2))/(LN(2)/2)*V50*Y50*VLOOKUP('Données projet'!$B$9,Paramètres!$A$1:$I$89,3,0)*0.475*44/12</f>
        <v>1.5230698492557126E-2</v>
      </c>
      <c r="AC50" s="24">
        <f t="shared" si="3"/>
        <v>2.0874718223027697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293.33333333333439</v>
      </c>
      <c r="AN50" s="62">
        <f ca="1">AVERAGE(OFFSET($AM$3,0,0,'Données projet'!$E$10+1,1))-AVERAGE(OFFSET($H$3,0,0,'Données projet'!$E$10+1,1))</f>
        <v>206.5885410269899</v>
      </c>
      <c r="AO50" s="62">
        <f t="shared" si="36"/>
        <v>347.41156847586302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4.5999999999999996</v>
      </c>
      <c r="N51" s="14">
        <f>IF('Données projet'!$A$36&gt;35,N50+M51-V50,IF(A51&lt;'Données projet'!$A$36,$K$205^A51,IF(A51='Données projet'!$A$36,'Données projet'!$B$36,N50+M51-V50)))</f>
        <v>118.79999999999993</v>
      </c>
      <c r="O51" s="14">
        <f>N51*VLOOKUP('Données projet'!$B$9,Paramètres!$A$1:$I$89,3,0)*VLOOKUP('Données projet'!$B$9,Paramètres!$A$1:$I$89,5,0)</f>
        <v>96.370559999999941</v>
      </c>
      <c r="P51" s="14">
        <f t="shared" si="33"/>
        <v>26.09548190427931</v>
      </c>
      <c r="Q51" s="22">
        <f t="shared" si="53"/>
        <v>213.29502298328634</v>
      </c>
      <c r="R51" s="62">
        <f t="shared" si="0"/>
        <v>506.62835631661966</v>
      </c>
      <c r="S51" s="62">
        <f ca="1">AVERAGE(OFFSET($R$3,0,0,'Données projet'!$E$9+1,1))-AVERAGE(OFFSET($H$3,0,0,'Données projet'!$E$9+1,1))</f>
        <v>214.30779675250909</v>
      </c>
      <c r="T51" s="62">
        <f t="shared" si="34"/>
        <v>172.9006610021255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0.5399556342952806</v>
      </c>
      <c r="AA51" s="23">
        <f>EXP(-LN(2)/25)*AA50+(1-EXP(-LN(2)/25))/(LN(2)/25)*Calculateur!V51*Calculateur!X51*VLOOKUP('Données projet'!$B$9,Paramètres!$A$1:$I$89,3,0)*0.475*44/12</f>
        <v>1.4798804065903906</v>
      </c>
      <c r="AB51" s="23">
        <f>EXP(-LN(2)/2)*AB50+(1-EXP(-LN(2)/2))/(LN(2)/2)*V51*Y51*VLOOKUP('Données projet'!$B$9,Paramètres!$A$1:$I$89,3,0)*0.475*44/12</f>
        <v>1.0769730186294872E-2</v>
      </c>
      <c r="AC51" s="24">
        <f t="shared" si="3"/>
        <v>2.0306057710719658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293.33333333333439</v>
      </c>
      <c r="AN51" s="62">
        <f ca="1">AVERAGE(OFFSET($AM$3,0,0,'Données projet'!$E$10+1,1))-AVERAGE(OFFSET($H$3,0,0,'Données projet'!$E$10+1,1))</f>
        <v>206.5885410269899</v>
      </c>
      <c r="AO51" s="62">
        <f t="shared" si="36"/>
        <v>347.41156847586302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4.5999999999999996</v>
      </c>
      <c r="N52" s="14">
        <f>IF('Données projet'!$A$36&gt;35,N51+M52-V51,IF(A52&lt;'Données projet'!$A$36,$K$205^A52,IF(A52='Données projet'!$A$36,'Données projet'!$B$36,N51+M52-V51)))</f>
        <v>123.39999999999992</v>
      </c>
      <c r="O52" s="14">
        <f>N52*VLOOKUP('Données projet'!$B$9,Paramètres!$A$1:$I$89,3,0)*VLOOKUP('Données projet'!$B$9,Paramètres!$A$1:$I$89,5,0)</f>
        <v>100.10207999999994</v>
      </c>
      <c r="P52" s="14">
        <f t="shared" si="33"/>
        <v>26.986315256436281</v>
      </c>
      <c r="Q52" s="22">
        <f t="shared" si="53"/>
        <v>221.34562173829309</v>
      </c>
      <c r="R52" s="62">
        <f t="shared" si="0"/>
        <v>514.67895507162643</v>
      </c>
      <c r="S52" s="62">
        <f ca="1">AVERAGE(OFFSET($R$3,0,0,'Données projet'!$E$9+1,1))-AVERAGE(OFFSET($H$3,0,0,'Données projet'!$E$9+1,1))</f>
        <v>214.30779675250909</v>
      </c>
      <c r="T52" s="62">
        <f t="shared" si="34"/>
        <v>172.9006610021255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0.52936743364716743</v>
      </c>
      <c r="AA52" s="23">
        <f>EXP(-LN(2)/25)*AA51+(1-EXP(-LN(2)/25))/(LN(2)/25)*Calculateur!V52*Calculateur!X52*VLOOKUP('Données projet'!$B$9,Paramètres!$A$1:$I$89,3,0)*0.475*44/12</f>
        <v>1.4394129990486479</v>
      </c>
      <c r="AB52" s="23">
        <f>EXP(-LN(2)/2)*AB51+(1-EXP(-LN(2)/2))/(LN(2)/2)*V52*Y52*VLOOKUP('Données projet'!$B$9,Paramètres!$A$1:$I$89,3,0)*0.475*44/12</f>
        <v>7.6153492462785639E-3</v>
      </c>
      <c r="AC52" s="24">
        <f t="shared" si="3"/>
        <v>1.9763957819420939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293.33333333333439</v>
      </c>
      <c r="AN52" s="62">
        <f ca="1">AVERAGE(OFFSET($AM$3,0,0,'Données projet'!$E$10+1,1))-AVERAGE(OFFSET($H$3,0,0,'Données projet'!$E$10+1,1))</f>
        <v>206.5885410269899</v>
      </c>
      <c r="AO52" s="62">
        <f t="shared" si="36"/>
        <v>347.41156847586302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128</v>
      </c>
      <c r="L53" s="13">
        <f>VLOOKUP(A53,'Données projet'!$A$35:$I$55,9,0)</f>
        <v>4.5999999999999996</v>
      </c>
      <c r="M53" s="13">
        <f t="array" ref="M53">INDEX(L:L,MIN(IF(ISNUMBER(L53:L249),ROW(L53:L249),"")))</f>
        <v>4.5999999999999996</v>
      </c>
      <c r="N53" s="14">
        <f>IF('Données projet'!$A$36&gt;35,N52+M53-V52,IF(A53&lt;'Données projet'!$A$36,$K$205^A53,IF(A53='Données projet'!$A$36,'Données projet'!$B$36,N52+M53-V52)))</f>
        <v>127.99999999999991</v>
      </c>
      <c r="O53" s="14">
        <f>N53*VLOOKUP('Données projet'!$B$9,Paramètres!$A$1:$I$89,3,0)*VLOOKUP('Données projet'!$B$9,Paramètres!$A$1:$I$89,5,0)</f>
        <v>103.83359999999995</v>
      </c>
      <c r="P53" s="14">
        <f t="shared" si="33"/>
        <v>27.873290659436186</v>
      </c>
      <c r="Q53" s="22">
        <f t="shared" si="53"/>
        <v>229.38950123185126</v>
      </c>
      <c r="R53" s="62">
        <f t="shared" si="0"/>
        <v>522.7228345651846</v>
      </c>
      <c r="S53" s="62">
        <f ca="1">AVERAGE(OFFSET($R$3,0,0,'Données projet'!$E$9+1,1))-AVERAGE(OFFSET($H$3,0,0,'Données projet'!$E$9+1,1))</f>
        <v>214.30779675250909</v>
      </c>
      <c r="T53" s="62">
        <f t="shared" si="34"/>
        <v>172.9006610021255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11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0.518986861155599</v>
      </c>
      <c r="AA53" s="23">
        <f>EXP(-LN(2)/25)*AA52+(1-EXP(-LN(2)/25))/(LN(2)/25)*Calculateur!V53*Calculateur!X53*VLOOKUP('Données projet'!$B$9,Paramètres!$A$1:$I$89,3,0)*0.475*44/12</f>
        <v>1.400052174894223</v>
      </c>
      <c r="AB53" s="23">
        <f>EXP(-LN(2)/2)*AB52+(1-EXP(-LN(2)/2))/(LN(2)/2)*V53*Y53*VLOOKUP('Données projet'!$B$9,Paramètres!$A$1:$I$89,3,0)*0.475*44/12</f>
        <v>5.3848650931474368E-3</v>
      </c>
      <c r="AC53" s="24">
        <f t="shared" si="3"/>
        <v>1.9244239011429694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293.33333333333439</v>
      </c>
      <c r="AN53" s="62">
        <f ca="1">AVERAGE(OFFSET($AM$3,0,0,'Données projet'!$E$10+1,1))-AVERAGE(OFFSET($H$3,0,0,'Données projet'!$E$10+1,1))</f>
        <v>206.5885410269899</v>
      </c>
      <c r="AO53" s="62">
        <f t="shared" si="36"/>
        <v>347.41156847586302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4.4000000000000004</v>
      </c>
      <c r="N54" s="14">
        <f>IF('Données projet'!$A$36&gt;35,N53+M54-V53,IF(A54&lt;'Données projet'!$A$36,$K$205^A54,IF(A54='Données projet'!$A$36,'Données projet'!$B$36,N53+M54-V53)))</f>
        <v>121.39999999999992</v>
      </c>
      <c r="O54" s="14">
        <f>N54*VLOOKUP('Données projet'!$B$9,Paramètres!$A$1:$I$89,3,0)*VLOOKUP('Données projet'!$B$9,Paramètres!$A$1:$I$89,5,0)</f>
        <v>98.479679999999931</v>
      </c>
      <c r="P54" s="14">
        <f t="shared" si="33"/>
        <v>26.599479965290179</v>
      </c>
      <c r="Q54" s="22">
        <f t="shared" si="53"/>
        <v>217.84620360621361</v>
      </c>
      <c r="R54" s="62">
        <f t="shared" si="0"/>
        <v>511.17953693954689</v>
      </c>
      <c r="S54" s="62">
        <f ca="1">AVERAGE(OFFSET($R$3,0,0,'Données projet'!$E$9+1,1))-AVERAGE(OFFSET($H$3,0,0,'Données projet'!$E$9+1,1))</f>
        <v>214.30779675250909</v>
      </c>
      <c r="T54" s="62">
        <f t="shared" si="34"/>
        <v>172.9006610021255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0.50880984535906626</v>
      </c>
      <c r="AA54" s="23">
        <f>EXP(-LN(2)/25)*AA53+(1-EXP(-LN(2)/25))/(LN(2)/25)*Calculateur!V54*Calculateur!X54*VLOOKUP('Données projet'!$B$9,Paramètres!$A$1:$I$89,3,0)*0.475*44/12</f>
        <v>1.3617676745461964</v>
      </c>
      <c r="AB54" s="23">
        <f>EXP(-LN(2)/2)*AB53+(1-EXP(-LN(2)/2))/(LN(2)/2)*V54*Y54*VLOOKUP('Données projet'!$B$9,Paramètres!$A$1:$I$89,3,0)*0.475*44/12</f>
        <v>3.8076746231392828E-3</v>
      </c>
      <c r="AC54" s="24">
        <f t="shared" si="3"/>
        <v>1.874385194528402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293.33333333333439</v>
      </c>
      <c r="AN54" s="62">
        <f ca="1">AVERAGE(OFFSET($AM$3,0,0,'Données projet'!$E$10+1,1))-AVERAGE(OFFSET($H$3,0,0,'Données projet'!$E$10+1,1))</f>
        <v>206.5885410269899</v>
      </c>
      <c r="AO54" s="62">
        <f t="shared" si="36"/>
        <v>347.41156847586302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4.4000000000000004</v>
      </c>
      <c r="N55" s="14">
        <f>IF('Données projet'!$A$36&gt;35,N54+M55-V54,IF(A55&lt;'Données projet'!$A$36,$K$205^A55,IF(A55='Données projet'!$A$36,'Données projet'!$B$36,N54+M55-V54)))</f>
        <v>125.79999999999993</v>
      </c>
      <c r="O55" s="14">
        <f>N55*VLOOKUP('Données projet'!$B$9,Paramètres!$A$1:$I$89,3,0)*VLOOKUP('Données projet'!$B$9,Paramètres!$A$1:$I$89,5,0)</f>
        <v>102.04895999999995</v>
      </c>
      <c r="P55" s="14">
        <f t="shared" si="33"/>
        <v>27.44955630464851</v>
      </c>
      <c r="Q55" s="22">
        <f t="shared" si="53"/>
        <v>225.54324923059607</v>
      </c>
      <c r="R55" s="62">
        <f t="shared" si="0"/>
        <v>518.87658256392933</v>
      </c>
      <c r="S55" s="62">
        <f ca="1">AVERAGE(OFFSET($R$3,0,0,'Données projet'!$E$9+1,1))-AVERAGE(OFFSET($H$3,0,0,'Données projet'!$E$9+1,1))</f>
        <v>214.30779675250909</v>
      </c>
      <c r="T55" s="62">
        <f t="shared" si="34"/>
        <v>172.9006610021255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0.49883239463493678</v>
      </c>
      <c r="AA55" s="23">
        <f>EXP(-LN(2)/25)*AA54+(1-EXP(-LN(2)/25))/(LN(2)/25)*Calculateur!V55*Calculateur!X55*VLOOKUP('Données projet'!$B$9,Paramètres!$A$1:$I$89,3,0)*0.475*44/12</f>
        <v>1.3245300658734811</v>
      </c>
      <c r="AB55" s="23">
        <f>EXP(-LN(2)/2)*AB54+(1-EXP(-LN(2)/2))/(LN(2)/2)*V55*Y55*VLOOKUP('Données projet'!$B$9,Paramètres!$A$1:$I$89,3,0)*0.475*44/12</f>
        <v>2.6924325465737188E-3</v>
      </c>
      <c r="AC55" s="24">
        <f t="shared" si="3"/>
        <v>1.8260548930549918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293.33333333333439</v>
      </c>
      <c r="AN55" s="62">
        <f ca="1">AVERAGE(OFFSET($AM$3,0,0,'Données projet'!$E$10+1,1))-AVERAGE(OFFSET($H$3,0,0,'Données projet'!$E$10+1,1))</f>
        <v>206.5885410269899</v>
      </c>
      <c r="AO55" s="62">
        <f t="shared" si="36"/>
        <v>347.41156847586302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4.4000000000000004</v>
      </c>
      <c r="N56" s="14">
        <f>IF('Données projet'!$A$36&gt;35,N55+M56-V55,IF(A56&lt;'Données projet'!$A$36,$K$205^A56,IF(A56='Données projet'!$A$36,'Données projet'!$B$36,N55+M56-V55)))</f>
        <v>130.19999999999993</v>
      </c>
      <c r="O56" s="14">
        <f>N56*VLOOKUP('Données projet'!$B$9,Paramètres!$A$1:$I$89,3,0)*VLOOKUP('Données projet'!$B$9,Paramètres!$A$1:$I$89,5,0)</f>
        <v>105.61823999999994</v>
      </c>
      <c r="P56" s="14">
        <f t="shared" si="33"/>
        <v>28.296178084029037</v>
      </c>
      <c r="Q56" s="22">
        <f t="shared" si="53"/>
        <v>233.23427816301714</v>
      </c>
      <c r="R56" s="62">
        <f t="shared" si="0"/>
        <v>526.56761149635042</v>
      </c>
      <c r="S56" s="62">
        <f ca="1">AVERAGE(OFFSET($R$3,0,0,'Données projet'!$E$9+1,1))-AVERAGE(OFFSET($H$3,0,0,'Données projet'!$E$9+1,1))</f>
        <v>214.30779675250909</v>
      </c>
      <c r="T56" s="62">
        <f t="shared" si="34"/>
        <v>172.9006610021255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0.48905059563386344</v>
      </c>
      <c r="AA56" s="23">
        <f>EXP(-LN(2)/25)*AA55+(1-EXP(-LN(2)/25))/(LN(2)/25)*Calculateur!V56*Calculateur!X56*VLOOKUP('Données projet'!$B$9,Paramètres!$A$1:$I$89,3,0)*0.475*44/12</f>
        <v>1.288310721568162</v>
      </c>
      <c r="AB56" s="23">
        <f>EXP(-LN(2)/2)*AB55+(1-EXP(-LN(2)/2))/(LN(2)/2)*V56*Y56*VLOOKUP('Données projet'!$B$9,Paramètres!$A$1:$I$89,3,0)*0.475*44/12</f>
        <v>1.9038373115696416E-3</v>
      </c>
      <c r="AC56" s="24">
        <f t="shared" si="3"/>
        <v>1.7792651545135951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293.33333333333439</v>
      </c>
      <c r="AN56" s="62">
        <f ca="1">AVERAGE(OFFSET($AM$3,0,0,'Données projet'!$E$10+1,1))-AVERAGE(OFFSET($H$3,0,0,'Données projet'!$E$10+1,1))</f>
        <v>206.5885410269899</v>
      </c>
      <c r="AO56" s="62">
        <f t="shared" si="36"/>
        <v>347.41156847586302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4.4000000000000004</v>
      </c>
      <c r="N57" s="14">
        <f>IF('Données projet'!$A$36&gt;35,N56+M57-V56,IF(A57&lt;'Données projet'!$A$36,$K$205^A57,IF(A57='Données projet'!$A$36,'Données projet'!$B$36,N56+M57-V56)))</f>
        <v>134.59999999999994</v>
      </c>
      <c r="O57" s="14">
        <f>N57*VLOOKUP('Données projet'!$B$9,Paramètres!$A$1:$I$89,3,0)*VLOOKUP('Données projet'!$B$9,Paramètres!$A$1:$I$89,5,0)</f>
        <v>109.18751999999996</v>
      </c>
      <c r="P57" s="14">
        <f t="shared" si="33"/>
        <v>29.139475430705875</v>
      </c>
      <c r="Q57" s="22">
        <f t="shared" si="53"/>
        <v>240.91951704181267</v>
      </c>
      <c r="R57" s="62">
        <f t="shared" si="0"/>
        <v>534.25285037514595</v>
      </c>
      <c r="S57" s="62">
        <f ca="1">AVERAGE(OFFSET($R$3,0,0,'Données projet'!$E$9+1,1))-AVERAGE(OFFSET($H$3,0,0,'Données projet'!$E$9+1,1))</f>
        <v>214.30779675250909</v>
      </c>
      <c r="T57" s="62">
        <f t="shared" si="34"/>
        <v>172.9006610021255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0.47946061174489291</v>
      </c>
      <c r="AA57" s="23">
        <f>EXP(-LN(2)/25)*AA56+(1-EXP(-LN(2)/25))/(LN(2)/25)*Calculateur!V57*Calculateur!X57*VLOOKUP('Données projet'!$B$9,Paramètres!$A$1:$I$89,3,0)*0.475*44/12</f>
        <v>1.2530817971375643</v>
      </c>
      <c r="AB57" s="23">
        <f>EXP(-LN(2)/2)*AB56+(1-EXP(-LN(2)/2))/(LN(2)/2)*V57*Y57*VLOOKUP('Données projet'!$B$9,Paramètres!$A$1:$I$89,3,0)*0.475*44/12</f>
        <v>1.3462162732868596E-3</v>
      </c>
      <c r="AC57" s="24">
        <f t="shared" si="3"/>
        <v>1.7338886251557442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293.33333333333439</v>
      </c>
      <c r="AN57" s="62">
        <f ca="1">AVERAGE(OFFSET($AM$3,0,0,'Données projet'!$E$10+1,1))-AVERAGE(OFFSET($H$3,0,0,'Données projet'!$E$10+1,1))</f>
        <v>206.5885410269899</v>
      </c>
      <c r="AO57" s="62">
        <f t="shared" si="36"/>
        <v>347.41156847586302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139</v>
      </c>
      <c r="L58" s="13">
        <f>VLOOKUP(A58,'Données projet'!$A$35:$I$55,9,0)</f>
        <v>4.4000000000000004</v>
      </c>
      <c r="M58" s="13">
        <f t="array" ref="M58">INDEX(L:L,MIN(IF(ISNUMBER(L58:L254),ROW(L58:L254),"")))</f>
        <v>4.4000000000000004</v>
      </c>
      <c r="N58" s="14">
        <f>IF('Données projet'!$A$36&gt;35,N57+M58-V57,IF(A58&lt;'Données projet'!$A$36,$K$205^A58,IF(A58='Données projet'!$A$36,'Données projet'!$B$36,N57+M58-V57)))</f>
        <v>138.99999999999994</v>
      </c>
      <c r="O58" s="14">
        <f>N58*VLOOKUP('Données projet'!$B$9,Paramètres!$A$1:$I$89,3,0)*VLOOKUP('Données projet'!$B$9,Paramètres!$A$1:$I$89,5,0)</f>
        <v>112.75679999999996</v>
      </c>
      <c r="P58" s="14">
        <f t="shared" si="33"/>
        <v>29.979569481474449</v>
      </c>
      <c r="Q58" s="22">
        <f t="shared" si="53"/>
        <v>248.59917684690126</v>
      </c>
      <c r="R58" s="62">
        <f t="shared" si="0"/>
        <v>541.93251018023454</v>
      </c>
      <c r="S58" s="62">
        <f ca="1">AVERAGE(OFFSET($R$3,0,0,'Données projet'!$E$9+1,1))-AVERAGE(OFFSET($H$3,0,0,'Données projet'!$E$9+1,1))</f>
        <v>214.30779675250909</v>
      </c>
      <c r="T58" s="62">
        <f t="shared" si="34"/>
        <v>172.9006610021255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11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0.47005868159067249</v>
      </c>
      <c r="AA58" s="23">
        <f>EXP(-LN(2)/25)*AA57+(1-EXP(-LN(2)/25))/(LN(2)/25)*Calculateur!V58*Calculateur!X58*VLOOKUP('Données projet'!$B$9,Paramètres!$A$1:$I$89,3,0)*0.475*44/12</f>
        <v>1.2188162094981299</v>
      </c>
      <c r="AB58" s="23">
        <f>EXP(-LN(2)/2)*AB57+(1-EXP(-LN(2)/2))/(LN(2)/2)*V58*Y58*VLOOKUP('Données projet'!$B$9,Paramètres!$A$1:$I$89,3,0)*0.475*44/12</f>
        <v>9.5191865578482093E-4</v>
      </c>
      <c r="AC58" s="24">
        <f t="shared" si="3"/>
        <v>1.6898268097445872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293.33333333333439</v>
      </c>
      <c r="AN58" s="62">
        <f ca="1">AVERAGE(OFFSET($AM$3,0,0,'Données projet'!$E$10+1,1))-AVERAGE(OFFSET($H$3,0,0,'Données projet'!$E$10+1,1))</f>
        <v>206.5885410269899</v>
      </c>
      <c r="AO58" s="62">
        <f t="shared" si="36"/>
        <v>347.41156847586302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4.2</v>
      </c>
      <c r="N59" s="14">
        <f>IF('Données projet'!$A$36&gt;35,N58+M59-V58,IF(A59&lt;'Données projet'!$A$36,$K$205^A59,IF(A59='Données projet'!$A$36,'Données projet'!$B$36,N58+M59-V58)))</f>
        <v>132.19999999999993</v>
      </c>
      <c r="O59" s="14">
        <f>N59*VLOOKUP('Données projet'!$B$9,Paramètres!$A$1:$I$89,3,0)*VLOOKUP('Données projet'!$B$9,Paramètres!$A$1:$I$89,5,0)</f>
        <v>107.24063999999996</v>
      </c>
      <c r="P59" s="14">
        <f t="shared" si="33"/>
        <v>28.679899700503576</v>
      </c>
      <c r="Q59" s="22">
        <f t="shared" si="53"/>
        <v>236.7282733117103</v>
      </c>
      <c r="R59" s="62">
        <f t="shared" si="0"/>
        <v>530.06160664504364</v>
      </c>
      <c r="S59" s="62">
        <f ca="1">AVERAGE(OFFSET($R$3,0,0,'Données projet'!$E$9+1,1))-AVERAGE(OFFSET($H$3,0,0,'Données projet'!$E$9+1,1))</f>
        <v>214.30779675250909</v>
      </c>
      <c r="T59" s="62">
        <f t="shared" si="34"/>
        <v>172.9006610021255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0.46084111755216517</v>
      </c>
      <c r="AA59" s="23">
        <f>EXP(-LN(2)/25)*AA58+(1-EXP(-LN(2)/25))/(LN(2)/25)*Calculateur!V59*Calculateur!X59*VLOOKUP('Données projet'!$B$9,Paramètres!$A$1:$I$89,3,0)*0.475*44/12</f>
        <v>1.1854876161546446</v>
      </c>
      <c r="AB59" s="23">
        <f>EXP(-LN(2)/2)*AB58+(1-EXP(-LN(2)/2))/(LN(2)/2)*V59*Y59*VLOOKUP('Données projet'!$B$9,Paramètres!$A$1:$I$89,3,0)*0.475*44/12</f>
        <v>6.7310813664342992E-4</v>
      </c>
      <c r="AC59" s="24">
        <f t="shared" si="3"/>
        <v>1.6470018418434531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293.33333333333439</v>
      </c>
      <c r="AN59" s="62">
        <f ca="1">AVERAGE(OFFSET($AM$3,0,0,'Données projet'!$E$10+1,1))-AVERAGE(OFFSET($H$3,0,0,'Données projet'!$E$10+1,1))</f>
        <v>206.5885410269899</v>
      </c>
      <c r="AO59" s="62">
        <f t="shared" si="36"/>
        <v>347.41156847586302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4.2</v>
      </c>
      <c r="N60" s="14">
        <f>IF('Données projet'!$A$36&gt;35,N59+M60-V59,IF(A60&lt;'Données projet'!$A$36,$K$205^A60,IF(A60='Données projet'!$A$36,'Données projet'!$B$36,N59+M60-V59)))</f>
        <v>136.39999999999992</v>
      </c>
      <c r="O60" s="14">
        <f>N60*VLOOKUP('Données projet'!$B$9,Paramètres!$A$1:$I$89,3,0)*VLOOKUP('Données projet'!$B$9,Paramètres!$A$1:$I$89,5,0)</f>
        <v>110.64767999999994</v>
      </c>
      <c r="P60" s="14">
        <f t="shared" si="33"/>
        <v>29.483530853816045</v>
      </c>
      <c r="Q60" s="22">
        <f t="shared" si="53"/>
        <v>244.06185890372947</v>
      </c>
      <c r="R60" s="62">
        <f t="shared" si="0"/>
        <v>537.39519223706282</v>
      </c>
      <c r="S60" s="62">
        <f ca="1">AVERAGE(OFFSET($R$3,0,0,'Données projet'!$E$9+1,1))-AVERAGE(OFFSET($H$3,0,0,'Données projet'!$E$9+1,1))</f>
        <v>214.30779675250909</v>
      </c>
      <c r="T60" s="62">
        <f t="shared" si="34"/>
        <v>172.9006610021255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0.45180430432229407</v>
      </c>
      <c r="AA60" s="23">
        <f>EXP(-LN(2)/25)*AA59+(1-EXP(-LN(2)/25))/(LN(2)/25)*Calculateur!V60*Calculateur!X60*VLOOKUP('Données projet'!$B$9,Paramètres!$A$1:$I$89,3,0)*0.475*44/12</f>
        <v>1.1530703949488115</v>
      </c>
      <c r="AB60" s="23">
        <f>EXP(-LN(2)/2)*AB59+(1-EXP(-LN(2)/2))/(LN(2)/2)*V60*Y60*VLOOKUP('Données projet'!$B$9,Paramètres!$A$1:$I$89,3,0)*0.475*44/12</f>
        <v>4.7595932789241057E-4</v>
      </c>
      <c r="AC60" s="24">
        <f t="shared" si="3"/>
        <v>1.6053506585989981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293.33333333333439</v>
      </c>
      <c r="AN60" s="62">
        <f ca="1">AVERAGE(OFFSET($AM$3,0,0,'Données projet'!$E$10+1,1))-AVERAGE(OFFSET($H$3,0,0,'Données projet'!$E$10+1,1))</f>
        <v>206.5885410269899</v>
      </c>
      <c r="AO60" s="62">
        <f t="shared" si="36"/>
        <v>347.41156847586302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4.2</v>
      </c>
      <c r="N61" s="14">
        <f>IF('Données projet'!$A$36&gt;35,N60+M61-V60,IF(A61&lt;'Données projet'!$A$36,$K$205^A61,IF(A61='Données projet'!$A$36,'Données projet'!$B$36,N60+M61-V60)))</f>
        <v>140.59999999999991</v>
      </c>
      <c r="O61" s="14">
        <f>N61*VLOOKUP('Données projet'!$B$9,Paramètres!$A$1:$I$89,3,0)*VLOOKUP('Données projet'!$B$9,Paramètres!$A$1:$I$89,5,0)</f>
        <v>114.05471999999993</v>
      </c>
      <c r="P61" s="14">
        <f t="shared" si="33"/>
        <v>30.284286336638992</v>
      </c>
      <c r="Q61" s="22">
        <f t="shared" si="53"/>
        <v>251.39043603631282</v>
      </c>
      <c r="R61" s="62">
        <f t="shared" si="0"/>
        <v>544.72376936964611</v>
      </c>
      <c r="S61" s="62">
        <f ca="1">AVERAGE(OFFSET($R$3,0,0,'Données projet'!$E$9+1,1))-AVERAGE(OFFSET($H$3,0,0,'Données projet'!$E$9+1,1))</f>
        <v>214.30779675250909</v>
      </c>
      <c r="T61" s="62">
        <f t="shared" si="34"/>
        <v>172.9006610021255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0.4429446974879489</v>
      </c>
      <c r="AA61" s="23">
        <f>EXP(-LN(2)/25)*AA60+(1-EXP(-LN(2)/25))/(LN(2)/25)*Calculateur!V61*Calculateur!X61*VLOOKUP('Données projet'!$B$9,Paramètres!$A$1:$I$89,3,0)*0.475*44/12</f>
        <v>1.1215396243615996</v>
      </c>
      <c r="AB61" s="23">
        <f>EXP(-LN(2)/2)*AB60+(1-EXP(-LN(2)/2))/(LN(2)/2)*V61*Y61*VLOOKUP('Données projet'!$B$9,Paramètres!$A$1:$I$89,3,0)*0.475*44/12</f>
        <v>3.3655406832171502E-4</v>
      </c>
      <c r="AC61" s="24">
        <f t="shared" si="3"/>
        <v>1.5648208759178703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293.33333333333439</v>
      </c>
      <c r="AN61" s="62">
        <f ca="1">AVERAGE(OFFSET($AM$3,0,0,'Données projet'!$E$10+1,1))-AVERAGE(OFFSET($H$3,0,0,'Données projet'!$E$10+1,1))</f>
        <v>206.5885410269899</v>
      </c>
      <c r="AO61" s="62">
        <f t="shared" si="36"/>
        <v>347.41156847586302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4.2</v>
      </c>
      <c r="N62" s="14">
        <f>IF('Données projet'!$A$36&gt;35,N61+M62-V61,IF(A62&lt;'Données projet'!$A$36,$K$205^A62,IF(A62='Données projet'!$A$36,'Données projet'!$B$36,N61+M62-V61)))</f>
        <v>144.7999999999999</v>
      </c>
      <c r="O62" s="14">
        <f>N62*VLOOKUP('Données projet'!$B$9,Paramètres!$A$1:$I$89,3,0)*VLOOKUP('Données projet'!$B$9,Paramètres!$A$1:$I$89,5,0)</f>
        <v>117.46175999999993</v>
      </c>
      <c r="P62" s="14">
        <f t="shared" si="33"/>
        <v>31.082261912268322</v>
      </c>
      <c r="Q62" s="22">
        <f t="shared" si="53"/>
        <v>258.71417149720054</v>
      </c>
      <c r="R62" s="62">
        <f t="shared" si="0"/>
        <v>552.04750483053385</v>
      </c>
      <c r="S62" s="62">
        <f ca="1">AVERAGE(OFFSET($R$3,0,0,'Données projet'!$E$9+1,1))-AVERAGE(OFFSET($H$3,0,0,'Données projet'!$E$9+1,1))</f>
        <v>214.30779675250909</v>
      </c>
      <c r="T62" s="62">
        <f t="shared" si="34"/>
        <v>172.9006610021255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0.43425882213979866</v>
      </c>
      <c r="AA62" s="23">
        <f>EXP(-LN(2)/25)*AA61+(1-EXP(-LN(2)/25))/(LN(2)/25)*Calculateur!V62*Calculateur!X62*VLOOKUP('Données projet'!$B$9,Paramètres!$A$1:$I$89,3,0)*0.475*44/12</f>
        <v>1.0908710643542261</v>
      </c>
      <c r="AB62" s="23">
        <f>EXP(-LN(2)/2)*AB61+(1-EXP(-LN(2)/2))/(LN(2)/2)*V62*Y62*VLOOKUP('Données projet'!$B$9,Paramètres!$A$1:$I$89,3,0)*0.475*44/12</f>
        <v>2.3797966394620531E-4</v>
      </c>
      <c r="AC62" s="24">
        <f t="shared" si="3"/>
        <v>1.525367866157971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293.33333333333439</v>
      </c>
      <c r="AN62" s="62">
        <f ca="1">AVERAGE(OFFSET($AM$3,0,0,'Données projet'!$E$10+1,1))-AVERAGE(OFFSET($H$3,0,0,'Données projet'!$E$10+1,1))</f>
        <v>206.5885410269899</v>
      </c>
      <c r="AO62" s="62">
        <f t="shared" si="36"/>
        <v>347.41156847586302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149</v>
      </c>
      <c r="L63" s="13">
        <f>VLOOKUP(A63,'Données projet'!$A$35:$I$55,9,0)</f>
        <v>4.2</v>
      </c>
      <c r="M63" s="13">
        <f t="array" ref="M63">INDEX(L:L,MIN(IF(ISNUMBER(L63:L259),ROW(L63:L259),"")))</f>
        <v>4.2</v>
      </c>
      <c r="N63" s="14">
        <f>IF('Données projet'!$A$36&gt;35,N62+M63-V62,IF(A63&lt;'Données projet'!$A$36,$K$205^A63,IF(A63='Données projet'!$A$36,'Données projet'!$B$36,N62+M63-V62)))</f>
        <v>148.99999999999989</v>
      </c>
      <c r="O63" s="14">
        <f>N63*VLOOKUP('Données projet'!$B$9,Paramètres!$A$1:$I$89,3,0)*VLOOKUP('Données projet'!$B$9,Paramètres!$A$1:$I$89,5,0)</f>
        <v>120.86879999999992</v>
      </c>
      <c r="P63" s="14">
        <f t="shared" si="33"/>
        <v>31.877547472771241</v>
      </c>
      <c r="Q63" s="22">
        <f t="shared" si="53"/>
        <v>266.03322184840977</v>
      </c>
      <c r="R63" s="62">
        <f t="shared" si="0"/>
        <v>559.36655518174302</v>
      </c>
      <c r="S63" s="62">
        <f ca="1">AVERAGE(OFFSET($R$3,0,0,'Données projet'!$E$9+1,1))-AVERAGE(OFFSET($H$3,0,0,'Données projet'!$E$9+1,1))</f>
        <v>214.30779675250909</v>
      </c>
      <c r="T63" s="62">
        <f t="shared" si="34"/>
        <v>172.9006610021255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11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0.42574327150936481</v>
      </c>
      <c r="AA63" s="23">
        <f>EXP(-LN(2)/25)*AA62+(1-EXP(-LN(2)/25))/(LN(2)/25)*Calculateur!V63*Calculateur!X63*VLOOKUP('Données projet'!$B$9,Paramètres!$A$1:$I$89,3,0)*0.475*44/12</f>
        <v>1.0610411377330438</v>
      </c>
      <c r="AB63" s="23">
        <f>EXP(-LN(2)/2)*AB62+(1-EXP(-LN(2)/2))/(LN(2)/2)*V63*Y63*VLOOKUP('Données projet'!$B$9,Paramètres!$A$1:$I$89,3,0)*0.475*44/12</f>
        <v>1.6827703416085753E-4</v>
      </c>
      <c r="AC63" s="24">
        <f t="shared" si="3"/>
        <v>1.4869526862765694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293.33333333333439</v>
      </c>
      <c r="AN63" s="62">
        <f ca="1">AVERAGE(OFFSET($AM$3,0,0,'Données projet'!$E$10+1,1))-AVERAGE(OFFSET($H$3,0,0,'Données projet'!$E$10+1,1))</f>
        <v>206.5885410269899</v>
      </c>
      <c r="AO63" s="62">
        <f t="shared" si="36"/>
        <v>347.41156847586302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</v>
      </c>
      <c r="N64" s="14">
        <f>IF('Données projet'!$A$36&gt;35,N63+M64-V63,IF(A64&lt;'Données projet'!$A$36,$K$205^A64,IF(A64='Données projet'!$A$36,'Données projet'!$B$36,N63+M64-V63)))</f>
        <v>141.99999999999989</v>
      </c>
      <c r="O64" s="14">
        <f>N64*VLOOKUP('Données projet'!$B$9,Paramètres!$A$1:$I$89,3,0)*VLOOKUP('Données projet'!$B$9,Paramètres!$A$1:$I$89,5,0)</f>
        <v>115.19039999999993</v>
      </c>
      <c r="P64" s="14">
        <f t="shared" si="33"/>
        <v>30.550582519051918</v>
      </c>
      <c r="Q64" s="22">
        <f t="shared" si="53"/>
        <v>253.83221122068196</v>
      </c>
      <c r="R64" s="62">
        <f t="shared" si="0"/>
        <v>547.16554455401524</v>
      </c>
      <c r="S64" s="62">
        <f ca="1">AVERAGE(OFFSET($R$3,0,0,'Données projet'!$E$9+1,1))-AVERAGE(OFFSET($H$3,0,0,'Données projet'!$E$9+1,1))</f>
        <v>214.30779675250909</v>
      </c>
      <c r="T64" s="62">
        <f t="shared" si="34"/>
        <v>172.9006610021255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0.41739470563282072</v>
      </c>
      <c r="AA64" s="23">
        <f>EXP(-LN(2)/25)*AA63+(1-EXP(-LN(2)/25))/(LN(2)/25)*Calculateur!V64*Calculateur!X64*VLOOKUP('Données projet'!$B$9,Paramètres!$A$1:$I$89,3,0)*0.475*44/12</f>
        <v>1.0320269120240053</v>
      </c>
      <c r="AB64" s="23">
        <f>EXP(-LN(2)/2)*AB63+(1-EXP(-LN(2)/2))/(LN(2)/2)*V64*Y64*VLOOKUP('Données projet'!$B$9,Paramètres!$A$1:$I$89,3,0)*0.475*44/12</f>
        <v>1.1898983197310268E-4</v>
      </c>
      <c r="AC64" s="24">
        <f t="shared" si="3"/>
        <v>1.4495406074887991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293.33333333333439</v>
      </c>
      <c r="AN64" s="62">
        <f ca="1">AVERAGE(OFFSET($AM$3,0,0,'Données projet'!$E$10+1,1))-AVERAGE(OFFSET($H$3,0,0,'Données projet'!$E$10+1,1))</f>
        <v>206.5885410269899</v>
      </c>
      <c r="AO64" s="62">
        <f t="shared" si="36"/>
        <v>347.41156847586302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</v>
      </c>
      <c r="N65" s="14">
        <f>IF('Données projet'!$A$36&gt;35,N64+M65-V64,IF(A65&lt;'Données projet'!$A$36,$K$205^A65,IF(A65='Données projet'!$A$36,'Données projet'!$B$36,N64+M65-V64)))</f>
        <v>145.99999999999989</v>
      </c>
      <c r="O65" s="14">
        <f>N65*VLOOKUP('Données projet'!$B$9,Paramètres!$A$1:$I$89,3,0)*VLOOKUP('Données projet'!$B$9,Paramètres!$A$1:$I$89,5,0)</f>
        <v>118.43519999999992</v>
      </c>
      <c r="P65" s="14">
        <f t="shared" si="33"/>
        <v>31.309757056296963</v>
      </c>
      <c r="Q65" s="22">
        <f t="shared" si="53"/>
        <v>260.80580020638376</v>
      </c>
      <c r="R65" s="62">
        <f t="shared" si="0"/>
        <v>554.13913353971702</v>
      </c>
      <c r="S65" s="62">
        <f ca="1">AVERAGE(OFFSET($R$3,0,0,'Données projet'!$E$9+1,1))-AVERAGE(OFFSET($H$3,0,0,'Données projet'!$E$9+1,1))</f>
        <v>214.30779675250909</v>
      </c>
      <c r="T65" s="62">
        <f t="shared" si="34"/>
        <v>172.9006610021255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0.40920985004099331</v>
      </c>
      <c r="AA65" s="23">
        <f>EXP(-LN(2)/25)*AA64+(1-EXP(-LN(2)/25))/(LN(2)/25)*Calculateur!V65*Calculateur!X65*VLOOKUP('Données projet'!$B$9,Paramètres!$A$1:$I$89,3,0)*0.475*44/12</f>
        <v>1.0038060818427723</v>
      </c>
      <c r="AB65" s="23">
        <f>EXP(-LN(2)/2)*AB64+(1-EXP(-LN(2)/2))/(LN(2)/2)*V65*Y65*VLOOKUP('Données projet'!$B$9,Paramètres!$A$1:$I$89,3,0)*0.475*44/12</f>
        <v>8.4138517080428781E-5</v>
      </c>
      <c r="AC65" s="24">
        <f t="shared" si="3"/>
        <v>1.4131000704008461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293.33333333333439</v>
      </c>
      <c r="AN65" s="62">
        <f ca="1">AVERAGE(OFFSET($AM$3,0,0,'Données projet'!$E$10+1,1))-AVERAGE(OFFSET($H$3,0,0,'Données projet'!$E$10+1,1))</f>
        <v>206.5885410269899</v>
      </c>
      <c r="AO65" s="62">
        <f t="shared" si="36"/>
        <v>347.41156847586302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</v>
      </c>
      <c r="N66" s="14">
        <f>IF('Données projet'!$A$36&gt;35,N65+M66-V65,IF(A66&lt;'Données projet'!$A$36,$K$205^A66,IF(A66='Données projet'!$A$36,'Données projet'!$B$36,N65+M66-V65)))</f>
        <v>149.99999999999989</v>
      </c>
      <c r="O66" s="14">
        <f>N66*VLOOKUP('Données projet'!$B$9,Paramètres!$A$1:$I$89,3,0)*VLOOKUP('Données projet'!$B$9,Paramètres!$A$1:$I$89,5,0)</f>
        <v>121.67999999999992</v>
      </c>
      <c r="P66" s="14">
        <f t="shared" si="33"/>
        <v>32.066514091456256</v>
      </c>
      <c r="Q66" s="22">
        <f t="shared" si="53"/>
        <v>267.77517870928608</v>
      </c>
      <c r="R66" s="62">
        <f t="shared" si="0"/>
        <v>561.1085120426194</v>
      </c>
      <c r="S66" s="62">
        <f ca="1">AVERAGE(OFFSET($R$3,0,0,'Données projet'!$E$9+1,1))-AVERAGE(OFFSET($H$3,0,0,'Données projet'!$E$9+1,1))</f>
        <v>214.30779675250909</v>
      </c>
      <c r="T66" s="62">
        <f t="shared" si="34"/>
        <v>172.9006610021255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0.40118549447505264</v>
      </c>
      <c r="AA66" s="23">
        <f>EXP(-LN(2)/25)*AA65+(1-EXP(-LN(2)/25))/(LN(2)/25)*Calculateur!V66*Calculateur!X66*VLOOKUP('Données projet'!$B$9,Paramètres!$A$1:$I$89,3,0)*0.475*44/12</f>
        <v>0.97635695174691406</v>
      </c>
      <c r="AB66" s="23">
        <f>EXP(-LN(2)/2)*AB65+(1-EXP(-LN(2)/2))/(LN(2)/2)*V66*Y66*VLOOKUP('Données projet'!$B$9,Paramètres!$A$1:$I$89,3,0)*0.475*44/12</f>
        <v>5.9494915986551349E-5</v>
      </c>
      <c r="AC66" s="24">
        <f t="shared" si="3"/>
        <v>1.3776019411379532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293.33333333333439</v>
      </c>
      <c r="AN66" s="62">
        <f ca="1">AVERAGE(OFFSET($AM$3,0,0,'Données projet'!$E$10+1,1))-AVERAGE(OFFSET($H$3,0,0,'Données projet'!$E$10+1,1))</f>
        <v>206.5885410269899</v>
      </c>
      <c r="AO66" s="62">
        <f t="shared" si="36"/>
        <v>347.41156847586302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</v>
      </c>
      <c r="N67" s="14">
        <f>IF('Données projet'!$A$36&gt;35,N66+M67-V66,IF(A67&lt;'Données projet'!$A$36,$K$205^A67,IF(A67='Données projet'!$A$36,'Données projet'!$B$36,N66+M67-V66)))</f>
        <v>153.99999999999989</v>
      </c>
      <c r="O67" s="14">
        <f>N67*VLOOKUP('Données projet'!$B$9,Paramètres!$A$1:$I$89,3,0)*VLOOKUP('Données projet'!$B$9,Paramètres!$A$1:$I$89,5,0)</f>
        <v>124.92479999999992</v>
      </c>
      <c r="P67" s="14">
        <f t="shared" si="33"/>
        <v>32.820925500842712</v>
      </c>
      <c r="Q67" s="22">
        <f t="shared" ref="Q67:Q98" si="54">(O67+P67)*0.475*44/12</f>
        <v>274.74047191396761</v>
      </c>
      <c r="R67" s="62">
        <f t="shared" ref="R67:R130" si="55">Q67+(I67+J67)*44/12</f>
        <v>568.07380524730092</v>
      </c>
      <c r="S67" s="62">
        <f ca="1">AVERAGE(OFFSET($R$3,0,0,'Données projet'!$E$9+1,1))-AVERAGE(OFFSET($H$3,0,0,'Données projet'!$E$9+1,1))</f>
        <v>214.30779675250909</v>
      </c>
      <c r="T67" s="62">
        <f t="shared" si="34"/>
        <v>172.9006610021255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0.39331849162738647</v>
      </c>
      <c r="AA67" s="23">
        <f>EXP(-LN(2)/25)*AA66+(1-EXP(-LN(2)/25))/(LN(2)/25)*Calculateur!V67*Calculateur!X67*VLOOKUP('Données projet'!$B$9,Paramètres!$A$1:$I$89,3,0)*0.475*44/12</f>
        <v>0.94965841955701413</v>
      </c>
      <c r="AB67" s="23">
        <f>EXP(-LN(2)/2)*AB66+(1-EXP(-LN(2)/2))/(LN(2)/2)*V67*Y67*VLOOKUP('Données projet'!$B$9,Paramètres!$A$1:$I$89,3,0)*0.475*44/12</f>
        <v>4.2069258540214397E-5</v>
      </c>
      <c r="AC67" s="24">
        <f t="shared" si="3"/>
        <v>1.3430189804429407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293.33333333333439</v>
      </c>
      <c r="AN67" s="62">
        <f ca="1">AVERAGE(OFFSET($AM$3,0,0,'Données projet'!$E$10+1,1))-AVERAGE(OFFSET($H$3,0,0,'Données projet'!$E$10+1,1))</f>
        <v>206.5885410269899</v>
      </c>
      <c r="AO67" s="62">
        <f t="shared" si="36"/>
        <v>347.41156847586302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158</v>
      </c>
      <c r="L68" s="13">
        <f>VLOOKUP(A68,'Données projet'!$A$35:$I$55,9,0)</f>
        <v>4</v>
      </c>
      <c r="M68" s="13">
        <f t="array" ref="M68">INDEX(L:L,MIN(IF(ISNUMBER(L68:L264),ROW(L68:L264),"")))</f>
        <v>4</v>
      </c>
      <c r="N68" s="14">
        <f>IF('Données projet'!$A$36&gt;35,N67+M68-V67,IF(A68&lt;'Données projet'!$A$36,$K$205^A68,IF(A68='Données projet'!$A$36,'Données projet'!$B$36,N67+M68-V67)))</f>
        <v>157.99999999999989</v>
      </c>
      <c r="O68" s="14">
        <f>N68*VLOOKUP('Données projet'!$B$9,Paramètres!$A$1:$I$89,3,0)*VLOOKUP('Données projet'!$B$9,Paramètres!$A$1:$I$89,5,0)</f>
        <v>128.16959999999992</v>
      </c>
      <c r="P68" s="14">
        <f t="shared" si="33"/>
        <v>33.573059214253441</v>
      </c>
      <c r="Q68" s="22">
        <f t="shared" si="54"/>
        <v>281.70179813149127</v>
      </c>
      <c r="R68" s="62">
        <f t="shared" si="55"/>
        <v>575.03513146482464</v>
      </c>
      <c r="S68" s="62">
        <f ca="1">AVERAGE(OFFSET($R$3,0,0,'Données projet'!$E$9+1,1))-AVERAGE(OFFSET($H$3,0,0,'Données projet'!$E$9+1,1))</f>
        <v>214.30779675250909</v>
      </c>
      <c r="T68" s="62">
        <f t="shared" si="34"/>
        <v>172.9006610021255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11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0.38560575590716512</v>
      </c>
      <c r="AA68" s="23">
        <f>EXP(-LN(2)/25)*AA67+(1-EXP(-LN(2)/25))/(LN(2)/25)*Calculateur!V68*Calculateur!X68*VLOOKUP('Données projet'!$B$9,Paramètres!$A$1:$I$89,3,0)*0.475*44/12</f>
        <v>0.92368996013386173</v>
      </c>
      <c r="AB68" s="23">
        <f>EXP(-LN(2)/2)*AB67+(1-EXP(-LN(2)/2))/(LN(2)/2)*V68*Y68*VLOOKUP('Données projet'!$B$9,Paramètres!$A$1:$I$89,3,0)*0.475*44/12</f>
        <v>2.9747457993275681E-5</v>
      </c>
      <c r="AC68" s="24">
        <f t="shared" ref="AC68:AC131" si="57">SUM(Z68:AB68)</f>
        <v>1.3093254634990201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293.33333333333439</v>
      </c>
      <c r="AN68" s="62">
        <f ca="1">AVERAGE(OFFSET($AM$3,0,0,'Données projet'!$E$10+1,1))-AVERAGE(OFFSET($H$3,0,0,'Données projet'!$E$10+1,1))</f>
        <v>206.5885410269899</v>
      </c>
      <c r="AO68" s="62">
        <f t="shared" si="36"/>
        <v>347.41156847586302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</v>
      </c>
      <c r="N69" s="14">
        <f>IF('Données projet'!$A$36&gt;35,N68+M69-V68,IF(A69&lt;'Données projet'!$A$36,$K$205^A69,IF(A69='Données projet'!$A$36,'Données projet'!$B$36,N68+M69-V68)))</f>
        <v>150.99999999999989</v>
      </c>
      <c r="O69" s="14">
        <f>N69*VLOOKUP('Données projet'!$B$9,Paramètres!$A$1:$I$89,3,0)*VLOOKUP('Données projet'!$B$9,Paramètres!$A$1:$I$89,5,0)</f>
        <v>122.49119999999991</v>
      </c>
      <c r="P69" s="14">
        <f t="shared" ref="P69:P132" si="87">EXP(-1.0587+0.8836*LN(O69)+0.284)</f>
        <v>32.255334127777417</v>
      </c>
      <c r="Q69" s="22">
        <f t="shared" si="54"/>
        <v>269.51688027254551</v>
      </c>
      <c r="R69" s="62">
        <f t="shared" si="55"/>
        <v>562.85021360587882</v>
      </c>
      <c r="S69" s="62">
        <f ca="1">AVERAGE(OFFSET($R$3,0,0,'Données projet'!$E$9+1,1))-AVERAGE(OFFSET($H$3,0,0,'Données projet'!$E$9+1,1))</f>
        <v>214.30779675250909</v>
      </c>
      <c r="T69" s="62">
        <f t="shared" ref="T69:T132" si="88">$T$3</f>
        <v>172.9006610021255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0.378044262230113</v>
      </c>
      <c r="AA69" s="23">
        <f>EXP(-LN(2)/25)*AA68+(1-EXP(-LN(2)/25))/(LN(2)/25)*Calculateur!V69*Calculateur!X69*VLOOKUP('Données projet'!$B$9,Paramètres!$A$1:$I$89,3,0)*0.475*44/12</f>
        <v>0.89843160959925739</v>
      </c>
      <c r="AB69" s="23">
        <f>EXP(-LN(2)/2)*AB68+(1-EXP(-LN(2)/2))/(LN(2)/2)*V69*Y69*VLOOKUP('Données projet'!$B$9,Paramètres!$A$1:$I$89,3,0)*0.475*44/12</f>
        <v>2.1034629270107202E-5</v>
      </c>
      <c r="AC69" s="24">
        <f t="shared" si="57"/>
        <v>1.2764969064586407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293.33333333333439</v>
      </c>
      <c r="AN69" s="62">
        <f ca="1">AVERAGE(OFFSET($AM$3,0,0,'Données projet'!$E$10+1,1))-AVERAGE(OFFSET($H$3,0,0,'Données projet'!$E$10+1,1))</f>
        <v>206.5885410269899</v>
      </c>
      <c r="AO69" s="62">
        <f t="shared" ref="AO69:AO132" si="90">$AO$3</f>
        <v>347.41156847586302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</v>
      </c>
      <c r="N70" s="14">
        <f>IF('Données projet'!$A$36&gt;35,N69+M70-V69,IF(A70&lt;'Données projet'!$A$36,$K$205^A70,IF(A70='Données projet'!$A$36,'Données projet'!$B$36,N69+M70-V69)))</f>
        <v>154.99999999999989</v>
      </c>
      <c r="O70" s="14">
        <f>N70*VLOOKUP('Données projet'!$B$9,Paramètres!$A$1:$I$89,3,0)*VLOOKUP('Données projet'!$B$9,Paramètres!$A$1:$I$89,5,0)</f>
        <v>125.7359999999999</v>
      </c>
      <c r="P70" s="14">
        <f t="shared" si="87"/>
        <v>33.009169891820072</v>
      </c>
      <c r="Q70" s="22">
        <f t="shared" si="54"/>
        <v>276.48117089491979</v>
      </c>
      <c r="R70" s="62">
        <f t="shared" si="55"/>
        <v>569.8145042282531</v>
      </c>
      <c r="S70" s="62">
        <f ca="1">AVERAGE(OFFSET($R$3,0,0,'Données projet'!$E$9+1,1))-AVERAGE(OFFSET($H$3,0,0,'Données projet'!$E$9+1,1))</f>
        <v>214.30779675250909</v>
      </c>
      <c r="T70" s="62">
        <f t="shared" si="88"/>
        <v>172.9006610021255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0.37063104483201215</v>
      </c>
      <c r="AA70" s="23">
        <f>EXP(-LN(2)/25)*AA69+(1-EXP(-LN(2)/25))/(LN(2)/25)*Calculateur!V70*Calculateur!X70*VLOOKUP('Données projet'!$B$9,Paramètres!$A$1:$I$89,3,0)*0.475*44/12</f>
        <v>0.87386394998830075</v>
      </c>
      <c r="AB70" s="23">
        <f>EXP(-LN(2)/2)*AB69+(1-EXP(-LN(2)/2))/(LN(2)/2)*V70*Y70*VLOOKUP('Données projet'!$B$9,Paramètres!$A$1:$I$89,3,0)*0.475*44/12</f>
        <v>1.4873728996637842E-5</v>
      </c>
      <c r="AC70" s="24">
        <f t="shared" si="57"/>
        <v>1.2445098685493095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293.33333333333439</v>
      </c>
      <c r="AN70" s="62">
        <f ca="1">AVERAGE(OFFSET($AM$3,0,0,'Données projet'!$E$10+1,1))-AVERAGE(OFFSET($H$3,0,0,'Données projet'!$E$10+1,1))</f>
        <v>206.5885410269899</v>
      </c>
      <c r="AO70" s="62">
        <f t="shared" si="90"/>
        <v>347.41156847586302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</v>
      </c>
      <c r="N71" s="14">
        <f>IF('Données projet'!$A$36&gt;35,N70+M71-V70,IF(A71&lt;'Données projet'!$A$36,$K$205^A71,IF(A71='Données projet'!$A$36,'Données projet'!$B$36,N70+M71-V70)))</f>
        <v>158.99999999999989</v>
      </c>
      <c r="O71" s="14">
        <f>N71*VLOOKUP('Données projet'!$B$9,Paramètres!$A$1:$I$89,3,0)*VLOOKUP('Données projet'!$B$9,Paramètres!$A$1:$I$89,5,0)</f>
        <v>128.98079999999993</v>
      </c>
      <c r="P71" s="14">
        <f t="shared" si="87"/>
        <v>33.76074436286941</v>
      </c>
      <c r="Q71" s="22">
        <f t="shared" si="54"/>
        <v>283.44152309866411</v>
      </c>
      <c r="R71" s="62">
        <f t="shared" si="55"/>
        <v>576.77485643199748</v>
      </c>
      <c r="S71" s="62">
        <f ca="1">AVERAGE(OFFSET($R$3,0,0,'Données projet'!$E$9+1,1))-AVERAGE(OFFSET($H$3,0,0,'Données projet'!$E$9+1,1))</f>
        <v>214.30779675250909</v>
      </c>
      <c r="T71" s="62">
        <f t="shared" si="88"/>
        <v>172.9006610021255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0.36336319610547191</v>
      </c>
      <c r="AA71" s="23">
        <f>EXP(-LN(2)/25)*AA70+(1-EXP(-LN(2)/25))/(LN(2)/25)*Calculateur!V71*Calculateur!X71*VLOOKUP('Données projet'!$B$9,Paramètres!$A$1:$I$89,3,0)*0.475*44/12</f>
        <v>0.84996809432136278</v>
      </c>
      <c r="AB71" s="23">
        <f>EXP(-LN(2)/2)*AB70+(1-EXP(-LN(2)/2))/(LN(2)/2)*V71*Y71*VLOOKUP('Données projet'!$B$9,Paramètres!$A$1:$I$89,3,0)*0.475*44/12</f>
        <v>1.0517314635053603E-5</v>
      </c>
      <c r="AC71" s="24">
        <f t="shared" si="57"/>
        <v>1.2133418077414697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293.33333333333439</v>
      </c>
      <c r="AN71" s="62">
        <f ca="1">AVERAGE(OFFSET($AM$3,0,0,'Données projet'!$E$10+1,1))-AVERAGE(OFFSET($H$3,0,0,'Données projet'!$E$10+1,1))</f>
        <v>206.5885410269899</v>
      </c>
      <c r="AO71" s="62">
        <f t="shared" si="90"/>
        <v>347.41156847586302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</v>
      </c>
      <c r="N72" s="14">
        <f>IF('Données projet'!$A$36&gt;35,N71+M72-V71,IF(A72&lt;'Données projet'!$A$36,$K$205^A72,IF(A72='Données projet'!$A$36,'Données projet'!$B$36,N71+M72-V71)))</f>
        <v>162.99999999999989</v>
      </c>
      <c r="O72" s="14">
        <f>N72*VLOOKUP('Données projet'!$B$9,Paramètres!$A$1:$I$89,3,0)*VLOOKUP('Données projet'!$B$9,Paramètres!$A$1:$I$89,5,0)</f>
        <v>132.22559999999993</v>
      </c>
      <c r="P72" s="14">
        <f t="shared" si="87"/>
        <v>34.510120971187391</v>
      </c>
      <c r="Q72" s="22">
        <f t="shared" si="54"/>
        <v>290.39804735815125</v>
      </c>
      <c r="R72" s="62">
        <f t="shared" si="55"/>
        <v>583.73138069148456</v>
      </c>
      <c r="S72" s="62">
        <f ca="1">AVERAGE(OFFSET($R$3,0,0,'Données projet'!$E$9+1,1))-AVERAGE(OFFSET($H$3,0,0,'Données projet'!$E$9+1,1))</f>
        <v>214.30779675250909</v>
      </c>
      <c r="T72" s="62">
        <f t="shared" si="88"/>
        <v>172.9006610021255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0.35623786545950914</v>
      </c>
      <c r="AA72" s="23">
        <f>EXP(-LN(2)/25)*AA71+(1-EXP(-LN(2)/25))/(LN(2)/25)*Calculateur!V72*Calculateur!X72*VLOOKUP('Données projet'!$B$9,Paramètres!$A$1:$I$89,3,0)*0.475*44/12</f>
        <v>0.82672567208426562</v>
      </c>
      <c r="AB72" s="23">
        <f>EXP(-LN(2)/2)*AB71+(1-EXP(-LN(2)/2))/(LN(2)/2)*V72*Y72*VLOOKUP('Données projet'!$B$9,Paramètres!$A$1:$I$89,3,0)*0.475*44/12</f>
        <v>7.436864498318922E-6</v>
      </c>
      <c r="AC72" s="24">
        <f t="shared" si="57"/>
        <v>1.182970974408273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293.33333333333439</v>
      </c>
      <c r="AN72" s="62">
        <f ca="1">AVERAGE(OFFSET($AM$3,0,0,'Données projet'!$E$10+1,1))-AVERAGE(OFFSET($H$3,0,0,'Données projet'!$E$10+1,1))</f>
        <v>206.5885410269899</v>
      </c>
      <c r="AO72" s="62">
        <f t="shared" si="90"/>
        <v>347.41156847586302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167</v>
      </c>
      <c r="L73" s="13">
        <f>VLOOKUP(A73,'Données projet'!$A$35:$I$55,9,0)</f>
        <v>4</v>
      </c>
      <c r="M73" s="13">
        <f t="array" ref="M73">INDEX(L:L,MIN(IF(ISNUMBER(L73:L269),ROW(L73:L269),"")))</f>
        <v>4</v>
      </c>
      <c r="N73" s="14">
        <f>IF('Données projet'!$A$36&gt;35,N72+M73-V72,IF(A73&lt;'Données projet'!$A$36,$K$205^A73,IF(A73='Données projet'!$A$36,'Données projet'!$B$36,N72+M73-V72)))</f>
        <v>166.99999999999989</v>
      </c>
      <c r="O73" s="14">
        <f>N73*VLOOKUP('Données projet'!$B$9,Paramètres!$A$1:$I$89,3,0)*VLOOKUP('Données projet'!$B$9,Paramètres!$A$1:$I$89,5,0)</f>
        <v>135.47039999999993</v>
      </c>
      <c r="P73" s="14">
        <f t="shared" si="87"/>
        <v>35.25735985641483</v>
      </c>
      <c r="Q73" s="22">
        <f t="shared" si="54"/>
        <v>297.35084841658903</v>
      </c>
      <c r="R73" s="62">
        <f t="shared" si="55"/>
        <v>590.68418174992235</v>
      </c>
      <c r="S73" s="62">
        <f ca="1">AVERAGE(OFFSET($R$3,0,0,'Données projet'!$E$9+1,1))-AVERAGE(OFFSET($H$3,0,0,'Données projet'!$E$9+1,1))</f>
        <v>214.30779675250909</v>
      </c>
      <c r="T73" s="62">
        <f t="shared" si="88"/>
        <v>172.9006610021255</v>
      </c>
      <c r="U73" s="16">
        <f>IF(ISNA(VLOOKUP(A73,'Données projet'!$A$35:$I$55,3,0)),0,VLOOKUP(A73,'Données projet'!$A$35:$I$55,3,0))</f>
        <v>12</v>
      </c>
      <c r="V73" s="16">
        <f>IF(ISNA(VLOOKUP(A73,'Données projet'!$A$35:$I$55,4,0)),0,VLOOKUP(A73,'Données projet'!$A$35:$I$55,4,0))</f>
        <v>11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0.34925225820149114</v>
      </c>
      <c r="AA73" s="23">
        <f>EXP(-LN(2)/25)*AA72+(1-EXP(-LN(2)/25))/(LN(2)/25)*Calculateur!V73*Calculateur!X73*VLOOKUP('Données projet'!$B$9,Paramètres!$A$1:$I$89,3,0)*0.475*44/12</f>
        <v>0.80411881510550776</v>
      </c>
      <c r="AB73" s="23">
        <f>EXP(-LN(2)/2)*AB72+(1-EXP(-LN(2)/2))/(LN(2)/2)*V73*Y73*VLOOKUP('Données projet'!$B$9,Paramètres!$A$1:$I$89,3,0)*0.475*44/12</f>
        <v>5.2586573175268022E-6</v>
      </c>
      <c r="AC73" s="24">
        <f t="shared" si="57"/>
        <v>1.1533763319643164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293.33333333333439</v>
      </c>
      <c r="AN73" s="62">
        <f ca="1">AVERAGE(OFFSET($AM$3,0,0,'Données projet'!$E$10+1,1))-AVERAGE(OFFSET($H$3,0,0,'Données projet'!$E$10+1,1))</f>
        <v>206.5885410269899</v>
      </c>
      <c r="AO73" s="62">
        <f t="shared" si="90"/>
        <v>347.41156847586302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3.6</v>
      </c>
      <c r="N74" s="14">
        <f>IF('Données projet'!$A$36&gt;35,N73+M74-V73,IF(A74&lt;'Données projet'!$A$36,$K$205^A74,IF(A74='Données projet'!$A$36,'Données projet'!$B$36,N73+M74-V73)))</f>
        <v>159.59999999999988</v>
      </c>
      <c r="O74" s="14">
        <f>N74*VLOOKUP('Données projet'!$B$9,Paramètres!$A$1:$I$89,3,0)*VLOOKUP('Données projet'!$B$9,Paramètres!$A$1:$I$89,5,0)</f>
        <v>129.46751999999992</v>
      </c>
      <c r="P74" s="14">
        <f t="shared" si="87"/>
        <v>33.873289462262882</v>
      </c>
      <c r="Q74" s="22">
        <f t="shared" si="54"/>
        <v>284.48524314677434</v>
      </c>
      <c r="R74" s="62">
        <f t="shared" si="55"/>
        <v>577.81857648010759</v>
      </c>
      <c r="S74" s="62">
        <f ca="1">AVERAGE(OFFSET($R$3,0,0,'Données projet'!$E$9+1,1))-AVERAGE(OFFSET($H$3,0,0,'Données projet'!$E$9+1,1))</f>
        <v>214.30779675250909</v>
      </c>
      <c r="T74" s="62">
        <f t="shared" si="88"/>
        <v>172.9006610021255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0.34240363444100314</v>
      </c>
      <c r="AA74" s="23">
        <f>EXP(-LN(2)/25)*AA73+(1-EXP(-LN(2)/25))/(LN(2)/25)*Calculateur!V74*Calculateur!X74*VLOOKUP('Données projet'!$B$9,Paramètres!$A$1:$I$89,3,0)*0.475*44/12</f>
        <v>0.78213014381967705</v>
      </c>
      <c r="AB74" s="23">
        <f>EXP(-LN(2)/2)*AB73+(1-EXP(-LN(2)/2))/(LN(2)/2)*V74*Y74*VLOOKUP('Données projet'!$B$9,Paramètres!$A$1:$I$89,3,0)*0.475*44/12</f>
        <v>3.7184322491594618E-6</v>
      </c>
      <c r="AC74" s="24">
        <f t="shared" si="57"/>
        <v>1.1245374966929294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293.33333333333439</v>
      </c>
      <c r="AN74" s="62">
        <f ca="1">AVERAGE(OFFSET($AM$3,0,0,'Données projet'!$E$10+1,1))-AVERAGE(OFFSET($H$3,0,0,'Données projet'!$E$10+1,1))</f>
        <v>206.5885410269899</v>
      </c>
      <c r="AO74" s="62">
        <f t="shared" si="90"/>
        <v>347.41156847586302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3.6</v>
      </c>
      <c r="N75" s="14">
        <f>IF('Données projet'!$A$36&gt;35,N74+M75-V74,IF(A75&lt;'Données projet'!$A$36,$K$205^A75,IF(A75='Données projet'!$A$36,'Données projet'!$B$36,N74+M75-V74)))</f>
        <v>163.19999999999987</v>
      </c>
      <c r="O75" s="14">
        <f>N75*VLOOKUP('Données projet'!$B$9,Paramètres!$A$1:$I$89,3,0)*VLOOKUP('Données projet'!$B$9,Paramètres!$A$1:$I$89,5,0)</f>
        <v>132.3878399999999</v>
      </c>
      <c r="P75" s="14">
        <f t="shared" si="87"/>
        <v>34.547533199821295</v>
      </c>
      <c r="Q75" s="22">
        <f t="shared" si="54"/>
        <v>290.74577498968858</v>
      </c>
      <c r="R75" s="62">
        <f t="shared" si="55"/>
        <v>584.07910832302196</v>
      </c>
      <c r="S75" s="62">
        <f ca="1">AVERAGE(OFFSET($R$3,0,0,'Données projet'!$E$9+1,1))-AVERAGE(OFFSET($H$3,0,0,'Données projet'!$E$9+1,1))</f>
        <v>214.30779675250909</v>
      </c>
      <c r="T75" s="62">
        <f t="shared" si="88"/>
        <v>172.9006610021255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0.3356893080152103</v>
      </c>
      <c r="AA75" s="23">
        <f>EXP(-LN(2)/25)*AA74+(1-EXP(-LN(2)/25))/(LN(2)/25)*Calculateur!V75*Calculateur!X75*VLOOKUP('Données projet'!$B$9,Paramètres!$A$1:$I$89,3,0)*0.475*44/12</f>
        <v>0.76074275390649126</v>
      </c>
      <c r="AB75" s="23">
        <f>EXP(-LN(2)/2)*AB74+(1-EXP(-LN(2)/2))/(LN(2)/2)*V75*Y75*VLOOKUP('Données projet'!$B$9,Paramètres!$A$1:$I$89,3,0)*0.475*44/12</f>
        <v>2.6293286587634015E-6</v>
      </c>
      <c r="AC75" s="24">
        <f t="shared" si="57"/>
        <v>1.0964346912503604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293.33333333333439</v>
      </c>
      <c r="AN75" s="62">
        <f ca="1">AVERAGE(OFFSET($AM$3,0,0,'Données projet'!$E$10+1,1))-AVERAGE(OFFSET($H$3,0,0,'Données projet'!$E$10+1,1))</f>
        <v>206.5885410269899</v>
      </c>
      <c r="AO75" s="62">
        <f t="shared" si="90"/>
        <v>347.41156847586302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3.6</v>
      </c>
      <c r="N76" s="14">
        <f>IF('Données projet'!$A$36&gt;35,N75+M76-V75,IF(A76&lt;'Données projet'!$A$36,$K$205^A76,IF(A76='Données projet'!$A$36,'Données projet'!$B$36,N75+M76-V75)))</f>
        <v>166.79999999999987</v>
      </c>
      <c r="O76" s="14">
        <f>N76*VLOOKUP('Données projet'!$B$9,Paramètres!$A$1:$I$89,3,0)*VLOOKUP('Données projet'!$B$9,Paramètres!$A$1:$I$89,5,0)</f>
        <v>135.3081599999999</v>
      </c>
      <c r="P76" s="14">
        <f t="shared" si="87"/>
        <v>35.220047789889875</v>
      </c>
      <c r="Q76" s="22">
        <f t="shared" si="54"/>
        <v>297.00329523405804</v>
      </c>
      <c r="R76" s="62">
        <f t="shared" si="55"/>
        <v>590.33662856739136</v>
      </c>
      <c r="S76" s="62">
        <f ca="1">AVERAGE(OFFSET($R$3,0,0,'Données projet'!$E$9+1,1))-AVERAGE(OFFSET($H$3,0,0,'Données projet'!$E$9+1,1))</f>
        <v>214.30779675250909</v>
      </c>
      <c r="T76" s="62">
        <f t="shared" si="88"/>
        <v>172.9006610021255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0.3291066454352925</v>
      </c>
      <c r="AA76" s="23">
        <f>EXP(-LN(2)/25)*AA75+(1-EXP(-LN(2)/25))/(LN(2)/25)*Calculateur!V76*Calculateur!X76*VLOOKUP('Données projet'!$B$9,Paramètres!$A$1:$I$89,3,0)*0.475*44/12</f>
        <v>0.7399402032951955</v>
      </c>
      <c r="AB76" s="23">
        <f>EXP(-LN(2)/2)*AB75+(1-EXP(-LN(2)/2))/(LN(2)/2)*V76*Y76*VLOOKUP('Données projet'!$B$9,Paramètres!$A$1:$I$89,3,0)*0.475*44/12</f>
        <v>1.8592161245797311E-6</v>
      </c>
      <c r="AC76" s="24">
        <f t="shared" si="57"/>
        <v>1.0690487079466127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293.33333333333439</v>
      </c>
      <c r="AN76" s="62">
        <f ca="1">AVERAGE(OFFSET($AM$3,0,0,'Données projet'!$E$10+1,1))-AVERAGE(OFFSET($H$3,0,0,'Données projet'!$E$10+1,1))</f>
        <v>206.5885410269899</v>
      </c>
      <c r="AO76" s="62">
        <f t="shared" si="90"/>
        <v>347.41156847586302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3.6</v>
      </c>
      <c r="N77" s="14">
        <f>IF('Données projet'!$A$36&gt;35,N76+M77-V76,IF(A77&lt;'Données projet'!$A$36,$K$205^A77,IF(A77='Données projet'!$A$36,'Données projet'!$B$36,N76+M77-V76)))</f>
        <v>170.39999999999986</v>
      </c>
      <c r="O77" s="14">
        <f>N77*VLOOKUP('Données projet'!$B$9,Paramètres!$A$1:$I$89,3,0)*VLOOKUP('Données projet'!$B$9,Paramètres!$A$1:$I$89,5,0)</f>
        <v>138.22847999999991</v>
      </c>
      <c r="P77" s="14">
        <f t="shared" si="87"/>
        <v>35.890874850450473</v>
      </c>
      <c r="Q77" s="22">
        <f t="shared" si="54"/>
        <v>303.25787636453441</v>
      </c>
      <c r="R77" s="62">
        <f t="shared" si="55"/>
        <v>596.59120969786773</v>
      </c>
      <c r="S77" s="62">
        <f ca="1">AVERAGE(OFFSET($R$3,0,0,'Données projet'!$E$9+1,1))-AVERAGE(OFFSET($H$3,0,0,'Données projet'!$E$9+1,1))</f>
        <v>214.30779675250909</v>
      </c>
      <c r="T77" s="62">
        <f t="shared" si="88"/>
        <v>172.9006610021255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0.32265306485353917</v>
      </c>
      <c r="AA77" s="23">
        <f>EXP(-LN(2)/25)*AA76+(1-EXP(-LN(2)/25))/(LN(2)/25)*Calculateur!V77*Calculateur!X77*VLOOKUP('Données projet'!$B$9,Paramètres!$A$1:$I$89,3,0)*0.475*44/12</f>
        <v>0.71970649952432419</v>
      </c>
      <c r="AB77" s="23">
        <f>EXP(-LN(2)/2)*AB76+(1-EXP(-LN(2)/2))/(LN(2)/2)*V77*Y77*VLOOKUP('Données projet'!$B$9,Paramètres!$A$1:$I$89,3,0)*0.475*44/12</f>
        <v>1.314664329381701E-6</v>
      </c>
      <c r="AC77" s="24">
        <f t="shared" si="57"/>
        <v>1.0423608790421928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293.33333333333439</v>
      </c>
      <c r="AN77" s="62">
        <f ca="1">AVERAGE(OFFSET($AM$3,0,0,'Données projet'!$E$10+1,1))-AVERAGE(OFFSET($H$3,0,0,'Données projet'!$E$10+1,1))</f>
        <v>206.5885410269899</v>
      </c>
      <c r="AO77" s="62">
        <f t="shared" si="90"/>
        <v>347.41156847586302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174</v>
      </c>
      <c r="L78" s="13">
        <f>VLOOKUP(A78,'Données projet'!$A$35:$I$55,9,0)</f>
        <v>3.6</v>
      </c>
      <c r="M78" s="13">
        <f t="array" ref="M78">INDEX(L:L,MIN(IF(ISNUMBER(L78:L274),ROW(L78:L274),"")))</f>
        <v>3.6</v>
      </c>
      <c r="N78" s="14">
        <f>IF('Données projet'!$A$36&gt;35,N77+M78-V77,IF(A78&lt;'Données projet'!$A$36,$K$205^A78,IF(A78='Données projet'!$A$36,'Données projet'!$B$36,N77+M78-V77)))</f>
        <v>173.99999999999986</v>
      </c>
      <c r="O78" s="14">
        <f>N78*VLOOKUP('Données projet'!$B$9,Paramètres!$A$1:$I$89,3,0)*VLOOKUP('Données projet'!$B$9,Paramètres!$A$1:$I$89,5,0)</f>
        <v>141.14879999999991</v>
      </c>
      <c r="P78" s="14">
        <f t="shared" si="87"/>
        <v>36.560054140504448</v>
      </c>
      <c r="Q78" s="22">
        <f t="shared" si="54"/>
        <v>309.50958762804504</v>
      </c>
      <c r="R78" s="62">
        <f t="shared" si="55"/>
        <v>602.84292096137835</v>
      </c>
      <c r="S78" s="62">
        <f ca="1">AVERAGE(OFFSET($R$3,0,0,'Données projet'!$E$9+1,1))-AVERAGE(OFFSET($H$3,0,0,'Données projet'!$E$9+1,1))</f>
        <v>214.30779675250909</v>
      </c>
      <c r="T78" s="62">
        <f t="shared" si="88"/>
        <v>172.9006610021255</v>
      </c>
      <c r="U78" s="16">
        <f>IF(ISNA(VLOOKUP(A78,'Données projet'!$A$35:$I$55,3,0)),0,VLOOKUP(A78,'Données projet'!$A$35:$I$55,3,0))</f>
        <v>13</v>
      </c>
      <c r="V78" s="16">
        <f>IF(ISNA(VLOOKUP(A78,'Données projet'!$A$35:$I$55,4,0)),0,VLOOKUP(A78,'Données projet'!$A$35:$I$55,4,0))</f>
        <v>11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0.31632603505069856</v>
      </c>
      <c r="AA78" s="23">
        <f>EXP(-LN(2)/25)*AA77+(1-EXP(-LN(2)/25))/(LN(2)/25)*Calculateur!V78*Calculateur!X78*VLOOKUP('Données projet'!$B$9,Paramètres!$A$1:$I$89,3,0)*0.475*44/12</f>
        <v>0.7000260874471117</v>
      </c>
      <c r="AB78" s="23">
        <f>EXP(-LN(2)/2)*AB77+(1-EXP(-LN(2)/2))/(LN(2)/2)*V78*Y78*VLOOKUP('Données projet'!$B$9,Paramètres!$A$1:$I$89,3,0)*0.475*44/12</f>
        <v>9.2960806228986577E-7</v>
      </c>
      <c r="AC78" s="24">
        <f t="shared" si="57"/>
        <v>1.0163530521058726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293.33333333333439</v>
      </c>
      <c r="AN78" s="62">
        <f ca="1">AVERAGE(OFFSET($AM$3,0,0,'Données projet'!$E$10+1,1))-AVERAGE(OFFSET($H$3,0,0,'Données projet'!$E$10+1,1))</f>
        <v>206.5885410269899</v>
      </c>
      <c r="AO78" s="62">
        <f t="shared" si="90"/>
        <v>347.41156847586302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3.6</v>
      </c>
      <c r="N79" s="14">
        <f>IF('Données projet'!$A$36&gt;35,N78+M79-V78,IF(A79&lt;'Données projet'!$A$36,$K$205^A79,IF(A79='Données projet'!$A$36,'Données projet'!$B$36,N78+M79-V78)))</f>
        <v>166.59999999999985</v>
      </c>
      <c r="O79" s="14">
        <f>N79*VLOOKUP('Données projet'!$B$9,Paramètres!$A$1:$I$89,3,0)*VLOOKUP('Données projet'!$B$9,Paramètres!$A$1:$I$89,5,0)</f>
        <v>135.14591999999988</v>
      </c>
      <c r="P79" s="14">
        <f t="shared" si="87"/>
        <v>35.182730515416814</v>
      </c>
      <c r="Q79" s="22">
        <f t="shared" si="54"/>
        <v>296.65573298101737</v>
      </c>
      <c r="R79" s="62">
        <f t="shared" si="55"/>
        <v>589.98906631435068</v>
      </c>
      <c r="S79" s="62">
        <f ca="1">AVERAGE(OFFSET($R$3,0,0,'Données projet'!$E$9+1,1))-AVERAGE(OFFSET($H$3,0,0,'Données projet'!$E$9+1,1))</f>
        <v>214.30779675250909</v>
      </c>
      <c r="T79" s="62">
        <f t="shared" si="88"/>
        <v>172.9006610021255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0.31012307444318454</v>
      </c>
      <c r="AA79" s="23">
        <f>EXP(-LN(2)/25)*AA78+(1-EXP(-LN(2)/25))/(LN(2)/25)*Calculateur!V79*Calculateur!X79*VLOOKUP('Données projet'!$B$9,Paramètres!$A$1:$I$89,3,0)*0.475*44/12</f>
        <v>0.68088383727309842</v>
      </c>
      <c r="AB79" s="23">
        <f>EXP(-LN(2)/2)*AB78+(1-EXP(-LN(2)/2))/(LN(2)/2)*V79*Y79*VLOOKUP('Données projet'!$B$9,Paramètres!$A$1:$I$89,3,0)*0.475*44/12</f>
        <v>6.5733216469085059E-7</v>
      </c>
      <c r="AC79" s="24">
        <f t="shared" si="57"/>
        <v>0.99100756904844767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293.33333333333439</v>
      </c>
      <c r="AN79" s="62">
        <f ca="1">AVERAGE(OFFSET($AM$3,0,0,'Données projet'!$E$10+1,1))-AVERAGE(OFFSET($H$3,0,0,'Données projet'!$E$10+1,1))</f>
        <v>206.5885410269899</v>
      </c>
      <c r="AO79" s="62">
        <f t="shared" si="90"/>
        <v>347.41156847586302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3.6</v>
      </c>
      <c r="N80" s="14">
        <f>IF('Données projet'!$A$36&gt;35,N79+M80-V79,IF(A80&lt;'Données projet'!$A$36,$K$205^A80,IF(A80='Données projet'!$A$36,'Données projet'!$B$36,N79+M80-V79)))</f>
        <v>170.19999999999985</v>
      </c>
      <c r="O80" s="14">
        <f>N80*VLOOKUP('Données projet'!$B$9,Paramètres!$A$1:$I$89,3,0)*VLOOKUP('Données projet'!$B$9,Paramètres!$A$1:$I$89,5,0)</f>
        <v>138.06623999999988</v>
      </c>
      <c r="P80" s="14">
        <f t="shared" si="87"/>
        <v>35.853650267953661</v>
      </c>
      <c r="Q80" s="22">
        <f t="shared" si="54"/>
        <v>302.91047555001904</v>
      </c>
      <c r="R80" s="62">
        <f t="shared" si="55"/>
        <v>596.24380888335236</v>
      </c>
      <c r="S80" s="62">
        <f ca="1">AVERAGE(OFFSET($R$3,0,0,'Données projet'!$E$9+1,1))-AVERAGE(OFFSET($H$3,0,0,'Données projet'!$E$9+1,1))</f>
        <v>214.30779675250909</v>
      </c>
      <c r="T80" s="62">
        <f t="shared" si="88"/>
        <v>172.9006610021255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0.30404175010975149</v>
      </c>
      <c r="AA80" s="23">
        <f>EXP(-LN(2)/25)*AA79+(1-EXP(-LN(2)/25))/(LN(2)/25)*Calculateur!V80*Calculateur!X80*VLOOKUP('Données projet'!$B$9,Paramètres!$A$1:$I$89,3,0)*0.475*44/12</f>
        <v>0.66226503293674077</v>
      </c>
      <c r="AB80" s="23">
        <f>EXP(-LN(2)/2)*AB79+(1-EXP(-LN(2)/2))/(LN(2)/2)*V80*Y80*VLOOKUP('Données projet'!$B$9,Paramètres!$A$1:$I$89,3,0)*0.475*44/12</f>
        <v>4.6480403114493294E-7</v>
      </c>
      <c r="AC80" s="24">
        <f t="shared" si="57"/>
        <v>0.96630724785052335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293.33333333333439</v>
      </c>
      <c r="AN80" s="62">
        <f ca="1">AVERAGE(OFFSET($AM$3,0,0,'Données projet'!$E$10+1,1))-AVERAGE(OFFSET($H$3,0,0,'Données projet'!$E$10+1,1))</f>
        <v>206.5885410269899</v>
      </c>
      <c r="AO80" s="62">
        <f t="shared" si="90"/>
        <v>347.41156847586302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3.6</v>
      </c>
      <c r="N81" s="14">
        <f>IF('Données projet'!$A$36&gt;35,N80+M81-V80,IF(A81&lt;'Données projet'!$A$36,$K$205^A81,IF(A81='Données projet'!$A$36,'Données projet'!$B$36,N80+M81-V80)))</f>
        <v>173.79999999999984</v>
      </c>
      <c r="O81" s="14">
        <f>N81*VLOOKUP('Données projet'!$B$9,Paramètres!$A$1:$I$89,3,0)*VLOOKUP('Données projet'!$B$9,Paramètres!$A$1:$I$89,5,0)</f>
        <v>140.98655999999988</v>
      </c>
      <c r="P81" s="14">
        <f t="shared" si="87"/>
        <v>36.522920087836944</v>
      </c>
      <c r="Q81" s="22">
        <f t="shared" si="54"/>
        <v>309.16234448631582</v>
      </c>
      <c r="R81" s="62">
        <f t="shared" si="55"/>
        <v>602.49567781964913</v>
      </c>
      <c r="S81" s="62">
        <f ca="1">AVERAGE(OFFSET($R$3,0,0,'Données projet'!$E$9+1,1))-AVERAGE(OFFSET($H$3,0,0,'Données projet'!$E$9+1,1))</f>
        <v>214.30779675250909</v>
      </c>
      <c r="T81" s="62">
        <f t="shared" si="88"/>
        <v>172.9006610021255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0.29807967683725545</v>
      </c>
      <c r="AA81" s="23">
        <f>EXP(-LN(2)/25)*AA80+(1-EXP(-LN(2)/25))/(LN(2)/25)*Calculateur!V81*Calculateur!X81*VLOOKUP('Données projet'!$B$9,Paramètres!$A$1:$I$89,3,0)*0.475*44/12</f>
        <v>0.64415536078408109</v>
      </c>
      <c r="AB81" s="23">
        <f>EXP(-LN(2)/2)*AB80+(1-EXP(-LN(2)/2))/(LN(2)/2)*V81*Y81*VLOOKUP('Données projet'!$B$9,Paramètres!$A$1:$I$89,3,0)*0.475*44/12</f>
        <v>3.2866608234542535E-7</v>
      </c>
      <c r="AC81" s="24">
        <f t="shared" si="57"/>
        <v>0.94223536628741889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293.33333333333439</v>
      </c>
      <c r="AN81" s="62">
        <f ca="1">AVERAGE(OFFSET($AM$3,0,0,'Données projet'!$E$10+1,1))-AVERAGE(OFFSET($H$3,0,0,'Données projet'!$E$10+1,1))</f>
        <v>206.5885410269899</v>
      </c>
      <c r="AO81" s="62">
        <f t="shared" si="90"/>
        <v>347.41156847586302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3.6</v>
      </c>
      <c r="N82" s="14">
        <f>IF('Données projet'!$A$36&gt;35,N81+M82-V81,IF(A82&lt;'Données projet'!$A$36,$K$205^A82,IF(A82='Données projet'!$A$36,'Données projet'!$B$36,N81+M82-V81)))</f>
        <v>177.39999999999984</v>
      </c>
      <c r="O82" s="14">
        <f>N82*VLOOKUP('Données projet'!$B$9,Paramètres!$A$1:$I$89,3,0)*VLOOKUP('Données projet'!$B$9,Paramètres!$A$1:$I$89,5,0)</f>
        <v>143.90687999999989</v>
      </c>
      <c r="P82" s="14">
        <f t="shared" si="87"/>
        <v>37.190578088496352</v>
      </c>
      <c r="Q82" s="22">
        <f t="shared" si="54"/>
        <v>315.41140617079759</v>
      </c>
      <c r="R82" s="62">
        <f t="shared" si="55"/>
        <v>608.74473950413085</v>
      </c>
      <c r="S82" s="62">
        <f ca="1">AVERAGE(OFFSET($R$3,0,0,'Données projet'!$E$9+1,1))-AVERAGE(OFFSET($H$3,0,0,'Données projet'!$E$9+1,1))</f>
        <v>214.30779675250909</v>
      </c>
      <c r="T82" s="62">
        <f t="shared" si="88"/>
        <v>172.9006610021255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0.29223451618512741</v>
      </c>
      <c r="AA82" s="23">
        <f>EXP(-LN(2)/25)*AA81+(1-EXP(-LN(2)/25))/(LN(2)/25)*Calculateur!V82*Calculateur!X82*VLOOKUP('Données projet'!$B$9,Paramètres!$A$1:$I$89,3,0)*0.475*44/12</f>
        <v>0.62654089856878226</v>
      </c>
      <c r="AB82" s="23">
        <f>EXP(-LN(2)/2)*AB81+(1-EXP(-LN(2)/2))/(LN(2)/2)*V82*Y82*VLOOKUP('Données projet'!$B$9,Paramètres!$A$1:$I$89,3,0)*0.475*44/12</f>
        <v>2.324020155724665E-7</v>
      </c>
      <c r="AC82" s="24">
        <f t="shared" si="57"/>
        <v>0.91877564715592519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293.33333333333439</v>
      </c>
      <c r="AN82" s="62">
        <f ca="1">AVERAGE(OFFSET($AM$3,0,0,'Données projet'!$E$10+1,1))-AVERAGE(OFFSET($H$3,0,0,'Données projet'!$E$10+1,1))</f>
        <v>206.5885410269899</v>
      </c>
      <c r="AO82" s="62">
        <f t="shared" si="90"/>
        <v>347.41156847586302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181</v>
      </c>
      <c r="L83" s="13">
        <f>VLOOKUP(A83,'Données projet'!$A$35:$I$55,9,0)</f>
        <v>3.6</v>
      </c>
      <c r="M83" s="13">
        <f t="array" ref="M83">INDEX(L:L,MIN(IF(ISNUMBER(L83:L279),ROW(L83:L279),"")))</f>
        <v>3.6</v>
      </c>
      <c r="N83" s="14">
        <f>IF('Données projet'!$A$36&gt;35,N82+M83-V82,IF(A83&lt;'Données projet'!$A$36,$K$205^A83,IF(A83='Données projet'!$A$36,'Données projet'!$B$36,N82+M83-V82)))</f>
        <v>180.99999999999983</v>
      </c>
      <c r="O83" s="14">
        <f>N83*VLOOKUP('Données projet'!$B$9,Paramètres!$A$1:$I$89,3,0)*VLOOKUP('Données projet'!$B$9,Paramètres!$A$1:$I$89,5,0)</f>
        <v>146.82719999999989</v>
      </c>
      <c r="P83" s="14">
        <f t="shared" si="87"/>
        <v>37.856660748046949</v>
      </c>
      <c r="Q83" s="22">
        <f t="shared" si="54"/>
        <v>321.65772413618157</v>
      </c>
      <c r="R83" s="62">
        <f t="shared" si="55"/>
        <v>614.99105746951489</v>
      </c>
      <c r="S83" s="62">
        <f ca="1">AVERAGE(OFFSET($R$3,0,0,'Données projet'!$E$9+1,1))-AVERAGE(OFFSET($H$3,0,0,'Données projet'!$E$9+1,1))</f>
        <v>214.30779675250909</v>
      </c>
      <c r="T83" s="62">
        <f t="shared" si="88"/>
        <v>172.9006610021255</v>
      </c>
      <c r="U83" s="16">
        <f>IF(ISNA(VLOOKUP(A83,'Données projet'!$A$35:$I$55,3,0)),0,VLOOKUP(A83,'Données projet'!$A$35:$I$55,3,0))</f>
        <v>14</v>
      </c>
      <c r="V83" s="16">
        <f>IF(ISNA(VLOOKUP(A83,'Données projet'!$A$35:$I$55,4,0)),0,VLOOKUP(A83,'Données projet'!$A$35:$I$55,4,0))</f>
        <v>11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0.28650397556819168</v>
      </c>
      <c r="AA83" s="23">
        <f>EXP(-LN(2)/25)*AA82+(1-EXP(-LN(2)/25))/(LN(2)/25)*Calculateur!V83*Calculateur!X83*VLOOKUP('Données projet'!$B$9,Paramètres!$A$1:$I$89,3,0)*0.475*44/12</f>
        <v>0.60940810474906504</v>
      </c>
      <c r="AB83" s="23">
        <f>EXP(-LN(2)/2)*AB82+(1-EXP(-LN(2)/2))/(LN(2)/2)*V83*Y83*VLOOKUP('Données projet'!$B$9,Paramètres!$A$1:$I$89,3,0)*0.475*44/12</f>
        <v>1.643330411727127E-7</v>
      </c>
      <c r="AC83" s="24">
        <f t="shared" si="57"/>
        <v>0.89591224465029784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293.33333333333439</v>
      </c>
      <c r="AN83" s="62">
        <f ca="1">AVERAGE(OFFSET($AM$3,0,0,'Données projet'!$E$10+1,1))-AVERAGE(OFFSET($H$3,0,0,'Données projet'!$E$10+1,1))</f>
        <v>206.5885410269899</v>
      </c>
      <c r="AO83" s="62">
        <f t="shared" si="90"/>
        <v>347.41156847586302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3.4</v>
      </c>
      <c r="N84" s="14">
        <f>IF('Données projet'!$A$36&gt;35,N83+M84-V83,IF(A84&lt;'Données projet'!$A$36,$K$205^A84,IF(A84='Données projet'!$A$36,'Données projet'!$B$36,N83+M84-V83)))</f>
        <v>173.39999999999984</v>
      </c>
      <c r="O84" s="14">
        <f>N84*VLOOKUP('Données projet'!$B$9,Paramètres!$A$1:$I$89,3,0)*VLOOKUP('Données projet'!$B$9,Paramètres!$A$1:$I$89,5,0)</f>
        <v>140.66207999999989</v>
      </c>
      <c r="P84" s="14">
        <f t="shared" si="87"/>
        <v>36.448637053108591</v>
      </c>
      <c r="Q84" s="22">
        <f t="shared" si="54"/>
        <v>308.46783220083063</v>
      </c>
      <c r="R84" s="62">
        <f t="shared" si="55"/>
        <v>601.80116553416394</v>
      </c>
      <c r="S84" s="62">
        <f ca="1">AVERAGE(OFFSET($R$3,0,0,'Données projet'!$E$9+1,1))-AVERAGE(OFFSET($H$3,0,0,'Données projet'!$E$9+1,1))</f>
        <v>214.30779675250909</v>
      </c>
      <c r="T84" s="62">
        <f t="shared" si="88"/>
        <v>172.9006610021255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0.28088580735746937</v>
      </c>
      <c r="AA84" s="23">
        <f>EXP(-LN(2)/25)*AA83+(1-EXP(-LN(2)/25))/(LN(2)/25)*Calculateur!V84*Calculateur!X84*VLOOKUP('Données projet'!$B$9,Paramètres!$A$1:$I$89,3,0)*0.475*44/12</f>
        <v>0.59274380807732241</v>
      </c>
      <c r="AB84" s="23">
        <f>EXP(-LN(2)/2)*AB83+(1-EXP(-LN(2)/2))/(LN(2)/2)*V84*Y84*VLOOKUP('Données projet'!$B$9,Paramètres!$A$1:$I$89,3,0)*0.475*44/12</f>
        <v>1.1620100778623327E-7</v>
      </c>
      <c r="AC84" s="24">
        <f t="shared" si="57"/>
        <v>0.8736297316357996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293.33333333333439</v>
      </c>
      <c r="AN84" s="62">
        <f ca="1">AVERAGE(OFFSET($AM$3,0,0,'Données projet'!$E$10+1,1))-AVERAGE(OFFSET($H$3,0,0,'Données projet'!$E$10+1,1))</f>
        <v>206.5885410269899</v>
      </c>
      <c r="AO84" s="62">
        <f t="shared" si="90"/>
        <v>347.41156847586302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3.4</v>
      </c>
      <c r="N85" s="14">
        <f>IF('Données projet'!$A$36&gt;35,N84+M85-V84,IF(A85&lt;'Données projet'!$A$36,$K$205^A85,IF(A85='Données projet'!$A$36,'Données projet'!$B$36,N84+M85-V84)))</f>
        <v>176.79999999999984</v>
      </c>
      <c r="O85" s="14">
        <f>N85*VLOOKUP('Données projet'!$B$9,Paramètres!$A$1:$I$89,3,0)*VLOOKUP('Données projet'!$B$9,Paramètres!$A$1:$I$89,5,0)</f>
        <v>143.4201599999999</v>
      </c>
      <c r="P85" s="14">
        <f t="shared" si="87"/>
        <v>37.079412119365749</v>
      </c>
      <c r="Q85" s="22">
        <f t="shared" si="54"/>
        <v>314.37008810789513</v>
      </c>
      <c r="R85" s="62">
        <f t="shared" si="55"/>
        <v>607.70342144122844</v>
      </c>
      <c r="S85" s="62">
        <f ca="1">AVERAGE(OFFSET($R$3,0,0,'Données projet'!$E$9+1,1))-AVERAGE(OFFSET($H$3,0,0,'Données projet'!$E$9+1,1))</f>
        <v>214.30779675250909</v>
      </c>
      <c r="T85" s="62">
        <f t="shared" si="88"/>
        <v>172.9006610021255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0.27537780799861511</v>
      </c>
      <c r="AA85" s="23">
        <f>EXP(-LN(2)/25)*AA84+(1-EXP(-LN(2)/25))/(LN(2)/25)*Calculateur!V85*Calculateur!X85*VLOOKUP('Données projet'!$B$9,Paramètres!$A$1:$I$89,3,0)*0.475*44/12</f>
        <v>0.57653519747440585</v>
      </c>
      <c r="AB85" s="23">
        <f>EXP(-LN(2)/2)*AB84+(1-EXP(-LN(2)/2))/(LN(2)/2)*V85*Y85*VLOOKUP('Données projet'!$B$9,Paramètres!$A$1:$I$89,3,0)*0.475*44/12</f>
        <v>8.2166520586356364E-8</v>
      </c>
      <c r="AC85" s="24">
        <f t="shared" si="57"/>
        <v>0.85191308763954154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293.33333333333439</v>
      </c>
      <c r="AN85" s="62">
        <f ca="1">AVERAGE(OFFSET($AM$3,0,0,'Données projet'!$E$10+1,1))-AVERAGE(OFFSET($H$3,0,0,'Données projet'!$E$10+1,1))</f>
        <v>206.5885410269899</v>
      </c>
      <c r="AO85" s="62">
        <f t="shared" si="90"/>
        <v>347.41156847586302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3.4</v>
      </c>
      <c r="N86" s="14">
        <f>IF('Données projet'!$A$36&gt;35,N85+M86-V85,IF(A86&lt;'Données projet'!$A$36,$K$205^A86,IF(A86='Données projet'!$A$36,'Données projet'!$B$36,N85+M86-V85)))</f>
        <v>180.19999999999985</v>
      </c>
      <c r="O86" s="14">
        <f>N86*VLOOKUP('Données projet'!$B$9,Paramètres!$A$1:$I$89,3,0)*VLOOKUP('Données projet'!$B$9,Paramètres!$A$1:$I$89,5,0)</f>
        <v>146.17823999999987</v>
      </c>
      <c r="P86" s="14">
        <f t="shared" si="87"/>
        <v>37.708776707131769</v>
      </c>
      <c r="Q86" s="22">
        <f t="shared" si="54"/>
        <v>320.26988743158756</v>
      </c>
      <c r="R86" s="62">
        <f t="shared" si="55"/>
        <v>613.60322076492093</v>
      </c>
      <c r="S86" s="62">
        <f ca="1">AVERAGE(OFFSET($R$3,0,0,'Données projet'!$E$9+1,1))-AVERAGE(OFFSET($H$3,0,0,'Données projet'!$E$9+1,1))</f>
        <v>214.30779675250909</v>
      </c>
      <c r="T86" s="62">
        <f t="shared" si="88"/>
        <v>172.9006610021255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0.26997781714764008</v>
      </c>
      <c r="AA86" s="23">
        <f>EXP(-LN(2)/25)*AA85+(1-EXP(-LN(2)/25))/(LN(2)/25)*Calculateur!V86*Calculateur!X86*VLOOKUP('Données projet'!$B$9,Paramètres!$A$1:$I$89,3,0)*0.475*44/12</f>
        <v>0.56076981218079991</v>
      </c>
      <c r="AB86" s="23">
        <f>EXP(-LN(2)/2)*AB85+(1-EXP(-LN(2)/2))/(LN(2)/2)*V86*Y86*VLOOKUP('Données projet'!$B$9,Paramètres!$A$1:$I$89,3,0)*0.475*44/12</f>
        <v>5.8100503893116644E-8</v>
      </c>
      <c r="AC86" s="24">
        <f t="shared" si="57"/>
        <v>0.83074768742894378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293.33333333333439</v>
      </c>
      <c r="AN86" s="62">
        <f ca="1">AVERAGE(OFFSET($AM$3,0,0,'Données projet'!$E$10+1,1))-AVERAGE(OFFSET($H$3,0,0,'Données projet'!$E$10+1,1))</f>
        <v>206.5885410269899</v>
      </c>
      <c r="AO86" s="62">
        <f t="shared" si="90"/>
        <v>347.41156847586302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3.4</v>
      </c>
      <c r="N87" s="14">
        <f>IF('Données projet'!$A$36&gt;35,N86+M87-V86,IF(A87&lt;'Données projet'!$A$36,$K$205^A87,IF(A87='Données projet'!$A$36,'Données projet'!$B$36,N86+M87-V86)))</f>
        <v>183.59999999999985</v>
      </c>
      <c r="O87" s="14">
        <f>N87*VLOOKUP('Données projet'!$B$9,Paramètres!$A$1:$I$89,3,0)*VLOOKUP('Données projet'!$B$9,Paramètres!$A$1:$I$89,5,0)</f>
        <v>148.93631999999988</v>
      </c>
      <c r="P87" s="14">
        <f t="shared" si="87"/>
        <v>38.336760497889287</v>
      </c>
      <c r="Q87" s="22">
        <f t="shared" si="54"/>
        <v>326.16728186715699</v>
      </c>
      <c r="R87" s="62">
        <f t="shared" si="55"/>
        <v>619.5006152004903</v>
      </c>
      <c r="S87" s="62">
        <f ca="1">AVERAGE(OFFSET($R$3,0,0,'Données projet'!$E$9+1,1))-AVERAGE(OFFSET($H$3,0,0,'Données projet'!$E$9+1,1))</f>
        <v>214.30779675250909</v>
      </c>
      <c r="T87" s="62">
        <f t="shared" si="88"/>
        <v>172.9006610021255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0.26468371682358349</v>
      </c>
      <c r="AA87" s="23">
        <f>EXP(-LN(2)/25)*AA86+(1-EXP(-LN(2)/25))/(LN(2)/25)*Calculateur!V87*Calculateur!X87*VLOOKUP('Données projet'!$B$9,Paramètres!$A$1:$I$89,3,0)*0.475*44/12</f>
        <v>0.54543553217711316</v>
      </c>
      <c r="AB87" s="23">
        <f>EXP(-LN(2)/2)*AB86+(1-EXP(-LN(2)/2))/(LN(2)/2)*V87*Y87*VLOOKUP('Données projet'!$B$9,Paramètres!$A$1:$I$89,3,0)*0.475*44/12</f>
        <v>4.1083260293178188E-8</v>
      </c>
      <c r="AC87" s="24">
        <f t="shared" si="57"/>
        <v>0.81011929008395689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293.33333333333439</v>
      </c>
      <c r="AN87" s="62">
        <f ca="1">AVERAGE(OFFSET($AM$3,0,0,'Données projet'!$E$10+1,1))-AVERAGE(OFFSET($H$3,0,0,'Données projet'!$E$10+1,1))</f>
        <v>206.5885410269899</v>
      </c>
      <c r="AO87" s="62">
        <f t="shared" si="90"/>
        <v>347.41156847586302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187</v>
      </c>
      <c r="L88" s="13">
        <f>VLOOKUP(A88,'Données projet'!$A$35:$I$55,9,0)</f>
        <v>3.4</v>
      </c>
      <c r="M88" s="13">
        <f t="array" ref="M88">INDEX(L:L,MIN(IF(ISNUMBER(L88:L284),ROW(L88:L284),"")))</f>
        <v>3.4</v>
      </c>
      <c r="N88" s="14">
        <f>IF('Données projet'!$A$36&gt;35,N87+M88-V87,IF(A88&lt;'Données projet'!$A$36,$K$205^A88,IF(A88='Données projet'!$A$36,'Données projet'!$B$36,N87+M88-V87)))</f>
        <v>186.99999999999986</v>
      </c>
      <c r="O88" s="14">
        <f>N88*VLOOKUP('Données projet'!$B$9,Paramètres!$A$1:$I$89,3,0)*VLOOKUP('Données projet'!$B$9,Paramètres!$A$1:$I$89,5,0)</f>
        <v>151.69439999999989</v>
      </c>
      <c r="P88" s="14">
        <f t="shared" si="87"/>
        <v>38.963392010880618</v>
      </c>
      <c r="Q88" s="22">
        <f t="shared" si="54"/>
        <v>332.06232108561693</v>
      </c>
      <c r="R88" s="62">
        <f t="shared" si="55"/>
        <v>625.39565441895024</v>
      </c>
      <c r="S88" s="62">
        <f ca="1">AVERAGE(OFFSET($R$3,0,0,'Données projet'!$E$9+1,1))-AVERAGE(OFFSET($H$3,0,0,'Données projet'!$E$9+1,1))</f>
        <v>214.30779675250909</v>
      </c>
      <c r="T88" s="62">
        <f t="shared" si="88"/>
        <v>172.9006610021255</v>
      </c>
      <c r="U88" s="16">
        <f>IF(ISNA(VLOOKUP(A88,'Données projet'!$A$35:$I$55,3,0)),0,VLOOKUP(A88,'Données projet'!$A$35:$I$55,3,0))</f>
        <v>15</v>
      </c>
      <c r="V88" s="16">
        <f>IF(ISNA(VLOOKUP(A88,'Données projet'!$A$35:$I$55,4,0)),0,VLOOKUP(A88,'Données projet'!$A$35:$I$55,4,0))</f>
        <v>10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0.25949343057779928</v>
      </c>
      <c r="AA88" s="23">
        <f>EXP(-LN(2)/25)*AA87+(1-EXP(-LN(2)/25))/(LN(2)/25)*Calculateur!V88*Calculateur!X88*VLOOKUP('Données projet'!$B$9,Paramètres!$A$1:$I$89,3,0)*0.475*44/12</f>
        <v>0.53052056886652199</v>
      </c>
      <c r="AB88" s="23">
        <f>EXP(-LN(2)/2)*AB87+(1-EXP(-LN(2)/2))/(LN(2)/2)*V88*Y88*VLOOKUP('Données projet'!$B$9,Paramètres!$A$1:$I$89,3,0)*0.475*44/12</f>
        <v>2.9050251946558329E-8</v>
      </c>
      <c r="AC88" s="24">
        <f t="shared" si="57"/>
        <v>0.79001402849457325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293.33333333333439</v>
      </c>
      <c r="AN88" s="62">
        <f ca="1">AVERAGE(OFFSET($AM$3,0,0,'Données projet'!$E$10+1,1))-AVERAGE(OFFSET($H$3,0,0,'Données projet'!$E$10+1,1))</f>
        <v>206.5885410269899</v>
      </c>
      <c r="AO88" s="62">
        <f t="shared" si="90"/>
        <v>347.41156847586302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</v>
      </c>
      <c r="N89" s="14">
        <f>IF('Données projet'!$A$36&gt;35,N88+M89-V88,IF(A89&lt;'Données projet'!$A$36,$K$205^A89,IF(A89='Données projet'!$A$36,'Données projet'!$B$36,N88+M89-V88)))</f>
        <v>179.99999999999986</v>
      </c>
      <c r="O89" s="14">
        <f>N89*VLOOKUP('Données projet'!$B$9,Paramètres!$A$1:$I$89,3,0)*VLOOKUP('Données projet'!$B$9,Paramètres!$A$1:$I$89,5,0)</f>
        <v>146.01599999999988</v>
      </c>
      <c r="P89" s="14">
        <f t="shared" si="87"/>
        <v>37.671793767891067</v>
      </c>
      <c r="Q89" s="22">
        <f t="shared" si="54"/>
        <v>319.92290747907674</v>
      </c>
      <c r="R89" s="62">
        <f t="shared" si="55"/>
        <v>613.25624081241006</v>
      </c>
      <c r="S89" s="62">
        <f ca="1">AVERAGE(OFFSET($R$3,0,0,'Données projet'!$E$9+1,1))-AVERAGE(OFFSET($H$3,0,0,'Données projet'!$E$9+1,1))</f>
        <v>214.30779675250909</v>
      </c>
      <c r="T89" s="62">
        <f t="shared" si="88"/>
        <v>172.9006610021255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0.25440492267953291</v>
      </c>
      <c r="AA89" s="23">
        <f>EXP(-LN(2)/25)*AA88+(1-EXP(-LN(2)/25))/(LN(2)/25)*Calculateur!V89*Calculateur!X89*VLOOKUP('Données projet'!$B$9,Paramètres!$A$1:$I$89,3,0)*0.475*44/12</f>
        <v>0.51601345601200277</v>
      </c>
      <c r="AB89" s="23">
        <f>EXP(-LN(2)/2)*AB88+(1-EXP(-LN(2)/2))/(LN(2)/2)*V89*Y89*VLOOKUP('Données projet'!$B$9,Paramètres!$A$1:$I$89,3,0)*0.475*44/12</f>
        <v>2.0541630146589098E-8</v>
      </c>
      <c r="AC89" s="24">
        <f t="shared" si="57"/>
        <v>0.77041839923316591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293.33333333333439</v>
      </c>
      <c r="AN89" s="62">
        <f ca="1">AVERAGE(OFFSET($AM$3,0,0,'Données projet'!$E$10+1,1))-AVERAGE(OFFSET($H$3,0,0,'Données projet'!$E$10+1,1))</f>
        <v>206.5885410269899</v>
      </c>
      <c r="AO89" s="62">
        <f t="shared" si="90"/>
        <v>347.41156847586302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</v>
      </c>
      <c r="N90" s="14">
        <f>IF('Données projet'!$A$36&gt;35,N89+M90-V89,IF(A90&lt;'Données projet'!$A$36,$K$205^A90,IF(A90='Données projet'!$A$36,'Données projet'!$B$36,N89+M90-V89)))</f>
        <v>182.99999999999986</v>
      </c>
      <c r="O90" s="14">
        <f>N90*VLOOKUP('Données projet'!$B$9,Paramètres!$A$1:$I$89,3,0)*VLOOKUP('Données projet'!$B$9,Paramètres!$A$1:$I$89,5,0)</f>
        <v>148.44959999999989</v>
      </c>
      <c r="P90" s="14">
        <f t="shared" si="87"/>
        <v>38.226038889407462</v>
      </c>
      <c r="Q90" s="22">
        <f t="shared" si="54"/>
        <v>325.12673773238447</v>
      </c>
      <c r="R90" s="62">
        <f t="shared" si="55"/>
        <v>618.46007106571778</v>
      </c>
      <c r="S90" s="62">
        <f ca="1">AVERAGE(OFFSET($R$3,0,0,'Données projet'!$E$9+1,1))-AVERAGE(OFFSET($H$3,0,0,'Données projet'!$E$9+1,1))</f>
        <v>214.30779675250909</v>
      </c>
      <c r="T90" s="62">
        <f t="shared" si="88"/>
        <v>172.9006610021255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0.24941619731746817</v>
      </c>
      <c r="AA90" s="23">
        <f>EXP(-LN(2)/25)*AA89+(1-EXP(-LN(2)/25))/(LN(2)/25)*Calculateur!V90*Calculateur!X90*VLOOKUP('Données projet'!$B$9,Paramètres!$A$1:$I$89,3,0)*0.475*44/12</f>
        <v>0.50190304092138627</v>
      </c>
      <c r="AB90" s="23">
        <f>EXP(-LN(2)/2)*AB89+(1-EXP(-LN(2)/2))/(LN(2)/2)*V90*Y90*VLOOKUP('Données projet'!$B$9,Paramètres!$A$1:$I$89,3,0)*0.475*44/12</f>
        <v>1.4525125973279166E-8</v>
      </c>
      <c r="AC90" s="24">
        <f t="shared" si="57"/>
        <v>0.75131925276398048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293.33333333333439</v>
      </c>
      <c r="AN90" s="62">
        <f ca="1">AVERAGE(OFFSET($AM$3,0,0,'Données projet'!$E$10+1,1))-AVERAGE(OFFSET($H$3,0,0,'Données projet'!$E$10+1,1))</f>
        <v>206.5885410269899</v>
      </c>
      <c r="AO90" s="62">
        <f t="shared" si="90"/>
        <v>347.41156847586302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</v>
      </c>
      <c r="N91" s="14">
        <f>IF('Données projet'!$A$36&gt;35,N90+M91-V90,IF(A91&lt;'Données projet'!$A$36,$K$205^A91,IF(A91='Données projet'!$A$36,'Données projet'!$B$36,N90+M91-V90)))</f>
        <v>185.99999999999986</v>
      </c>
      <c r="O91" s="14">
        <f>N91*VLOOKUP('Données projet'!$B$9,Paramètres!$A$1:$I$89,3,0)*VLOOKUP('Données projet'!$B$9,Paramètres!$A$1:$I$89,5,0)</f>
        <v>150.8831999999999</v>
      </c>
      <c r="P91" s="14">
        <f t="shared" si="87"/>
        <v>38.779227360583164</v>
      </c>
      <c r="Q91" s="22">
        <f t="shared" si="54"/>
        <v>330.32872765301551</v>
      </c>
      <c r="R91" s="62">
        <f t="shared" si="55"/>
        <v>623.66206098634882</v>
      </c>
      <c r="S91" s="62">
        <f ca="1">AVERAGE(OFFSET($R$3,0,0,'Données projet'!$E$9+1,1))-AVERAGE(OFFSET($H$3,0,0,'Données projet'!$E$9+1,1))</f>
        <v>214.30779675250909</v>
      </c>
      <c r="T91" s="62">
        <f t="shared" si="88"/>
        <v>172.9006610021255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0.2445252978169315</v>
      </c>
      <c r="AA91" s="23">
        <f>EXP(-LN(2)/25)*AA90+(1-EXP(-LN(2)/25))/(LN(2)/25)*Calculateur!V91*Calculateur!X91*VLOOKUP('Données projet'!$B$9,Paramètres!$A$1:$I$89,3,0)*0.475*44/12</f>
        <v>0.48817847587345714</v>
      </c>
      <c r="AB91" s="23">
        <f>EXP(-LN(2)/2)*AB90+(1-EXP(-LN(2)/2))/(LN(2)/2)*V91*Y91*VLOOKUP('Données projet'!$B$9,Paramètres!$A$1:$I$89,3,0)*0.475*44/12</f>
        <v>1.027081507329455E-8</v>
      </c>
      <c r="AC91" s="24">
        <f t="shared" si="57"/>
        <v>0.73270378396120373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293.33333333333439</v>
      </c>
      <c r="AN91" s="62">
        <f ca="1">AVERAGE(OFFSET($AM$3,0,0,'Données projet'!$E$10+1,1))-AVERAGE(OFFSET($H$3,0,0,'Données projet'!$E$10+1,1))</f>
        <v>206.5885410269899</v>
      </c>
      <c r="AO91" s="62">
        <f t="shared" si="90"/>
        <v>347.41156847586302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</v>
      </c>
      <c r="N92" s="14">
        <f>IF('Données projet'!$A$36&gt;35,N91+M92-V91,IF(A92&lt;'Données projet'!$A$36,$K$205^A92,IF(A92='Données projet'!$A$36,'Données projet'!$B$36,N91+M92-V91)))</f>
        <v>188.99999999999986</v>
      </c>
      <c r="O92" s="14">
        <f>N92*VLOOKUP('Données projet'!$B$9,Paramètres!$A$1:$I$89,3,0)*VLOOKUP('Données projet'!$B$9,Paramètres!$A$1:$I$89,5,0)</f>
        <v>153.31679999999989</v>
      </c>
      <c r="P92" s="14">
        <f t="shared" si="87"/>
        <v>39.331378191752719</v>
      </c>
      <c r="Q92" s="22">
        <f t="shared" si="54"/>
        <v>335.52891035063578</v>
      </c>
      <c r="R92" s="62">
        <f t="shared" si="55"/>
        <v>628.86224368396915</v>
      </c>
      <c r="S92" s="62">
        <f ca="1">AVERAGE(OFFSET($R$3,0,0,'Données projet'!$E$9+1,1))-AVERAGE(OFFSET($H$3,0,0,'Données projet'!$E$9+1,1))</f>
        <v>214.30779675250909</v>
      </c>
      <c r="T92" s="62">
        <f t="shared" si="88"/>
        <v>172.9006610021255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0.23973030587244623</v>
      </c>
      <c r="AA92" s="23">
        <f>EXP(-LN(2)/25)*AA91+(1-EXP(-LN(2)/25))/(LN(2)/25)*Calculateur!V92*Calculateur!X92*VLOOKUP('Données projet'!$B$9,Paramètres!$A$1:$I$89,3,0)*0.475*44/12</f>
        <v>0.47482920977850718</v>
      </c>
      <c r="AB92" s="23">
        <f>EXP(-LN(2)/2)*AB91+(1-EXP(-LN(2)/2))/(LN(2)/2)*V92*Y92*VLOOKUP('Données projet'!$B$9,Paramètres!$A$1:$I$89,3,0)*0.475*44/12</f>
        <v>7.2625629866395846E-9</v>
      </c>
      <c r="AC92" s="24">
        <f t="shared" si="57"/>
        <v>0.71455952291351643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293.33333333333439</v>
      </c>
      <c r="AN92" s="62">
        <f ca="1">AVERAGE(OFFSET($AM$3,0,0,'Données projet'!$E$10+1,1))-AVERAGE(OFFSET($H$3,0,0,'Données projet'!$E$10+1,1))</f>
        <v>206.5885410269899</v>
      </c>
      <c r="AO92" s="62">
        <f t="shared" si="90"/>
        <v>347.41156847586302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192</v>
      </c>
      <c r="L93" s="13">
        <f>VLOOKUP(A93,'Données projet'!$A$35:$I$55,9,0)</f>
        <v>3</v>
      </c>
      <c r="M93" s="13">
        <f t="array" ref="M93">INDEX(L:L,MIN(IF(ISNUMBER(L93:L289),ROW(L93:L289),"")))</f>
        <v>3</v>
      </c>
      <c r="N93" s="14">
        <f>IF('Données projet'!$A$36&gt;35,N92+M93-V92,IF(A93&lt;'Données projet'!$A$36,$K$205^A93,IF(A93='Données projet'!$A$36,'Données projet'!$B$36,N92+M93-V92)))</f>
        <v>191.99999999999986</v>
      </c>
      <c r="O93" s="14">
        <f>N93*VLOOKUP('Données projet'!$B$9,Paramètres!$A$1:$I$89,3,0)*VLOOKUP('Données projet'!$B$9,Paramètres!$A$1:$I$89,5,0)</f>
        <v>155.7503999999999</v>
      </c>
      <c r="P93" s="14">
        <f t="shared" si="87"/>
        <v>39.882509755133754</v>
      </c>
      <c r="Q93" s="22">
        <f t="shared" si="54"/>
        <v>340.7273178235244</v>
      </c>
      <c r="R93" s="62">
        <f t="shared" si="55"/>
        <v>634.06065115685772</v>
      </c>
      <c r="S93" s="62">
        <f ca="1">AVERAGE(OFFSET($R$3,0,0,'Données projet'!$E$9+1,1))-AVERAGE(OFFSET($H$3,0,0,'Données projet'!$E$9+1,1))</f>
        <v>214.30779675250909</v>
      </c>
      <c r="T93" s="62">
        <f t="shared" si="88"/>
        <v>172.9006610021255</v>
      </c>
      <c r="U93" s="16">
        <f>IF(ISNA(VLOOKUP(A93,'Données projet'!$A$35:$I$55,3,0)),0,VLOOKUP(A93,'Données projet'!$A$35:$I$55,3,0))</f>
        <v>16</v>
      </c>
      <c r="V93" s="16">
        <f>IF(ISNA(VLOOKUP(A93,'Données projet'!$A$35:$I$55,4,0)),0,VLOOKUP(A93,'Données projet'!$A$35:$I$55,4,0))</f>
        <v>192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0.23502934079533602</v>
      </c>
      <c r="AA93" s="23">
        <f>EXP(-LN(2)/25)*AA92+(1-EXP(-LN(2)/25))/(LN(2)/25)*Calculateur!V93*Calculateur!X93*VLOOKUP('Données projet'!$B$9,Paramètres!$A$1:$I$89,3,0)*0.475*44/12</f>
        <v>0.46184498006693098</v>
      </c>
      <c r="AB93" s="23">
        <f>EXP(-LN(2)/2)*AB92+(1-EXP(-LN(2)/2))/(LN(2)/2)*V93*Y93*VLOOKUP('Données projet'!$B$9,Paramètres!$A$1:$I$89,3,0)*0.475*44/12</f>
        <v>5.135407536647276E-9</v>
      </c>
      <c r="AC93" s="24">
        <f t="shared" si="57"/>
        <v>0.69687432599767452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293.33333333333439</v>
      </c>
      <c r="AN93" s="62">
        <f ca="1">AVERAGE(OFFSET($AM$3,0,0,'Données projet'!$E$10+1,1))-AVERAGE(OFFSET($H$3,0,0,'Données projet'!$E$10+1,1))</f>
        <v>206.5885410269899</v>
      </c>
      <c r="AO93" s="62">
        <f t="shared" si="90"/>
        <v>347.41156847586302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-1.4210854715202004E-13</v>
      </c>
      <c r="O94" s="14">
        <f>N94*VLOOKUP('Données projet'!$B$9,Paramètres!$A$1:$I$89,3,0)*VLOOKUP('Données projet'!$B$9,Paramètres!$A$1:$I$89,5,0)</f>
        <v>-1.1527845344971866E-13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214.30779675250909</v>
      </c>
      <c r="T94" s="62">
        <f t="shared" si="88"/>
        <v>172.9006610021255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0.23042055877608236</v>
      </c>
      <c r="AA94" s="23">
        <f>EXP(-LN(2)/25)*AA93+(1-EXP(-LN(2)/25))/(LN(2)/25)*Calculateur!V94*Calculateur!X94*VLOOKUP('Données projet'!$B$9,Paramètres!$A$1:$I$89,3,0)*0.475*44/12</f>
        <v>0.4492158047996288</v>
      </c>
      <c r="AB94" s="23">
        <f>EXP(-LN(2)/2)*AB93+(1-EXP(-LN(2)/2))/(LN(2)/2)*V94*Y94*VLOOKUP('Données projet'!$B$9,Paramètres!$A$1:$I$89,3,0)*0.475*44/12</f>
        <v>3.6312814933197927E-9</v>
      </c>
      <c r="AC94" s="24">
        <f t="shared" si="57"/>
        <v>0.67963636720699272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293.33333333333439</v>
      </c>
      <c r="AN94" s="62">
        <f ca="1">AVERAGE(OFFSET($AM$3,0,0,'Données projet'!$E$10+1,1))-AVERAGE(OFFSET($H$3,0,0,'Données projet'!$E$10+1,1))</f>
        <v>206.5885410269899</v>
      </c>
      <c r="AO94" s="62">
        <f t="shared" si="90"/>
        <v>347.41156847586302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-1.4210854715202004E-13</v>
      </c>
      <c r="O95" s="14">
        <f>N95*VLOOKUP('Données projet'!$B$9,Paramètres!$A$1:$I$89,3,0)*VLOOKUP('Données projet'!$B$9,Paramètres!$A$1:$I$89,5,0)</f>
        <v>-1.1527845344971866E-13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214.30779675250909</v>
      </c>
      <c r="T95" s="62">
        <f t="shared" si="88"/>
        <v>172.9006610021255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0.22590215216114681</v>
      </c>
      <c r="AA95" s="23">
        <f>EXP(-LN(2)/25)*AA94+(1-EXP(-LN(2)/25))/(LN(2)/25)*Calculateur!V95*Calculateur!X95*VLOOKUP('Données projet'!$B$9,Paramètres!$A$1:$I$89,3,0)*0.475*44/12</f>
        <v>0.43693197499415048</v>
      </c>
      <c r="AB95" s="23">
        <f>EXP(-LN(2)/2)*AB94+(1-EXP(-LN(2)/2))/(LN(2)/2)*V95*Y95*VLOOKUP('Données projet'!$B$9,Paramètres!$A$1:$I$89,3,0)*0.475*44/12</f>
        <v>2.5677037683236384E-9</v>
      </c>
      <c r="AC95" s="24">
        <f t="shared" si="57"/>
        <v>0.66283412972300104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293.33333333333439</v>
      </c>
      <c r="AN95" s="62">
        <f ca="1">AVERAGE(OFFSET($AM$3,0,0,'Données projet'!$E$10+1,1))-AVERAGE(OFFSET($H$3,0,0,'Données projet'!$E$10+1,1))</f>
        <v>206.5885410269899</v>
      </c>
      <c r="AO95" s="62">
        <f t="shared" si="90"/>
        <v>347.41156847586302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-1.4210854715202004E-13</v>
      </c>
      <c r="O96" s="14">
        <f>N96*VLOOKUP('Données projet'!$B$9,Paramètres!$A$1:$I$89,3,0)*VLOOKUP('Données projet'!$B$9,Paramètres!$A$1:$I$89,5,0)</f>
        <v>-1.1527845344971866E-13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214.30779675250909</v>
      </c>
      <c r="T96" s="62">
        <f t="shared" si="88"/>
        <v>172.9006610021255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0.22147234874397423</v>
      </c>
      <c r="AA96" s="23">
        <f>EXP(-LN(2)/25)*AA95+(1-EXP(-LN(2)/25))/(LN(2)/25)*Calculateur!V96*Calculateur!X96*VLOOKUP('Données projet'!$B$9,Paramètres!$A$1:$I$89,3,0)*0.475*44/12</f>
        <v>0.4249840471606815</v>
      </c>
      <c r="AB96" s="23">
        <f>EXP(-LN(2)/2)*AB95+(1-EXP(-LN(2)/2))/(LN(2)/2)*V96*Y96*VLOOKUP('Données projet'!$B$9,Paramètres!$A$1:$I$89,3,0)*0.475*44/12</f>
        <v>1.8156407466598966E-9</v>
      </c>
      <c r="AC96" s="24">
        <f t="shared" si="57"/>
        <v>0.64645639772029651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293.33333333333439</v>
      </c>
      <c r="AN96" s="62">
        <f ca="1">AVERAGE(OFFSET($AM$3,0,0,'Données projet'!$E$10+1,1))-AVERAGE(OFFSET($H$3,0,0,'Données projet'!$E$10+1,1))</f>
        <v>206.5885410269899</v>
      </c>
      <c r="AO96" s="62">
        <f t="shared" si="90"/>
        <v>347.41156847586302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-1.4210854715202004E-13</v>
      </c>
      <c r="O97" s="14">
        <f>N97*VLOOKUP('Données projet'!$B$9,Paramètres!$A$1:$I$89,3,0)*VLOOKUP('Données projet'!$B$9,Paramètres!$A$1:$I$89,5,0)</f>
        <v>-1.1527845344971866E-13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214.30779675250909</v>
      </c>
      <c r="T97" s="62">
        <f t="shared" si="88"/>
        <v>172.9006610021255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0.21712941106989911</v>
      </c>
      <c r="AA97" s="23">
        <f>EXP(-LN(2)/25)*AA96+(1-EXP(-LN(2)/25))/(LN(2)/25)*Calculateur!V97*Calculateur!X97*VLOOKUP('Données projet'!$B$9,Paramètres!$A$1:$I$89,3,0)*0.475*44/12</f>
        <v>0.41336283604213292</v>
      </c>
      <c r="AB97" s="23">
        <f>EXP(-LN(2)/2)*AB96+(1-EXP(-LN(2)/2))/(LN(2)/2)*V97*Y97*VLOOKUP('Données projet'!$B$9,Paramètres!$A$1:$I$89,3,0)*0.475*44/12</f>
        <v>1.2838518841618194E-9</v>
      </c>
      <c r="AC97" s="24">
        <f t="shared" si="57"/>
        <v>0.63049224839588391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293.33333333333439</v>
      </c>
      <c r="AN97" s="62">
        <f ca="1">AVERAGE(OFFSET($AM$3,0,0,'Données projet'!$E$10+1,1))-AVERAGE(OFFSET($H$3,0,0,'Données projet'!$E$10+1,1))</f>
        <v>206.5885410269899</v>
      </c>
      <c r="AO97" s="62">
        <f t="shared" si="90"/>
        <v>347.41156847586302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-1.4210854715202004E-13</v>
      </c>
      <c r="O98" s="14">
        <f>N98*VLOOKUP('Données projet'!$B$9,Paramètres!$A$1:$I$89,3,0)*VLOOKUP('Données projet'!$B$9,Paramètres!$A$1:$I$89,5,0)</f>
        <v>-1.1527845344971866E-13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214.30779675250909</v>
      </c>
      <c r="T98" s="62">
        <f t="shared" si="88"/>
        <v>172.9006610021255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0.21287163575468218</v>
      </c>
      <c r="AA98" s="23">
        <f>EXP(-LN(2)/25)*AA97+(1-EXP(-LN(2)/25))/(LN(2)/25)*Calculateur!V98*Calculateur!X98*VLOOKUP('Données projet'!$B$9,Paramètres!$A$1:$I$89,3,0)*0.475*44/12</f>
        <v>0.40205940755275399</v>
      </c>
      <c r="AB98" s="23">
        <f>EXP(-LN(2)/2)*AB97+(1-EXP(-LN(2)/2))/(LN(2)/2)*V98*Y98*VLOOKUP('Données projet'!$B$9,Paramètres!$A$1:$I$89,3,0)*0.475*44/12</f>
        <v>9.0782037332994849E-10</v>
      </c>
      <c r="AC98" s="24">
        <f t="shared" si="57"/>
        <v>0.61493104421525657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293.33333333333439</v>
      </c>
      <c r="AN98" s="62">
        <f ca="1">AVERAGE(OFFSET($AM$3,0,0,'Données projet'!$E$10+1,1))-AVERAGE(OFFSET($H$3,0,0,'Données projet'!$E$10+1,1))</f>
        <v>206.5885410269899</v>
      </c>
      <c r="AO98" s="62">
        <f t="shared" si="90"/>
        <v>347.41156847586302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-1.4210854715202004E-13</v>
      </c>
      <c r="O99" s="14">
        <f>N99*VLOOKUP('Données projet'!$B$9,Paramètres!$A$1:$I$89,3,0)*VLOOKUP('Données projet'!$B$9,Paramètres!$A$1:$I$89,5,0)</f>
        <v>-1.1527845344971866E-13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214.30779675250909</v>
      </c>
      <c r="T99" s="62">
        <f t="shared" si="88"/>
        <v>172.9006610021255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0.20869735281641014</v>
      </c>
      <c r="AA99" s="23">
        <f>EXP(-LN(2)/25)*AA98+(1-EXP(-LN(2)/25))/(LN(2)/25)*Calculateur!V99*Calculateur!X99*VLOOKUP('Données projet'!$B$9,Paramètres!$A$1:$I$89,3,0)*0.475*44/12</f>
        <v>0.39106507190983858</v>
      </c>
      <c r="AB99" s="23">
        <f>EXP(-LN(2)/2)*AB98+(1-EXP(-LN(2)/2))/(LN(2)/2)*V99*Y99*VLOOKUP('Données projet'!$B$9,Paramètres!$A$1:$I$89,3,0)*0.475*44/12</f>
        <v>6.4192594208090982E-10</v>
      </c>
      <c r="AC99" s="24">
        <f t="shared" si="57"/>
        <v>0.5997624253681747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293.33333333333439</v>
      </c>
      <c r="AN99" s="62">
        <f ca="1">AVERAGE(OFFSET($AM$3,0,0,'Données projet'!$E$10+1,1))-AVERAGE(OFFSET($H$3,0,0,'Données projet'!$E$10+1,1))</f>
        <v>206.5885410269899</v>
      </c>
      <c r="AO99" s="62">
        <f t="shared" si="90"/>
        <v>347.41156847586302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-1.4210854715202004E-13</v>
      </c>
      <c r="O100" s="14">
        <f>N100*VLOOKUP('Données projet'!$B$9,Paramètres!$A$1:$I$89,3,0)*VLOOKUP('Données projet'!$B$9,Paramètres!$A$1:$I$89,5,0)</f>
        <v>-1.1527845344971866E-13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214.30779675250909</v>
      </c>
      <c r="T100" s="62">
        <f t="shared" si="88"/>
        <v>172.9006610021255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0.20460492502049643</v>
      </c>
      <c r="AA100" s="23">
        <f>EXP(-LN(2)/25)*AA99+(1-EXP(-LN(2)/25))/(LN(2)/25)*Calculateur!V100*Calculateur!X100*VLOOKUP('Données projet'!$B$9,Paramètres!$A$1:$I$89,3,0)*0.475*44/12</f>
        <v>0.38037137695324569</v>
      </c>
      <c r="AB100" s="23">
        <f>EXP(-LN(2)/2)*AB99+(1-EXP(-LN(2)/2))/(LN(2)/2)*V100*Y100*VLOOKUP('Données projet'!$B$9,Paramètres!$A$1:$I$89,3,0)*0.475*44/12</f>
        <v>4.539101866649743E-10</v>
      </c>
      <c r="AC100" s="24">
        <f t="shared" si="57"/>
        <v>0.58497630242765231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293.33333333333439</v>
      </c>
      <c r="AN100" s="62">
        <f ca="1">AVERAGE(OFFSET($AM$3,0,0,'Données projet'!$E$10+1,1))-AVERAGE(OFFSET($H$3,0,0,'Données projet'!$E$10+1,1))</f>
        <v>206.5885410269899</v>
      </c>
      <c r="AO100" s="62">
        <f t="shared" si="90"/>
        <v>347.41156847586302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-1.4210854715202004E-13</v>
      </c>
      <c r="O101" s="14">
        <f>N101*VLOOKUP('Données projet'!$B$9,Paramètres!$A$1:$I$89,3,0)*VLOOKUP('Données projet'!$B$9,Paramètres!$A$1:$I$89,5,0)</f>
        <v>-1.1527845344971866E-13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214.30779675250909</v>
      </c>
      <c r="T101" s="62">
        <f t="shared" si="88"/>
        <v>172.9006610021255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0.2005927472375261</v>
      </c>
      <c r="AA101" s="23">
        <f>EXP(-LN(2)/25)*AA100+(1-EXP(-LN(2)/25))/(LN(2)/25)*Calculateur!V101*Calculateur!X101*VLOOKUP('Données projet'!$B$9,Paramètres!$A$1:$I$89,3,0)*0.475*44/12</f>
        <v>0.3699701016475978</v>
      </c>
      <c r="AB101" s="23">
        <f>EXP(-LN(2)/2)*AB100+(1-EXP(-LN(2)/2))/(LN(2)/2)*V101*Y101*VLOOKUP('Données projet'!$B$9,Paramètres!$A$1:$I$89,3,0)*0.475*44/12</f>
        <v>3.2096297104045496E-10</v>
      </c>
      <c r="AC101" s="24">
        <f t="shared" si="57"/>
        <v>0.5705628492060868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293.33333333333439</v>
      </c>
      <c r="AN101" s="62">
        <f ca="1">AVERAGE(OFFSET($AM$3,0,0,'Données projet'!$E$10+1,1))-AVERAGE(OFFSET($H$3,0,0,'Données projet'!$E$10+1,1))</f>
        <v>206.5885410269899</v>
      </c>
      <c r="AO101" s="62">
        <f t="shared" si="90"/>
        <v>347.41156847586302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-1.4210854715202004E-13</v>
      </c>
      <c r="O102" s="14">
        <f>N102*VLOOKUP('Données projet'!$B$9,Paramètres!$A$1:$I$89,3,0)*VLOOKUP('Données projet'!$B$9,Paramètres!$A$1:$I$89,5,0)</f>
        <v>-1.1527845344971866E-13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214.30779675250909</v>
      </c>
      <c r="T102" s="62">
        <f t="shared" si="88"/>
        <v>172.9006610021255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0.19665924581369301</v>
      </c>
      <c r="AA102" s="23">
        <f>EXP(-LN(2)/25)*AA101+(1-EXP(-LN(2)/25))/(LN(2)/25)*Calculateur!V102*Calculateur!X102*VLOOKUP('Données projet'!$B$9,Paramètres!$A$1:$I$89,3,0)*0.475*44/12</f>
        <v>0.35985324976216215</v>
      </c>
      <c r="AB102" s="23">
        <f>EXP(-LN(2)/2)*AB101+(1-EXP(-LN(2)/2))/(LN(2)/2)*V102*Y102*VLOOKUP('Données projet'!$B$9,Paramètres!$A$1:$I$89,3,0)*0.475*44/12</f>
        <v>2.269550933324872E-10</v>
      </c>
      <c r="AC102" s="24">
        <f t="shared" si="57"/>
        <v>0.55651249580281026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293.33333333333439</v>
      </c>
      <c r="AN102" s="62">
        <f ca="1">AVERAGE(OFFSET($AM$3,0,0,'Données projet'!$E$10+1,1))-AVERAGE(OFFSET($H$3,0,0,'Données projet'!$E$10+1,1))</f>
        <v>206.5885410269899</v>
      </c>
      <c r="AO102" s="62">
        <f t="shared" si="90"/>
        <v>347.41156847586302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-1.4210854715202004E-13</v>
      </c>
      <c r="O103" s="14">
        <f>N103*VLOOKUP('Données projet'!$B$9,Paramètres!$A$1:$I$89,3,0)*VLOOKUP('Données projet'!$B$9,Paramètres!$A$1:$I$89,5,0)</f>
        <v>-1.1527845344971866E-13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214.30779675250909</v>
      </c>
      <c r="T103" s="62">
        <f t="shared" si="88"/>
        <v>172.9006610021255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0.19280287795358234</v>
      </c>
      <c r="AA103" s="23">
        <f>EXP(-LN(2)/25)*AA102+(1-EXP(-LN(2)/25))/(LN(2)/25)*Calculateur!V103*Calculateur!X103*VLOOKUP('Données projet'!$B$9,Paramètres!$A$1:$I$89,3,0)*0.475*44/12</f>
        <v>0.35001304372355591</v>
      </c>
      <c r="AB103" s="23">
        <f>EXP(-LN(2)/2)*AB102+(1-EXP(-LN(2)/2))/(LN(2)/2)*V103*Y103*VLOOKUP('Données projet'!$B$9,Paramètres!$A$1:$I$89,3,0)*0.475*44/12</f>
        <v>1.6048148552022751E-10</v>
      </c>
      <c r="AC103" s="24">
        <f t="shared" si="57"/>
        <v>0.54281592183761973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293.33333333333439</v>
      </c>
      <c r="AN103" s="62">
        <f ca="1">AVERAGE(OFFSET($AM$3,0,0,'Données projet'!$E$10+1,1))-AVERAGE(OFFSET($H$3,0,0,'Données projet'!$E$10+1,1))</f>
        <v>206.5885410269899</v>
      </c>
      <c r="AO103" s="62">
        <f t="shared" si="90"/>
        <v>347.41156847586302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-1.4210854715202004E-13</v>
      </c>
      <c r="O104" s="14">
        <f>N104*VLOOKUP('Données projet'!$B$9,Paramètres!$A$1:$I$89,3,0)*VLOOKUP('Données projet'!$B$9,Paramètres!$A$1:$I$89,5,0)</f>
        <v>-1.1527845344971866E-13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214.30779675250909</v>
      </c>
      <c r="T104" s="62">
        <f t="shared" si="88"/>
        <v>172.9006610021255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0.18902213111505628</v>
      </c>
      <c r="AA104" s="23">
        <f>EXP(-LN(2)/25)*AA103+(1-EXP(-LN(2)/25))/(LN(2)/25)*Calculateur!V104*Calculateur!X104*VLOOKUP('Données projet'!$B$9,Paramètres!$A$1:$I$89,3,0)*0.475*44/12</f>
        <v>0.34044191863654927</v>
      </c>
      <c r="AB104" s="23">
        <f>EXP(-LN(2)/2)*AB103+(1-EXP(-LN(2)/2))/(LN(2)/2)*V104*Y104*VLOOKUP('Données projet'!$B$9,Paramètres!$A$1:$I$89,3,0)*0.475*44/12</f>
        <v>1.1347754666624361E-10</v>
      </c>
      <c r="AC104" s="24">
        <f t="shared" si="57"/>
        <v>0.52946404986508311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293.33333333333439</v>
      </c>
      <c r="AN104" s="62">
        <f ca="1">AVERAGE(OFFSET($AM$3,0,0,'Données projet'!$E$10+1,1))-AVERAGE(OFFSET($H$3,0,0,'Données projet'!$E$10+1,1))</f>
        <v>206.5885410269899</v>
      </c>
      <c r="AO104" s="62">
        <f t="shared" si="90"/>
        <v>347.41156847586302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-1.4210854715202004E-13</v>
      </c>
      <c r="O105" s="14">
        <f>N105*VLOOKUP('Données projet'!$B$9,Paramètres!$A$1:$I$89,3,0)*VLOOKUP('Données projet'!$B$9,Paramètres!$A$1:$I$89,5,0)</f>
        <v>-1.1527845344971866E-13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214.30779675250909</v>
      </c>
      <c r="T105" s="62">
        <f t="shared" si="88"/>
        <v>172.9006610021255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0.18531552241600585</v>
      </c>
      <c r="AA105" s="23">
        <f>EXP(-LN(2)/25)*AA104+(1-EXP(-LN(2)/25))/(LN(2)/25)*Calculateur!V105*Calculateur!X105*VLOOKUP('Données projet'!$B$9,Paramètres!$A$1:$I$89,3,0)*0.475*44/12</f>
        <v>0.33113251646837044</v>
      </c>
      <c r="AB105" s="23">
        <f>EXP(-LN(2)/2)*AB104+(1-EXP(-LN(2)/2))/(LN(2)/2)*V105*Y105*VLOOKUP('Données projet'!$B$9,Paramètres!$A$1:$I$89,3,0)*0.475*44/12</f>
        <v>8.0240742760113766E-11</v>
      </c>
      <c r="AC105" s="24">
        <f t="shared" si="57"/>
        <v>0.516448038964617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293.33333333333439</v>
      </c>
      <c r="AN105" s="62">
        <f ca="1">AVERAGE(OFFSET($AM$3,0,0,'Données projet'!$E$10+1,1))-AVERAGE(OFFSET($H$3,0,0,'Données projet'!$E$10+1,1))</f>
        <v>206.5885410269899</v>
      </c>
      <c r="AO105" s="62">
        <f t="shared" si="90"/>
        <v>347.41156847586302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-1.4210854715202004E-13</v>
      </c>
      <c r="O106" s="14">
        <f>N106*VLOOKUP('Données projet'!$B$9,Paramètres!$A$1:$I$89,3,0)*VLOOKUP('Données projet'!$B$9,Paramètres!$A$1:$I$89,5,0)</f>
        <v>-1.1527845344971866E-13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214.30779675250909</v>
      </c>
      <c r="T106" s="62">
        <f t="shared" si="88"/>
        <v>172.9006610021255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0.18168159805273573</v>
      </c>
      <c r="AA106" s="23">
        <f>EXP(-LN(2)/25)*AA105+(1-EXP(-LN(2)/25))/(LN(2)/25)*Calculateur!V106*Calculateur!X106*VLOOKUP('Données projet'!$B$9,Paramètres!$A$1:$I$89,3,0)*0.475*44/12</f>
        <v>0.3220776803920406</v>
      </c>
      <c r="AB106" s="23">
        <f>EXP(-LN(2)/2)*AB105+(1-EXP(-LN(2)/2))/(LN(2)/2)*V106*Y106*VLOOKUP('Données projet'!$B$9,Paramètres!$A$1:$I$89,3,0)*0.475*44/12</f>
        <v>5.6738773333121813E-11</v>
      </c>
      <c r="AC106" s="24">
        <f t="shared" si="57"/>
        <v>0.50375927850151503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293.33333333333439</v>
      </c>
      <c r="AN106" s="62">
        <f ca="1">AVERAGE(OFFSET($AM$3,0,0,'Données projet'!$E$10+1,1))-AVERAGE(OFFSET($H$3,0,0,'Données projet'!$E$10+1,1))</f>
        <v>206.5885410269899</v>
      </c>
      <c r="AO106" s="62">
        <f t="shared" si="90"/>
        <v>347.41156847586302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-1.4210854715202004E-13</v>
      </c>
      <c r="O107" s="14">
        <f>N107*VLOOKUP('Données projet'!$B$9,Paramètres!$A$1:$I$89,3,0)*VLOOKUP('Données projet'!$B$9,Paramètres!$A$1:$I$89,5,0)</f>
        <v>-1.1527845344971866E-13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214.30779675250909</v>
      </c>
      <c r="T107" s="62">
        <f t="shared" si="88"/>
        <v>172.9006610021255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0.17811893272975435</v>
      </c>
      <c r="AA107" s="23">
        <f>EXP(-LN(2)/25)*AA106+(1-EXP(-LN(2)/25))/(LN(2)/25)*Calculateur!V107*Calculateur!X107*VLOOKUP('Données projet'!$B$9,Paramètres!$A$1:$I$89,3,0)*0.475*44/12</f>
        <v>0.31327044928439118</v>
      </c>
      <c r="AB107" s="23">
        <f>EXP(-LN(2)/2)*AB106+(1-EXP(-LN(2)/2))/(LN(2)/2)*V107*Y107*VLOOKUP('Données projet'!$B$9,Paramètres!$A$1:$I$89,3,0)*0.475*44/12</f>
        <v>4.0120371380056889E-11</v>
      </c>
      <c r="AC107" s="24">
        <f t="shared" si="57"/>
        <v>0.49138938205426586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293.33333333333439</v>
      </c>
      <c r="AN107" s="62">
        <f ca="1">AVERAGE(OFFSET($AM$3,0,0,'Données projet'!$E$10+1,1))-AVERAGE(OFFSET($H$3,0,0,'Données projet'!$E$10+1,1))</f>
        <v>206.5885410269899</v>
      </c>
      <c r="AO107" s="62">
        <f t="shared" si="90"/>
        <v>347.41156847586302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-1.4210854715202004E-13</v>
      </c>
      <c r="O108" s="14">
        <f>N108*VLOOKUP('Données projet'!$B$9,Paramètres!$A$1:$I$89,3,0)*VLOOKUP('Données projet'!$B$9,Paramètres!$A$1:$I$89,5,0)</f>
        <v>-1.1527845344971866E-13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214.30779675250909</v>
      </c>
      <c r="T108" s="62">
        <f t="shared" si="88"/>
        <v>172.9006610021255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0.17462612910074535</v>
      </c>
      <c r="AA108" s="23">
        <f>EXP(-LN(2)/25)*AA107+(1-EXP(-LN(2)/25))/(LN(2)/25)*Calculateur!V108*Calculateur!X108*VLOOKUP('Données projet'!$B$9,Paramètres!$A$1:$I$89,3,0)*0.475*44/12</f>
        <v>0.30470405237453257</v>
      </c>
      <c r="AB108" s="23">
        <f>EXP(-LN(2)/2)*AB107+(1-EXP(-LN(2)/2))/(LN(2)/2)*V108*Y108*VLOOKUP('Données projet'!$B$9,Paramètres!$A$1:$I$89,3,0)*0.475*44/12</f>
        <v>2.8369386666560913E-11</v>
      </c>
      <c r="AC108" s="24">
        <f t="shared" si="57"/>
        <v>0.47933018150364731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293.33333333333439</v>
      </c>
      <c r="AN108" s="62">
        <f ca="1">AVERAGE(OFFSET($AM$3,0,0,'Données projet'!$E$10+1,1))-AVERAGE(OFFSET($H$3,0,0,'Données projet'!$E$10+1,1))</f>
        <v>206.5885410269899</v>
      </c>
      <c r="AO108" s="62">
        <f t="shared" si="90"/>
        <v>347.41156847586302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-1.4210854715202004E-13</v>
      </c>
      <c r="O109" s="14">
        <f>N109*VLOOKUP('Données projet'!$B$9,Paramètres!$A$1:$I$89,3,0)*VLOOKUP('Données projet'!$B$9,Paramètres!$A$1:$I$89,5,0)</f>
        <v>-1.1527845344971866E-13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214.30779675250909</v>
      </c>
      <c r="T109" s="62">
        <f t="shared" si="88"/>
        <v>172.9006610021255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0.17120181722050135</v>
      </c>
      <c r="AA109" s="23">
        <f>EXP(-LN(2)/25)*AA108+(1-EXP(-LN(2)/25))/(LN(2)/25)*Calculateur!V109*Calculateur!X109*VLOOKUP('Données projet'!$B$9,Paramètres!$A$1:$I$89,3,0)*0.475*44/12</f>
        <v>0.29637190403866126</v>
      </c>
      <c r="AB109" s="23">
        <f>EXP(-LN(2)/2)*AB108+(1-EXP(-LN(2)/2))/(LN(2)/2)*V109*Y109*VLOOKUP('Données projet'!$B$9,Paramètres!$A$1:$I$89,3,0)*0.475*44/12</f>
        <v>2.0060185690028448E-11</v>
      </c>
      <c r="AC109" s="24">
        <f t="shared" si="57"/>
        <v>0.46757372127922281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293.33333333333439</v>
      </c>
      <c r="AN109" s="62">
        <f ca="1">AVERAGE(OFFSET($AM$3,0,0,'Données projet'!$E$10+1,1))-AVERAGE(OFFSET($H$3,0,0,'Données projet'!$E$10+1,1))</f>
        <v>206.5885410269899</v>
      </c>
      <c r="AO109" s="62">
        <f t="shared" si="90"/>
        <v>347.41156847586302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-1.4210854715202004E-13</v>
      </c>
      <c r="O110" s="14">
        <f>N110*VLOOKUP('Données projet'!$B$9,Paramètres!$A$1:$I$89,3,0)*VLOOKUP('Données projet'!$B$9,Paramètres!$A$1:$I$89,5,0)</f>
        <v>-1.1527845344971866E-13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214.30779675250909</v>
      </c>
      <c r="T110" s="62">
        <f t="shared" si="88"/>
        <v>172.9006610021255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0.16784465400760493</v>
      </c>
      <c r="AA110" s="23">
        <f>EXP(-LN(2)/25)*AA109+(1-EXP(-LN(2)/25))/(LN(2)/25)*Calculateur!V110*Calculateur!X110*VLOOKUP('Données projet'!$B$9,Paramètres!$A$1:$I$89,3,0)*0.475*44/12</f>
        <v>0.28826759873720298</v>
      </c>
      <c r="AB110" s="23">
        <f>EXP(-LN(2)/2)*AB109+(1-EXP(-LN(2)/2))/(LN(2)/2)*V110*Y110*VLOOKUP('Données projet'!$B$9,Paramètres!$A$1:$I$89,3,0)*0.475*44/12</f>
        <v>1.4184693333280458E-11</v>
      </c>
      <c r="AC110" s="24">
        <f t="shared" si="57"/>
        <v>0.45611225275899264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293.33333333333439</v>
      </c>
      <c r="AN110" s="62">
        <f ca="1">AVERAGE(OFFSET($AM$3,0,0,'Données projet'!$E$10+1,1))-AVERAGE(OFFSET($H$3,0,0,'Données projet'!$E$10+1,1))</f>
        <v>206.5885410269899</v>
      </c>
      <c r="AO110" s="62">
        <f t="shared" si="90"/>
        <v>347.41156847586302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-1.4210854715202004E-13</v>
      </c>
      <c r="O111" s="14">
        <f>N111*VLOOKUP('Données projet'!$B$9,Paramètres!$A$1:$I$89,3,0)*VLOOKUP('Données projet'!$B$9,Paramètres!$A$1:$I$89,5,0)</f>
        <v>-1.1527845344971866E-13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214.30779675250909</v>
      </c>
      <c r="T111" s="62">
        <f t="shared" si="88"/>
        <v>172.9006610021255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0.16455332271764603</v>
      </c>
      <c r="AA111" s="23">
        <f>EXP(-LN(2)/25)*AA110+(1-EXP(-LN(2)/25))/(LN(2)/25)*Calculateur!V111*Calculateur!X111*VLOOKUP('Données projet'!$B$9,Paramètres!$A$1:$I$89,3,0)*0.475*44/12</f>
        <v>0.28038490609040001</v>
      </c>
      <c r="AB111" s="23">
        <f>EXP(-LN(2)/2)*AB110+(1-EXP(-LN(2)/2))/(LN(2)/2)*V111*Y111*VLOOKUP('Données projet'!$B$9,Paramètres!$A$1:$I$89,3,0)*0.475*44/12</f>
        <v>1.0030092845014226E-11</v>
      </c>
      <c r="AC111" s="24">
        <f t="shared" si="57"/>
        <v>0.4449382288180761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293.33333333333439</v>
      </c>
      <c r="AN111" s="62">
        <f ca="1">AVERAGE(OFFSET($AM$3,0,0,'Données projet'!$E$10+1,1))-AVERAGE(OFFSET($H$3,0,0,'Données projet'!$E$10+1,1))</f>
        <v>206.5885410269899</v>
      </c>
      <c r="AO111" s="62">
        <f t="shared" si="90"/>
        <v>347.41156847586302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-1.4210854715202004E-13</v>
      </c>
      <c r="O112" s="14">
        <f>N112*VLOOKUP('Données projet'!$B$9,Paramètres!$A$1:$I$89,3,0)*VLOOKUP('Données projet'!$B$9,Paramètres!$A$1:$I$89,5,0)</f>
        <v>-1.1527845344971866E-13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214.30779675250909</v>
      </c>
      <c r="T112" s="62">
        <f t="shared" si="88"/>
        <v>172.9006610021255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0.16132653242676936</v>
      </c>
      <c r="AA112" s="23">
        <f>EXP(-LN(2)/25)*AA111+(1-EXP(-LN(2)/25))/(LN(2)/25)*Calculateur!V112*Calculateur!X112*VLOOKUP('Données projet'!$B$9,Paramètres!$A$1:$I$89,3,0)*0.475*44/12</f>
        <v>0.27271776608855663</v>
      </c>
      <c r="AB112" s="23">
        <f>EXP(-LN(2)/2)*AB111+(1-EXP(-LN(2)/2))/(LN(2)/2)*V112*Y112*VLOOKUP('Données projet'!$B$9,Paramètres!$A$1:$I$89,3,0)*0.475*44/12</f>
        <v>7.0923466666402307E-12</v>
      </c>
      <c r="AC112" s="24">
        <f t="shared" si="57"/>
        <v>0.43404429852241833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293.33333333333439</v>
      </c>
      <c r="AN112" s="62">
        <f ca="1">AVERAGE(OFFSET($AM$3,0,0,'Données projet'!$E$10+1,1))-AVERAGE(OFFSET($H$3,0,0,'Données projet'!$E$10+1,1))</f>
        <v>206.5885410269899</v>
      </c>
      <c r="AO112" s="62">
        <f t="shared" si="90"/>
        <v>347.41156847586302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-1.4210854715202004E-13</v>
      </c>
      <c r="O113" s="14">
        <f>N113*VLOOKUP('Données projet'!$B$9,Paramètres!$A$1:$I$89,3,0)*VLOOKUP('Données projet'!$B$9,Paramètres!$A$1:$I$89,5,0)</f>
        <v>-1.1527845344971866E-13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214.30779675250909</v>
      </c>
      <c r="T113" s="62">
        <f t="shared" si="88"/>
        <v>172.9006610021255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0.15816301752534906</v>
      </c>
      <c r="AA113" s="23">
        <f>EXP(-LN(2)/25)*AA112+(1-EXP(-LN(2)/25))/(LN(2)/25)*Calculateur!V113*Calculateur!X113*VLOOKUP('Données projet'!$B$9,Paramètres!$A$1:$I$89,3,0)*0.475*44/12</f>
        <v>0.26526028443326105</v>
      </c>
      <c r="AB113" s="23">
        <f>EXP(-LN(2)/2)*AB112+(1-EXP(-LN(2)/2))/(LN(2)/2)*V113*Y113*VLOOKUP('Données projet'!$B$9,Paramètres!$A$1:$I$89,3,0)*0.475*44/12</f>
        <v>5.0150464225071136E-12</v>
      </c>
      <c r="AC113" s="24">
        <f t="shared" si="57"/>
        <v>0.42342330196362515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293.33333333333439</v>
      </c>
      <c r="AN113" s="62">
        <f ca="1">AVERAGE(OFFSET($AM$3,0,0,'Données projet'!$E$10+1,1))-AVERAGE(OFFSET($H$3,0,0,'Données projet'!$E$10+1,1))</f>
        <v>206.5885410269899</v>
      </c>
      <c r="AO113" s="62">
        <f t="shared" si="90"/>
        <v>347.41156847586302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-1.4210854715202004E-13</v>
      </c>
      <c r="O114" s="14">
        <f>N114*VLOOKUP('Données projet'!$B$9,Paramètres!$A$1:$I$89,3,0)*VLOOKUP('Données projet'!$B$9,Paramètres!$A$1:$I$89,5,0)</f>
        <v>-1.1527845344971866E-13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214.30779675250909</v>
      </c>
      <c r="T114" s="62">
        <f t="shared" si="88"/>
        <v>172.9006610021255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0.15506153722159205</v>
      </c>
      <c r="AA114" s="23">
        <f>EXP(-LN(2)/25)*AA113+(1-EXP(-LN(2)/25))/(LN(2)/25)*Calculateur!V114*Calculateur!X114*VLOOKUP('Données projet'!$B$9,Paramètres!$A$1:$I$89,3,0)*0.475*44/12</f>
        <v>0.25800672800600144</v>
      </c>
      <c r="AB114" s="23">
        <f>EXP(-LN(2)/2)*AB113+(1-EXP(-LN(2)/2))/(LN(2)/2)*V114*Y114*VLOOKUP('Données projet'!$B$9,Paramètres!$A$1:$I$89,3,0)*0.475*44/12</f>
        <v>3.5461733333201157E-12</v>
      </c>
      <c r="AC114" s="24">
        <f t="shared" si="57"/>
        <v>0.41306826523113965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293.33333333333439</v>
      </c>
      <c r="AN114" s="62">
        <f ca="1">AVERAGE(OFFSET($AM$3,0,0,'Données projet'!$E$10+1,1))-AVERAGE(OFFSET($H$3,0,0,'Données projet'!$E$10+1,1))</f>
        <v>206.5885410269899</v>
      </c>
      <c r="AO114" s="62">
        <f t="shared" si="90"/>
        <v>347.41156847586302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-1.4210854715202004E-13</v>
      </c>
      <c r="O115" s="14">
        <f>N115*VLOOKUP('Données projet'!$B$9,Paramètres!$A$1:$I$89,3,0)*VLOOKUP('Données projet'!$B$9,Paramètres!$A$1:$I$89,5,0)</f>
        <v>-1.1527845344971866E-13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214.30779675250909</v>
      </c>
      <c r="T115" s="62">
        <f t="shared" si="88"/>
        <v>172.9006610021255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0.15202087505487552</v>
      </c>
      <c r="AA115" s="23">
        <f>EXP(-LN(2)/25)*AA114+(1-EXP(-LN(2)/25))/(LN(2)/25)*Calculateur!V115*Calculateur!X115*VLOOKUP('Données projet'!$B$9,Paramètres!$A$1:$I$89,3,0)*0.475*44/12</f>
        <v>0.25095152046069319</v>
      </c>
      <c r="AB115" s="23">
        <f>EXP(-LN(2)/2)*AB114+(1-EXP(-LN(2)/2))/(LN(2)/2)*V115*Y115*VLOOKUP('Données projet'!$B$9,Paramètres!$A$1:$I$89,3,0)*0.475*44/12</f>
        <v>2.5075232112535572E-12</v>
      </c>
      <c r="AC115" s="24">
        <f t="shared" si="57"/>
        <v>0.40297239551807629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293.33333333333439</v>
      </c>
      <c r="AN115" s="62">
        <f ca="1">AVERAGE(OFFSET($AM$3,0,0,'Données projet'!$E$10+1,1))-AVERAGE(OFFSET($H$3,0,0,'Données projet'!$E$10+1,1))</f>
        <v>206.5885410269899</v>
      </c>
      <c r="AO115" s="62">
        <f t="shared" si="90"/>
        <v>347.41156847586302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-1.4210854715202004E-13</v>
      </c>
      <c r="O116" s="14">
        <f>N116*VLOOKUP('Données projet'!$B$9,Paramètres!$A$1:$I$89,3,0)*VLOOKUP('Données projet'!$B$9,Paramètres!$A$1:$I$89,5,0)</f>
        <v>-1.1527845344971866E-13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214.30779675250909</v>
      </c>
      <c r="T116" s="62">
        <f t="shared" si="88"/>
        <v>172.9006610021255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0.1490398384186275</v>
      </c>
      <c r="AA116" s="23">
        <f>EXP(-LN(2)/25)*AA115+(1-EXP(-LN(2)/25))/(LN(2)/25)*Calculateur!V116*Calculateur!X116*VLOOKUP('Données projet'!$B$9,Paramètres!$A$1:$I$89,3,0)*0.475*44/12</f>
        <v>0.24408923793672863</v>
      </c>
      <c r="AB116" s="23">
        <f>EXP(-LN(2)/2)*AB115+(1-EXP(-LN(2)/2))/(LN(2)/2)*V116*Y116*VLOOKUP('Données projet'!$B$9,Paramètres!$A$1:$I$89,3,0)*0.475*44/12</f>
        <v>1.7730866666600583E-12</v>
      </c>
      <c r="AC116" s="24">
        <f t="shared" si="57"/>
        <v>0.39312907635712918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293.33333333333439</v>
      </c>
      <c r="AN116" s="62">
        <f ca="1">AVERAGE(OFFSET($AM$3,0,0,'Données projet'!$E$10+1,1))-AVERAGE(OFFSET($H$3,0,0,'Données projet'!$E$10+1,1))</f>
        <v>206.5885410269899</v>
      </c>
      <c r="AO116" s="62">
        <f t="shared" si="90"/>
        <v>347.41156847586302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-1.4210854715202004E-13</v>
      </c>
      <c r="O117" s="14">
        <f>N117*VLOOKUP('Données projet'!$B$9,Paramètres!$A$1:$I$89,3,0)*VLOOKUP('Données projet'!$B$9,Paramètres!$A$1:$I$89,5,0)</f>
        <v>-1.1527845344971866E-13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214.30779675250909</v>
      </c>
      <c r="T117" s="62">
        <f t="shared" si="88"/>
        <v>172.9006610021255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0.14611725809256348</v>
      </c>
      <c r="AA117" s="23">
        <f>EXP(-LN(2)/25)*AA116+(1-EXP(-LN(2)/25))/(LN(2)/25)*Calculateur!V117*Calculateur!X117*VLOOKUP('Données projet'!$B$9,Paramètres!$A$1:$I$89,3,0)*0.475*44/12</f>
        <v>0.23741460488925364</v>
      </c>
      <c r="AB117" s="23">
        <f>EXP(-LN(2)/2)*AB116+(1-EXP(-LN(2)/2))/(LN(2)/2)*V117*Y117*VLOOKUP('Données projet'!$B$9,Paramètres!$A$1:$I$89,3,0)*0.475*44/12</f>
        <v>1.2537616056267788E-12</v>
      </c>
      <c r="AC117" s="24">
        <f t="shared" si="57"/>
        <v>0.3835318629830709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293.33333333333439</v>
      </c>
      <c r="AN117" s="62">
        <f ca="1">AVERAGE(OFFSET($AM$3,0,0,'Données projet'!$E$10+1,1))-AVERAGE(OFFSET($H$3,0,0,'Données projet'!$E$10+1,1))</f>
        <v>206.5885410269899</v>
      </c>
      <c r="AO117" s="62">
        <f t="shared" si="90"/>
        <v>347.41156847586302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-1.4210854715202004E-13</v>
      </c>
      <c r="O118" s="14">
        <f>N118*VLOOKUP('Données projet'!$B$9,Paramètres!$A$1:$I$89,3,0)*VLOOKUP('Données projet'!$B$9,Paramètres!$A$1:$I$89,5,0)</f>
        <v>-1.1527845344971866E-13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214.30779675250909</v>
      </c>
      <c r="T118" s="62">
        <f t="shared" si="88"/>
        <v>172.9006610021255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0.14325198778409562</v>
      </c>
      <c r="AA118" s="23">
        <f>EXP(-LN(2)/25)*AA117+(1-EXP(-LN(2)/25))/(LN(2)/25)*Calculateur!V118*Calculateur!X118*VLOOKUP('Données projet'!$B$9,Paramètres!$A$1:$I$89,3,0)*0.475*44/12</f>
        <v>0.23092249003346554</v>
      </c>
      <c r="AB118" s="23">
        <f>EXP(-LN(2)/2)*AB117+(1-EXP(-LN(2)/2))/(LN(2)/2)*V118*Y118*VLOOKUP('Données projet'!$B$9,Paramètres!$A$1:$I$89,3,0)*0.475*44/12</f>
        <v>8.8654333333002924E-13</v>
      </c>
      <c r="AC118" s="24">
        <f t="shared" si="57"/>
        <v>0.37417447781844776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293.33333333333439</v>
      </c>
      <c r="AN118" s="62">
        <f ca="1">AVERAGE(OFFSET($AM$3,0,0,'Données projet'!$E$10+1,1))-AVERAGE(OFFSET($H$3,0,0,'Données projet'!$E$10+1,1))</f>
        <v>206.5885410269899</v>
      </c>
      <c r="AO118" s="62">
        <f t="shared" si="90"/>
        <v>347.41156847586302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-1.4210854715202004E-13</v>
      </c>
      <c r="O119" s="14">
        <f>N119*VLOOKUP('Données projet'!$B$9,Paramètres!$A$1:$I$89,3,0)*VLOOKUP('Données projet'!$B$9,Paramètres!$A$1:$I$89,5,0)</f>
        <v>-1.1527845344971866E-13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214.30779675250909</v>
      </c>
      <c r="T119" s="62">
        <f t="shared" si="88"/>
        <v>172.9006610021255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0.14044290367873447</v>
      </c>
      <c r="AA119" s="23">
        <f>EXP(-LN(2)/25)*AA118+(1-EXP(-LN(2)/25))/(LN(2)/25)*Calculateur!V119*Calculateur!X119*VLOOKUP('Données projet'!$B$9,Paramètres!$A$1:$I$89,3,0)*0.475*44/12</f>
        <v>0.22460790239981446</v>
      </c>
      <c r="AB119" s="23">
        <f>EXP(-LN(2)/2)*AB118+(1-EXP(-LN(2)/2))/(LN(2)/2)*V119*Y119*VLOOKUP('Données projet'!$B$9,Paramètres!$A$1:$I$89,3,0)*0.475*44/12</f>
        <v>6.268808028133895E-13</v>
      </c>
      <c r="AC119" s="24">
        <f t="shared" si="57"/>
        <v>0.36505080607917578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293.33333333333439</v>
      </c>
      <c r="AN119" s="62">
        <f ca="1">AVERAGE(OFFSET($AM$3,0,0,'Données projet'!$E$10+1,1))-AVERAGE(OFFSET($H$3,0,0,'Données projet'!$E$10+1,1))</f>
        <v>206.5885410269899</v>
      </c>
      <c r="AO119" s="62">
        <f t="shared" si="90"/>
        <v>347.41156847586302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-1.4210854715202004E-13</v>
      </c>
      <c r="O120" s="14">
        <f>N120*VLOOKUP('Données projet'!$B$9,Paramètres!$A$1:$I$89,3,0)*VLOOKUP('Données projet'!$B$9,Paramètres!$A$1:$I$89,5,0)</f>
        <v>-1.1527845344971866E-13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214.30779675250909</v>
      </c>
      <c r="T120" s="62">
        <f t="shared" si="88"/>
        <v>172.9006610021255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0.13768890399930733</v>
      </c>
      <c r="AA120" s="23">
        <f>EXP(-LN(2)/25)*AA119+(1-EXP(-LN(2)/25))/(LN(2)/25)*Calculateur!V120*Calculateur!X120*VLOOKUP('Données projet'!$B$9,Paramètres!$A$1:$I$89,3,0)*0.475*44/12</f>
        <v>0.2184659874970753</v>
      </c>
      <c r="AB120" s="23">
        <f>EXP(-LN(2)/2)*AB119+(1-EXP(-LN(2)/2))/(LN(2)/2)*V120*Y120*VLOOKUP('Données projet'!$B$9,Paramètres!$A$1:$I$89,3,0)*0.475*44/12</f>
        <v>4.4327166666501467E-13</v>
      </c>
      <c r="AC120" s="24">
        <f t="shared" si="57"/>
        <v>0.35615489149682589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293.33333333333439</v>
      </c>
      <c r="AN120" s="62">
        <f ca="1">AVERAGE(OFFSET($AM$3,0,0,'Données projet'!$E$10+1,1))-AVERAGE(OFFSET($H$3,0,0,'Données projet'!$E$10+1,1))</f>
        <v>206.5885410269899</v>
      </c>
      <c r="AO120" s="62">
        <f t="shared" si="90"/>
        <v>347.41156847586302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-1.4210854715202004E-13</v>
      </c>
      <c r="O121" s="14">
        <f>N121*VLOOKUP('Données projet'!$B$9,Paramètres!$A$1:$I$89,3,0)*VLOOKUP('Données projet'!$B$9,Paramètres!$A$1:$I$89,5,0)</f>
        <v>-1.1527845344971866E-13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214.30779675250909</v>
      </c>
      <c r="T121" s="62">
        <f t="shared" si="88"/>
        <v>172.9006610021255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0.13498890857381982</v>
      </c>
      <c r="AA121" s="23">
        <f>EXP(-LN(2)/25)*AA120+(1-EXP(-LN(2)/25))/(LN(2)/25)*Calculateur!V121*Calculateur!X121*VLOOKUP('Données projet'!$B$9,Paramètres!$A$1:$I$89,3,0)*0.475*44/12</f>
        <v>0.21249202358034081</v>
      </c>
      <c r="AB121" s="23">
        <f>EXP(-LN(2)/2)*AB120+(1-EXP(-LN(2)/2))/(LN(2)/2)*V121*Y121*VLOOKUP('Données projet'!$B$9,Paramètres!$A$1:$I$89,3,0)*0.475*44/12</f>
        <v>3.134404014066948E-13</v>
      </c>
      <c r="AC121" s="24">
        <f t="shared" si="57"/>
        <v>0.34748093215447406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293.33333333333439</v>
      </c>
      <c r="AN121" s="62">
        <f ca="1">AVERAGE(OFFSET($AM$3,0,0,'Données projet'!$E$10+1,1))-AVERAGE(OFFSET($H$3,0,0,'Données projet'!$E$10+1,1))</f>
        <v>206.5885410269899</v>
      </c>
      <c r="AO121" s="62">
        <f t="shared" si="90"/>
        <v>347.41156847586302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-1.4210854715202004E-13</v>
      </c>
      <c r="O122" s="14">
        <f>N122*VLOOKUP('Données projet'!$B$9,Paramètres!$A$1:$I$89,3,0)*VLOOKUP('Données projet'!$B$9,Paramètres!$A$1:$I$89,5,0)</f>
        <v>-1.1527845344971866E-13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214.30779675250909</v>
      </c>
      <c r="T122" s="62">
        <f t="shared" si="88"/>
        <v>172.9006610021255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0.13234185841179152</v>
      </c>
      <c r="AA122" s="23">
        <f>EXP(-LN(2)/25)*AA121+(1-EXP(-LN(2)/25))/(LN(2)/25)*Calculateur!V122*Calculateur!X122*VLOOKUP('Données projet'!$B$9,Paramètres!$A$1:$I$89,3,0)*0.475*44/12</f>
        <v>0.20668141802106652</v>
      </c>
      <c r="AB122" s="23">
        <f>EXP(-LN(2)/2)*AB121+(1-EXP(-LN(2)/2))/(LN(2)/2)*V122*Y122*VLOOKUP('Données projet'!$B$9,Paramètres!$A$1:$I$89,3,0)*0.475*44/12</f>
        <v>2.2163583333250739E-13</v>
      </c>
      <c r="AC122" s="24">
        <f t="shared" si="57"/>
        <v>0.33902327643307967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293.33333333333439</v>
      </c>
      <c r="AN122" s="62">
        <f ca="1">AVERAGE(OFFSET($AM$3,0,0,'Données projet'!$E$10+1,1))-AVERAGE(OFFSET($H$3,0,0,'Données projet'!$E$10+1,1))</f>
        <v>206.5885410269899</v>
      </c>
      <c r="AO122" s="62">
        <f t="shared" si="90"/>
        <v>347.41156847586302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-1.4210854715202004E-13</v>
      </c>
      <c r="O123" s="14">
        <f>N123*VLOOKUP('Données projet'!$B$9,Paramètres!$A$1:$I$89,3,0)*VLOOKUP('Données projet'!$B$9,Paramètres!$A$1:$I$89,5,0)</f>
        <v>-1.1527845344971866E-13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214.30779675250909</v>
      </c>
      <c r="T123" s="62">
        <f t="shared" si="88"/>
        <v>172.9006610021255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0.12974671528889942</v>
      </c>
      <c r="AA123" s="23">
        <f>EXP(-LN(2)/25)*AA122+(1-EXP(-LN(2)/25))/(LN(2)/25)*Calculateur!V123*Calculateur!X123*VLOOKUP('Données projet'!$B$9,Paramètres!$A$1:$I$89,3,0)*0.475*44/12</f>
        <v>0.20102970377637705</v>
      </c>
      <c r="AB123" s="23">
        <f>EXP(-LN(2)/2)*AB122+(1-EXP(-LN(2)/2))/(LN(2)/2)*V123*Y123*VLOOKUP('Données projet'!$B$9,Paramètres!$A$1:$I$89,3,0)*0.475*44/12</f>
        <v>1.5672020070334743E-13</v>
      </c>
      <c r="AC123" s="24">
        <f t="shared" si="57"/>
        <v>0.33077641906543315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293.33333333333439</v>
      </c>
      <c r="AN123" s="62">
        <f ca="1">AVERAGE(OFFSET($AM$3,0,0,'Données projet'!$E$10+1,1))-AVERAGE(OFFSET($H$3,0,0,'Données projet'!$E$10+1,1))</f>
        <v>206.5885410269899</v>
      </c>
      <c r="AO123" s="62">
        <f t="shared" si="90"/>
        <v>347.41156847586302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-1.4210854715202004E-13</v>
      </c>
      <c r="O124" s="14">
        <f>N124*VLOOKUP('Données projet'!$B$9,Paramètres!$A$1:$I$89,3,0)*VLOOKUP('Données projet'!$B$9,Paramètres!$A$1:$I$89,5,0)</f>
        <v>-1.1527845344971866E-13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214.30779675250909</v>
      </c>
      <c r="T124" s="62">
        <f t="shared" si="88"/>
        <v>172.9006610021255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0.12720246133976623</v>
      </c>
      <c r="AA124" s="23">
        <f>EXP(-LN(2)/25)*AA123+(1-EXP(-LN(2)/25))/(LN(2)/25)*Calculateur!V124*Calculateur!X124*VLOOKUP('Données projet'!$B$9,Paramètres!$A$1:$I$89,3,0)*0.475*44/12</f>
        <v>0.19553253595491935</v>
      </c>
      <c r="AB124" s="23">
        <f>EXP(-LN(2)/2)*AB123+(1-EXP(-LN(2)/2))/(LN(2)/2)*V124*Y124*VLOOKUP('Données projet'!$B$9,Paramètres!$A$1:$I$89,3,0)*0.475*44/12</f>
        <v>1.1081791666625371E-13</v>
      </c>
      <c r="AC124" s="24">
        <f t="shared" si="57"/>
        <v>0.32273499729479638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293.33333333333439</v>
      </c>
      <c r="AN124" s="62">
        <f ca="1">AVERAGE(OFFSET($AM$3,0,0,'Données projet'!$E$10+1,1))-AVERAGE(OFFSET($H$3,0,0,'Données projet'!$E$10+1,1))</f>
        <v>206.5885410269899</v>
      </c>
      <c r="AO124" s="62">
        <f t="shared" si="90"/>
        <v>347.41156847586302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-1.4210854715202004E-13</v>
      </c>
      <c r="O125" s="14">
        <f>N125*VLOOKUP('Données projet'!$B$9,Paramètres!$A$1:$I$89,3,0)*VLOOKUP('Données projet'!$B$9,Paramètres!$A$1:$I$89,5,0)</f>
        <v>-1.1527845344971866E-13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214.30779675250909</v>
      </c>
      <c r="T125" s="62">
        <f t="shared" si="88"/>
        <v>172.9006610021255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0.12470809865873386</v>
      </c>
      <c r="AA125" s="23">
        <f>EXP(-LN(2)/25)*AA124+(1-EXP(-LN(2)/25))/(LN(2)/25)*Calculateur!V125*Calculateur!X125*VLOOKUP('Données projet'!$B$9,Paramètres!$A$1:$I$89,3,0)*0.475*44/12</f>
        <v>0.1901856884766229</v>
      </c>
      <c r="AB125" s="23">
        <f>EXP(-LN(2)/2)*AB124+(1-EXP(-LN(2)/2))/(LN(2)/2)*V125*Y125*VLOOKUP('Données projet'!$B$9,Paramètres!$A$1:$I$89,3,0)*0.475*44/12</f>
        <v>7.8360100351673726E-14</v>
      </c>
      <c r="AC125" s="24">
        <f t="shared" si="57"/>
        <v>0.31489378713543514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293.33333333333439</v>
      </c>
      <c r="AN125" s="62">
        <f ca="1">AVERAGE(OFFSET($AM$3,0,0,'Données projet'!$E$10+1,1))-AVERAGE(OFFSET($H$3,0,0,'Données projet'!$E$10+1,1))</f>
        <v>206.5885410269899</v>
      </c>
      <c r="AO125" s="62">
        <f t="shared" si="90"/>
        <v>347.41156847586302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-1.4210854715202004E-13</v>
      </c>
      <c r="O126" s="14">
        <f>N126*VLOOKUP('Données projet'!$B$9,Paramètres!$A$1:$I$89,3,0)*VLOOKUP('Données projet'!$B$9,Paramètres!$A$1:$I$89,5,0)</f>
        <v>-1.1527845344971866E-13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214.30779675250909</v>
      </c>
      <c r="T126" s="62">
        <f t="shared" si="88"/>
        <v>172.9006610021255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0.12226264890846554</v>
      </c>
      <c r="AA126" s="23">
        <f>EXP(-LN(2)/25)*AA125+(1-EXP(-LN(2)/25))/(LN(2)/25)*Calculateur!V126*Calculateur!X126*VLOOKUP('Données projet'!$B$9,Paramètres!$A$1:$I$89,3,0)*0.475*44/12</f>
        <v>0.18498505082379896</v>
      </c>
      <c r="AB126" s="23">
        <f>EXP(-LN(2)/2)*AB125+(1-EXP(-LN(2)/2))/(LN(2)/2)*V126*Y126*VLOOKUP('Données projet'!$B$9,Paramètres!$A$1:$I$89,3,0)*0.475*44/12</f>
        <v>5.5408958333126865E-14</v>
      </c>
      <c r="AC126" s="24">
        <f t="shared" si="57"/>
        <v>0.30724769973231991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293.33333333333439</v>
      </c>
      <c r="AN126" s="62">
        <f ca="1">AVERAGE(OFFSET($AM$3,0,0,'Données projet'!$E$10+1,1))-AVERAGE(OFFSET($H$3,0,0,'Données projet'!$E$10+1,1))</f>
        <v>206.5885410269899</v>
      </c>
      <c r="AO126" s="62">
        <f t="shared" si="90"/>
        <v>347.41156847586302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-1.4210854715202004E-13</v>
      </c>
      <c r="O127" s="14">
        <f>N127*VLOOKUP('Données projet'!$B$9,Paramètres!$A$1:$I$89,3,0)*VLOOKUP('Données projet'!$B$9,Paramètres!$A$1:$I$89,5,0)</f>
        <v>-1.1527845344971866E-13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214.30779675250909</v>
      </c>
      <c r="T127" s="62">
        <f t="shared" si="88"/>
        <v>172.9006610021255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0.11986515293622291</v>
      </c>
      <c r="AA127" s="23">
        <f>EXP(-LN(2)/25)*AA126+(1-EXP(-LN(2)/25))/(LN(2)/25)*Calculateur!V127*Calculateur!X127*VLOOKUP('Données projet'!$B$9,Paramètres!$A$1:$I$89,3,0)*0.475*44/12</f>
        <v>0.17992662488108113</v>
      </c>
      <c r="AB127" s="23">
        <f>EXP(-LN(2)/2)*AB126+(1-EXP(-LN(2)/2))/(LN(2)/2)*V127*Y127*VLOOKUP('Données projet'!$B$9,Paramètres!$A$1:$I$89,3,0)*0.475*44/12</f>
        <v>3.9180050175836869E-14</v>
      </c>
      <c r="AC127" s="24">
        <f t="shared" si="57"/>
        <v>0.29979177781734323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293.33333333333439</v>
      </c>
      <c r="AN127" s="62">
        <f ca="1">AVERAGE(OFFSET($AM$3,0,0,'Données projet'!$E$10+1,1))-AVERAGE(OFFSET($H$3,0,0,'Données projet'!$E$10+1,1))</f>
        <v>206.5885410269899</v>
      </c>
      <c r="AO127" s="62">
        <f t="shared" si="90"/>
        <v>347.41156847586302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-1.4210854715202004E-13</v>
      </c>
      <c r="O128" s="14">
        <f>N128*VLOOKUP('Données projet'!$B$9,Paramètres!$A$1:$I$89,3,0)*VLOOKUP('Données projet'!$B$9,Paramètres!$A$1:$I$89,5,0)</f>
        <v>-1.1527845344971866E-13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214.30779675250909</v>
      </c>
      <c r="T128" s="62">
        <f t="shared" si="88"/>
        <v>172.9006610021255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0.1175146703976678</v>
      </c>
      <c r="AA128" s="23">
        <f>EXP(-LN(2)/25)*AA127+(1-EXP(-LN(2)/25))/(LN(2)/25)*Calculateur!V128*Calculateur!X128*VLOOKUP('Données projet'!$B$9,Paramètres!$A$1:$I$89,3,0)*0.475*44/12</f>
        <v>0.17500652186177798</v>
      </c>
      <c r="AB128" s="23">
        <f>EXP(-LN(2)/2)*AB127+(1-EXP(-LN(2)/2))/(LN(2)/2)*V128*Y128*VLOOKUP('Données projet'!$B$9,Paramètres!$A$1:$I$89,3,0)*0.475*44/12</f>
        <v>2.7704479166563436E-14</v>
      </c>
      <c r="AC128" s="24">
        <f t="shared" si="57"/>
        <v>0.29252119225947348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293.33333333333439</v>
      </c>
      <c r="AN128" s="62">
        <f ca="1">AVERAGE(OFFSET($AM$3,0,0,'Données projet'!$E$10+1,1))-AVERAGE(OFFSET($H$3,0,0,'Données projet'!$E$10+1,1))</f>
        <v>206.5885410269899</v>
      </c>
      <c r="AO128" s="62">
        <f t="shared" si="90"/>
        <v>347.41156847586302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-1.4210854715202004E-13</v>
      </c>
      <c r="O129" s="14">
        <f>N129*VLOOKUP('Données projet'!$B$9,Paramètres!$A$1:$I$89,3,0)*VLOOKUP('Données projet'!$B$9,Paramètres!$A$1:$I$89,5,0)</f>
        <v>-1.1527845344971866E-13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214.30779675250909</v>
      </c>
      <c r="T129" s="62">
        <f t="shared" si="88"/>
        <v>172.9006610021255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0.11521027938804097</v>
      </c>
      <c r="AA129" s="23">
        <f>EXP(-LN(2)/25)*AA128+(1-EXP(-LN(2)/25))/(LN(2)/25)*Calculateur!V129*Calculateur!X129*VLOOKUP('Données projet'!$B$9,Paramètres!$A$1:$I$89,3,0)*0.475*44/12</f>
        <v>0.17022095931827466</v>
      </c>
      <c r="AB129" s="23">
        <f>EXP(-LN(2)/2)*AB128+(1-EXP(-LN(2)/2))/(LN(2)/2)*V129*Y129*VLOOKUP('Données projet'!$B$9,Paramètres!$A$1:$I$89,3,0)*0.475*44/12</f>
        <v>1.9590025087918438E-14</v>
      </c>
      <c r="AC129" s="24">
        <f t="shared" si="57"/>
        <v>0.28543123870633524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293.33333333333439</v>
      </c>
      <c r="AN129" s="62">
        <f ca="1">AVERAGE(OFFSET($AM$3,0,0,'Données projet'!$E$10+1,1))-AVERAGE(OFFSET($H$3,0,0,'Données projet'!$E$10+1,1))</f>
        <v>206.5885410269899</v>
      </c>
      <c r="AO129" s="62">
        <f t="shared" si="90"/>
        <v>347.41156847586302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-1.4210854715202004E-13</v>
      </c>
      <c r="O130" s="14">
        <f>N130*VLOOKUP('Données projet'!$B$9,Paramètres!$A$1:$I$89,3,0)*VLOOKUP('Données projet'!$B$9,Paramètres!$A$1:$I$89,5,0)</f>
        <v>-1.1527845344971866E-13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214.30779675250909</v>
      </c>
      <c r="T130" s="62">
        <f t="shared" si="88"/>
        <v>172.9006610021255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0.1129510760805732</v>
      </c>
      <c r="AA130" s="23">
        <f>EXP(-LN(2)/25)*AA129+(1-EXP(-LN(2)/25))/(LN(2)/25)*Calculateur!V130*Calculateur!X130*VLOOKUP('Données projet'!$B$9,Paramètres!$A$1:$I$89,3,0)*0.475*44/12</f>
        <v>0.16556625823418525</v>
      </c>
      <c r="AB130" s="23">
        <f>EXP(-LN(2)/2)*AB129+(1-EXP(-LN(2)/2))/(LN(2)/2)*V130*Y130*VLOOKUP('Données projet'!$B$9,Paramètres!$A$1:$I$89,3,0)*0.475*44/12</f>
        <v>1.3852239583281719E-14</v>
      </c>
      <c r="AC130" s="24">
        <f t="shared" si="57"/>
        <v>0.27851733431477232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293.33333333333439</v>
      </c>
      <c r="AN130" s="62">
        <f ca="1">AVERAGE(OFFSET($AM$3,0,0,'Données projet'!$E$10+1,1))-AVERAGE(OFFSET($H$3,0,0,'Données projet'!$E$10+1,1))</f>
        <v>206.5885410269899</v>
      </c>
      <c r="AO130" s="62">
        <f t="shared" si="90"/>
        <v>347.41156847586302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-1.4210854715202004E-13</v>
      </c>
      <c r="O131" s="14">
        <f>N131*VLOOKUP('Données projet'!$B$9,Paramètres!$A$1:$I$89,3,0)*VLOOKUP('Données projet'!$B$9,Paramètres!$A$1:$I$89,5,0)</f>
        <v>-1.1527845344971866E-13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214.30779675250909</v>
      </c>
      <c r="T131" s="62">
        <f t="shared" si="88"/>
        <v>172.9006610021255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0.11073617437198692</v>
      </c>
      <c r="AA131" s="23">
        <f>EXP(-LN(2)/25)*AA130+(1-EXP(-LN(2)/25))/(LN(2)/25)*Calculateur!V131*Calculateur!X131*VLOOKUP('Données projet'!$B$9,Paramètres!$A$1:$I$89,3,0)*0.475*44/12</f>
        <v>0.16103884019602033</v>
      </c>
      <c r="AB131" s="23">
        <f>EXP(-LN(2)/2)*AB130+(1-EXP(-LN(2)/2))/(LN(2)/2)*V131*Y131*VLOOKUP('Données projet'!$B$9,Paramètres!$A$1:$I$89,3,0)*0.475*44/12</f>
        <v>9.7950125439592204E-15</v>
      </c>
      <c r="AC131" s="24">
        <f t="shared" si="57"/>
        <v>0.271775014568017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293.33333333333439</v>
      </c>
      <c r="AN131" s="62">
        <f ca="1">AVERAGE(OFFSET($AM$3,0,0,'Données projet'!$E$10+1,1))-AVERAGE(OFFSET($H$3,0,0,'Données projet'!$E$10+1,1))</f>
        <v>206.5885410269899</v>
      </c>
      <c r="AO131" s="62">
        <f t="shared" si="90"/>
        <v>347.41156847586302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-1.4210854715202004E-13</v>
      </c>
      <c r="O132" s="14">
        <f>N132*VLOOKUP('Données projet'!$B$9,Paramètres!$A$1:$I$89,3,0)*VLOOKUP('Données projet'!$B$9,Paramètres!$A$1:$I$89,5,0)</f>
        <v>-1.1527845344971866E-13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214.30779675250909</v>
      </c>
      <c r="T132" s="62">
        <f t="shared" si="88"/>
        <v>172.9006610021255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0.10856470553494936</v>
      </c>
      <c r="AA132" s="23">
        <f>EXP(-LN(2)/25)*AA131+(1-EXP(-LN(2)/25))/(LN(2)/25)*Calculateur!V132*Calculateur!X132*VLOOKUP('Données projet'!$B$9,Paramètres!$A$1:$I$89,3,0)*0.475*44/12</f>
        <v>0.15663522464219559</v>
      </c>
      <c r="AB132" s="23">
        <f>EXP(-LN(2)/2)*AB131+(1-EXP(-LN(2)/2))/(LN(2)/2)*V132*Y132*VLOOKUP('Données projet'!$B$9,Paramètres!$A$1:$I$89,3,0)*0.475*44/12</f>
        <v>6.9261197916408613E-15</v>
      </c>
      <c r="AC132" s="24">
        <f t="shared" ref="AC132:AC153" si="111">SUM(Z132:AB132)</f>
        <v>0.26519993017715188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293.33333333333439</v>
      </c>
      <c r="AN132" s="62">
        <f ca="1">AVERAGE(OFFSET($AM$3,0,0,'Données projet'!$E$10+1,1))-AVERAGE(OFFSET($H$3,0,0,'Données projet'!$E$10+1,1))</f>
        <v>206.5885410269899</v>
      </c>
      <c r="AO132" s="62">
        <f t="shared" si="90"/>
        <v>347.41156847586302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-1.4210854715202004E-13</v>
      </c>
      <c r="O133" s="14">
        <f>N133*VLOOKUP('Données projet'!$B$9,Paramètres!$A$1:$I$89,3,0)*VLOOKUP('Données projet'!$B$9,Paramètres!$A$1:$I$89,5,0)</f>
        <v>-1.1527845344971866E-13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214.30779675250909</v>
      </c>
      <c r="T133" s="62">
        <f t="shared" ref="T133:T196" si="142">$T$3</f>
        <v>172.9006610021255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0.1064358178773409</v>
      </c>
      <c r="AA133" s="23">
        <f>EXP(-LN(2)/25)*AA132+(1-EXP(-LN(2)/25))/(LN(2)/25)*Calculateur!V133*Calculateur!X133*VLOOKUP('Données projet'!$B$9,Paramètres!$A$1:$I$89,3,0)*0.475*44/12</f>
        <v>0.15235202618726629</v>
      </c>
      <c r="AB133" s="23">
        <f>EXP(-LN(2)/2)*AB132+(1-EXP(-LN(2)/2))/(LN(2)/2)*V133*Y133*VLOOKUP('Données projet'!$B$9,Paramètres!$A$1:$I$89,3,0)*0.475*44/12</f>
        <v>4.897506271979611E-15</v>
      </c>
      <c r="AC133" s="24">
        <f t="shared" si="111"/>
        <v>0.25878784406461208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293.33333333333439</v>
      </c>
      <c r="AN133" s="62">
        <f ca="1">AVERAGE(OFFSET($AM$3,0,0,'Données projet'!$E$10+1,1))-AVERAGE(OFFSET($H$3,0,0,'Données projet'!$E$10+1,1))</f>
        <v>206.5885410269899</v>
      </c>
      <c r="AO133" s="62">
        <f t="shared" ref="AO133:AO196" si="144">$AO$3</f>
        <v>347.41156847586302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-1.4210854715202004E-13</v>
      </c>
      <c r="O134" s="14">
        <f>N134*VLOOKUP('Données projet'!$B$9,Paramètres!$A$1:$I$89,3,0)*VLOOKUP('Données projet'!$B$9,Paramètres!$A$1:$I$89,5,0)</f>
        <v>-1.1527845344971866E-13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214.30779675250909</v>
      </c>
      <c r="T134" s="62">
        <f t="shared" si="142"/>
        <v>172.9006610021255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0.10434867640820489</v>
      </c>
      <c r="AA134" s="23">
        <f>EXP(-LN(2)/25)*AA133+(1-EXP(-LN(2)/25))/(LN(2)/25)*Calculateur!V134*Calculateur!X134*VLOOKUP('Données projet'!$B$9,Paramètres!$A$1:$I$89,3,0)*0.475*44/12</f>
        <v>0.14818595201933063</v>
      </c>
      <c r="AB134" s="23">
        <f>EXP(-LN(2)/2)*AB133+(1-EXP(-LN(2)/2))/(LN(2)/2)*V134*Y134*VLOOKUP('Données projet'!$B$9,Paramètres!$A$1:$I$89,3,0)*0.475*44/12</f>
        <v>3.463059895820431E-15</v>
      </c>
      <c r="AC134" s="24">
        <f t="shared" si="111"/>
        <v>0.25253462842753893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293.33333333333439</v>
      </c>
      <c r="AN134" s="62">
        <f ca="1">AVERAGE(OFFSET($AM$3,0,0,'Données projet'!$E$10+1,1))-AVERAGE(OFFSET($H$3,0,0,'Données projet'!$E$10+1,1))</f>
        <v>206.5885410269899</v>
      </c>
      <c r="AO134" s="62">
        <f t="shared" si="144"/>
        <v>347.41156847586302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-1.4210854715202004E-13</v>
      </c>
      <c r="O135" s="14">
        <f>N135*VLOOKUP('Données projet'!$B$9,Paramètres!$A$1:$I$89,3,0)*VLOOKUP('Données projet'!$B$9,Paramètres!$A$1:$I$89,5,0)</f>
        <v>-1.1527845344971866E-13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214.30779675250909</v>
      </c>
      <c r="T135" s="62">
        <f t="shared" si="142"/>
        <v>172.9006610021255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0.10230246251024804</v>
      </c>
      <c r="AA135" s="23">
        <f>EXP(-LN(2)/25)*AA134+(1-EXP(-LN(2)/25))/(LN(2)/25)*Calculateur!V135*Calculateur!X135*VLOOKUP('Données projet'!$B$9,Paramètres!$A$1:$I$89,3,0)*0.475*44/12</f>
        <v>0.14413379936860149</v>
      </c>
      <c r="AB135" s="23">
        <f>EXP(-LN(2)/2)*AB134+(1-EXP(-LN(2)/2))/(LN(2)/2)*V135*Y135*VLOOKUP('Données projet'!$B$9,Paramètres!$A$1:$I$89,3,0)*0.475*44/12</f>
        <v>2.4487531359898059E-15</v>
      </c>
      <c r="AC135" s="24">
        <f t="shared" si="111"/>
        <v>0.24643626187885198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293.33333333333439</v>
      </c>
      <c r="AN135" s="62">
        <f ca="1">AVERAGE(OFFSET($AM$3,0,0,'Données projet'!$E$10+1,1))-AVERAGE(OFFSET($H$3,0,0,'Données projet'!$E$10+1,1))</f>
        <v>206.5885410269899</v>
      </c>
      <c r="AO135" s="62">
        <f t="shared" si="144"/>
        <v>347.41156847586302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-1.4210854715202004E-13</v>
      </c>
      <c r="O136" s="14">
        <f>N136*VLOOKUP('Données projet'!$B$9,Paramètres!$A$1:$I$89,3,0)*VLOOKUP('Données projet'!$B$9,Paramètres!$A$1:$I$89,5,0)</f>
        <v>-1.1527845344971866E-13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214.30779675250909</v>
      </c>
      <c r="T136" s="62">
        <f t="shared" si="142"/>
        <v>172.9006610021255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0.10029637361876288</v>
      </c>
      <c r="AA136" s="23">
        <f>EXP(-LN(2)/25)*AA135+(1-EXP(-LN(2)/25))/(LN(2)/25)*Calculateur!V136*Calculateur!X136*VLOOKUP('Données projet'!$B$9,Paramètres!$A$1:$I$89,3,0)*0.475*44/12</f>
        <v>0.14019245304520001</v>
      </c>
      <c r="AB136" s="23">
        <f>EXP(-LN(2)/2)*AB135+(1-EXP(-LN(2)/2))/(LN(2)/2)*V136*Y136*VLOOKUP('Données projet'!$B$9,Paramètres!$A$1:$I$89,3,0)*0.475*44/12</f>
        <v>1.7315299479102159E-15</v>
      </c>
      <c r="AC136" s="24">
        <f t="shared" si="111"/>
        <v>0.24048882666396459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293.33333333333439</v>
      </c>
      <c r="AN136" s="62">
        <f ca="1">AVERAGE(OFFSET($AM$3,0,0,'Données projet'!$E$10+1,1))-AVERAGE(OFFSET($H$3,0,0,'Données projet'!$E$10+1,1))</f>
        <v>206.5885410269899</v>
      </c>
      <c r="AO136" s="62">
        <f t="shared" si="144"/>
        <v>347.41156847586302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-1.4210854715202004E-13</v>
      </c>
      <c r="O137" s="14">
        <f>N137*VLOOKUP('Données projet'!$B$9,Paramètres!$A$1:$I$89,3,0)*VLOOKUP('Données projet'!$B$9,Paramètres!$A$1:$I$89,5,0)</f>
        <v>-1.1527845344971866E-13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214.30779675250909</v>
      </c>
      <c r="T137" s="62">
        <f t="shared" si="142"/>
        <v>172.9006610021255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9.832962290684634E-2</v>
      </c>
      <c r="AA137" s="23">
        <f>EXP(-LN(2)/25)*AA136+(1-EXP(-LN(2)/25))/(LN(2)/25)*Calculateur!V137*Calculateur!X137*VLOOKUP('Données projet'!$B$9,Paramètres!$A$1:$I$89,3,0)*0.475*44/12</f>
        <v>0.13635888304427832</v>
      </c>
      <c r="AB137" s="23">
        <f>EXP(-LN(2)/2)*AB136+(1-EXP(-LN(2)/2))/(LN(2)/2)*V137*Y137*VLOOKUP('Données projet'!$B$9,Paramètres!$A$1:$I$89,3,0)*0.475*44/12</f>
        <v>1.2243765679949031E-15</v>
      </c>
      <c r="AC137" s="24">
        <f t="shared" si="111"/>
        <v>0.23468850595112589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293.33333333333439</v>
      </c>
      <c r="AN137" s="62">
        <f ca="1">AVERAGE(OFFSET($AM$3,0,0,'Données projet'!$E$10+1,1))-AVERAGE(OFFSET($H$3,0,0,'Données projet'!$E$10+1,1))</f>
        <v>206.5885410269899</v>
      </c>
      <c r="AO137" s="62">
        <f t="shared" si="144"/>
        <v>347.41156847586302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-1.4210854715202004E-13</v>
      </c>
      <c r="O138" s="14">
        <f>N138*VLOOKUP('Données projet'!$B$9,Paramètres!$A$1:$I$89,3,0)*VLOOKUP('Données projet'!$B$9,Paramètres!$A$1:$I$89,5,0)</f>
        <v>-1.1527845344971866E-13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214.30779675250909</v>
      </c>
      <c r="T138" s="62">
        <f t="shared" si="142"/>
        <v>172.9006610021255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9.6401438976791001E-2</v>
      </c>
      <c r="AA138" s="23">
        <f>EXP(-LN(2)/25)*AA137+(1-EXP(-LN(2)/25))/(LN(2)/25)*Calculateur!V138*Calculateur!X138*VLOOKUP('Données projet'!$B$9,Paramètres!$A$1:$I$89,3,0)*0.475*44/12</f>
        <v>0.13263014221663053</v>
      </c>
      <c r="AB138" s="23">
        <f>EXP(-LN(2)/2)*AB137+(1-EXP(-LN(2)/2))/(LN(2)/2)*V138*Y138*VLOOKUP('Données projet'!$B$9,Paramètres!$A$1:$I$89,3,0)*0.475*44/12</f>
        <v>8.6576497395510806E-16</v>
      </c>
      <c r="AC138" s="24">
        <f t="shared" si="111"/>
        <v>0.2290315811934224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293.33333333333439</v>
      </c>
      <c r="AN138" s="62">
        <f ca="1">AVERAGE(OFFSET($AM$3,0,0,'Données projet'!$E$10+1,1))-AVERAGE(OFFSET($H$3,0,0,'Données projet'!$E$10+1,1))</f>
        <v>206.5885410269899</v>
      </c>
      <c r="AO138" s="62">
        <f t="shared" si="144"/>
        <v>347.41156847586302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-1.4210854715202004E-13</v>
      </c>
      <c r="O139" s="14">
        <f>N139*VLOOKUP('Données projet'!$B$9,Paramètres!$A$1:$I$89,3,0)*VLOOKUP('Données projet'!$B$9,Paramètres!$A$1:$I$89,5,0)</f>
        <v>-1.1527845344971866E-13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214.30779675250909</v>
      </c>
      <c r="T139" s="62">
        <f t="shared" si="142"/>
        <v>172.9006610021255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9.4511065557527973E-2</v>
      </c>
      <c r="AA139" s="23">
        <f>EXP(-LN(2)/25)*AA138+(1-EXP(-LN(2)/25))/(LN(2)/25)*Calculateur!V139*Calculateur!X139*VLOOKUP('Données projet'!$B$9,Paramètres!$A$1:$I$89,3,0)*0.475*44/12</f>
        <v>0.12900336400300072</v>
      </c>
      <c r="AB139" s="23">
        <f>EXP(-LN(2)/2)*AB138+(1-EXP(-LN(2)/2))/(LN(2)/2)*V139*Y139*VLOOKUP('Données projet'!$B$9,Paramètres!$A$1:$I$89,3,0)*0.475*44/12</f>
        <v>6.1218828399745167E-16</v>
      </c>
      <c r="AC139" s="24">
        <f t="shared" si="111"/>
        <v>0.2235144295605293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293.33333333333439</v>
      </c>
      <c r="AN139" s="62">
        <f ca="1">AVERAGE(OFFSET($AM$3,0,0,'Données projet'!$E$10+1,1))-AVERAGE(OFFSET($H$3,0,0,'Données projet'!$E$10+1,1))</f>
        <v>206.5885410269899</v>
      </c>
      <c r="AO139" s="62">
        <f t="shared" si="144"/>
        <v>347.41156847586302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-1.4210854715202004E-13</v>
      </c>
      <c r="O140" s="14">
        <f>N140*VLOOKUP('Données projet'!$B$9,Paramètres!$A$1:$I$89,3,0)*VLOOKUP('Données projet'!$B$9,Paramètres!$A$1:$I$89,5,0)</f>
        <v>-1.1527845344971866E-13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214.30779675250909</v>
      </c>
      <c r="T140" s="62">
        <f t="shared" si="142"/>
        <v>172.9006610021255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9.2657761208002759E-2</v>
      </c>
      <c r="AA140" s="23">
        <f>EXP(-LN(2)/25)*AA139+(1-EXP(-LN(2)/25))/(LN(2)/25)*Calculateur!V140*Calculateur!X140*VLOOKUP('Données projet'!$B$9,Paramètres!$A$1:$I$89,3,0)*0.475*44/12</f>
        <v>0.12547576023034659</v>
      </c>
      <c r="AB140" s="23">
        <f>EXP(-LN(2)/2)*AB139+(1-EXP(-LN(2)/2))/(LN(2)/2)*V140*Y140*VLOOKUP('Données projet'!$B$9,Paramètres!$A$1:$I$89,3,0)*0.475*44/12</f>
        <v>4.3288248697755408E-16</v>
      </c>
      <c r="AC140" s="24">
        <f t="shared" si="111"/>
        <v>0.2181335214383498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293.33333333333439</v>
      </c>
      <c r="AN140" s="62">
        <f ca="1">AVERAGE(OFFSET($AM$3,0,0,'Données projet'!$E$10+1,1))-AVERAGE(OFFSET($H$3,0,0,'Données projet'!$E$10+1,1))</f>
        <v>206.5885410269899</v>
      </c>
      <c r="AO140" s="62">
        <f t="shared" si="144"/>
        <v>347.41156847586302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-1.4210854715202004E-13</v>
      </c>
      <c r="O141" s="14">
        <f>N141*VLOOKUP('Données projet'!$B$9,Paramètres!$A$1:$I$89,3,0)*VLOOKUP('Données projet'!$B$9,Paramètres!$A$1:$I$89,5,0)</f>
        <v>-1.1527845344971866E-13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214.30779675250909</v>
      </c>
      <c r="T141" s="62">
        <f t="shared" si="142"/>
        <v>172.9006610021255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9.08407990263677E-2</v>
      </c>
      <c r="AA141" s="23">
        <f>EXP(-LN(2)/25)*AA140+(1-EXP(-LN(2)/25))/(LN(2)/25)*Calculateur!V141*Calculateur!X141*VLOOKUP('Données projet'!$B$9,Paramètres!$A$1:$I$89,3,0)*0.475*44/12</f>
        <v>0.12204461896836431</v>
      </c>
      <c r="AB141" s="23">
        <f>EXP(-LN(2)/2)*AB140+(1-EXP(-LN(2)/2))/(LN(2)/2)*V141*Y141*VLOOKUP('Données projet'!$B$9,Paramètres!$A$1:$I$89,3,0)*0.475*44/12</f>
        <v>3.0609414199872588E-16</v>
      </c>
      <c r="AC141" s="24">
        <f t="shared" si="111"/>
        <v>0.21288541799473232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293.33333333333439</v>
      </c>
      <c r="AN141" s="62">
        <f ca="1">AVERAGE(OFFSET($AM$3,0,0,'Données projet'!$E$10+1,1))-AVERAGE(OFFSET($H$3,0,0,'Données projet'!$E$10+1,1))</f>
        <v>206.5885410269899</v>
      </c>
      <c r="AO141" s="62">
        <f t="shared" si="144"/>
        <v>347.41156847586302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-1.4210854715202004E-13</v>
      </c>
      <c r="O142" s="14">
        <f>N142*VLOOKUP('Données projet'!$B$9,Paramètres!$A$1:$I$89,3,0)*VLOOKUP('Données projet'!$B$9,Paramètres!$A$1:$I$89,5,0)</f>
        <v>-1.1527845344971866E-13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214.30779675250909</v>
      </c>
      <c r="T142" s="62">
        <f t="shared" si="142"/>
        <v>172.9006610021255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8.9059466364877007E-2</v>
      </c>
      <c r="AA142" s="23">
        <f>EXP(-LN(2)/25)*AA141+(1-EXP(-LN(2)/25))/(LN(2)/25)*Calculateur!V142*Calculateur!X142*VLOOKUP('Données projet'!$B$9,Paramètres!$A$1:$I$89,3,0)*0.475*44/12</f>
        <v>0.11870730244462682</v>
      </c>
      <c r="AB142" s="23">
        <f>EXP(-LN(2)/2)*AB141+(1-EXP(-LN(2)/2))/(LN(2)/2)*V142*Y142*VLOOKUP('Données projet'!$B$9,Paramètres!$A$1:$I$89,3,0)*0.475*44/12</f>
        <v>2.1644124348877709E-16</v>
      </c>
      <c r="AC142" s="24">
        <f t="shared" si="111"/>
        <v>0.20776676880950407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293.33333333333439</v>
      </c>
      <c r="AN142" s="62">
        <f ca="1">AVERAGE(OFFSET($AM$3,0,0,'Données projet'!$E$10+1,1))-AVERAGE(OFFSET($H$3,0,0,'Données projet'!$E$10+1,1))</f>
        <v>206.5885410269899</v>
      </c>
      <c r="AO142" s="62">
        <f t="shared" si="144"/>
        <v>347.41156847586302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-1.4210854715202004E-13</v>
      </c>
      <c r="O143" s="14">
        <f>N143*VLOOKUP('Données projet'!$B$9,Paramètres!$A$1:$I$89,3,0)*VLOOKUP('Données projet'!$B$9,Paramètres!$A$1:$I$89,5,0)</f>
        <v>-1.1527845344971866E-13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214.30779675250909</v>
      </c>
      <c r="T143" s="62">
        <f t="shared" si="142"/>
        <v>172.9006610021255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8.7313064550372507E-2</v>
      </c>
      <c r="AA143" s="23">
        <f>EXP(-LN(2)/25)*AA142+(1-EXP(-LN(2)/25))/(LN(2)/25)*Calculateur!V143*Calculateur!X143*VLOOKUP('Données projet'!$B$9,Paramètres!$A$1:$I$89,3,0)*0.475*44/12</f>
        <v>0.11546124501673277</v>
      </c>
      <c r="AB143" s="23">
        <f>EXP(-LN(2)/2)*AB142+(1-EXP(-LN(2)/2))/(LN(2)/2)*V143*Y143*VLOOKUP('Données projet'!$B$9,Paramètres!$A$1:$I$89,3,0)*0.475*44/12</f>
        <v>1.5304707099936297E-16</v>
      </c>
      <c r="AC143" s="24">
        <f t="shared" si="111"/>
        <v>0.20277430956710546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293.33333333333439</v>
      </c>
      <c r="AN143" s="62">
        <f ca="1">AVERAGE(OFFSET($AM$3,0,0,'Données projet'!$E$10+1,1))-AVERAGE(OFFSET($H$3,0,0,'Données projet'!$E$10+1,1))</f>
        <v>206.5885410269899</v>
      </c>
      <c r="AO143" s="62">
        <f t="shared" si="144"/>
        <v>347.41156847586302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-1.4210854715202004E-13</v>
      </c>
      <c r="O144" s="14">
        <f>N144*VLOOKUP('Données projet'!$B$9,Paramètres!$A$1:$I$89,3,0)*VLOOKUP('Données projet'!$B$9,Paramètres!$A$1:$I$89,5,0)</f>
        <v>-1.1527845344971866E-13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214.30779675250909</v>
      </c>
      <c r="T144" s="62">
        <f t="shared" si="142"/>
        <v>172.9006610021255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8.560090861025052E-2</v>
      </c>
      <c r="AA144" s="23">
        <f>EXP(-LN(2)/25)*AA143+(1-EXP(-LN(2)/25))/(LN(2)/25)*Calculateur!V144*Calculateur!X144*VLOOKUP('Données projet'!$B$9,Paramètres!$A$1:$I$89,3,0)*0.475*44/12</f>
        <v>0.11230395119990723</v>
      </c>
      <c r="AB144" s="23">
        <f>EXP(-LN(2)/2)*AB143+(1-EXP(-LN(2)/2))/(LN(2)/2)*V144*Y144*VLOOKUP('Données projet'!$B$9,Paramètres!$A$1:$I$89,3,0)*0.475*44/12</f>
        <v>1.0822062174438856E-16</v>
      </c>
      <c r="AC144" s="24">
        <f t="shared" si="111"/>
        <v>0.19790485981015787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293.33333333333439</v>
      </c>
      <c r="AN144" s="62">
        <f ca="1">AVERAGE(OFFSET($AM$3,0,0,'Données projet'!$E$10+1,1))-AVERAGE(OFFSET($H$3,0,0,'Données projet'!$E$10+1,1))</f>
        <v>206.5885410269899</v>
      </c>
      <c r="AO144" s="62">
        <f t="shared" si="144"/>
        <v>347.41156847586302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-1.4210854715202004E-13</v>
      </c>
      <c r="O145" s="14">
        <f>N145*VLOOKUP('Données projet'!$B$9,Paramètres!$A$1:$I$89,3,0)*VLOOKUP('Données projet'!$B$9,Paramètres!$A$1:$I$89,5,0)</f>
        <v>-1.1527845344971866E-13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214.30779675250909</v>
      </c>
      <c r="T145" s="62">
        <f t="shared" si="142"/>
        <v>172.9006610021255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8.3922327003802311E-2</v>
      </c>
      <c r="AA145" s="23">
        <f>EXP(-LN(2)/25)*AA144+(1-EXP(-LN(2)/25))/(LN(2)/25)*Calculateur!V145*Calculateur!X145*VLOOKUP('Données projet'!$B$9,Paramètres!$A$1:$I$89,3,0)*0.475*44/12</f>
        <v>0.10923299374853765</v>
      </c>
      <c r="AB145" s="23">
        <f>EXP(-LN(2)/2)*AB144+(1-EXP(-LN(2)/2))/(LN(2)/2)*V145*Y145*VLOOKUP('Données projet'!$B$9,Paramètres!$A$1:$I$89,3,0)*0.475*44/12</f>
        <v>7.6523535499681496E-17</v>
      </c>
      <c r="AC145" s="24">
        <f t="shared" si="111"/>
        <v>0.19315532075234004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293.33333333333439</v>
      </c>
      <c r="AN145" s="62">
        <f ca="1">AVERAGE(OFFSET($AM$3,0,0,'Données projet'!$E$10+1,1))-AVERAGE(OFFSET($H$3,0,0,'Données projet'!$E$10+1,1))</f>
        <v>206.5885410269899</v>
      </c>
      <c r="AO145" s="62">
        <f t="shared" si="144"/>
        <v>347.41156847586302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-1.4210854715202004E-13</v>
      </c>
      <c r="O146" s="14">
        <f>N146*VLOOKUP('Données projet'!$B$9,Paramètres!$A$1:$I$89,3,0)*VLOOKUP('Données projet'!$B$9,Paramètres!$A$1:$I$89,5,0)</f>
        <v>-1.1527845344971866E-13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214.30779675250909</v>
      </c>
      <c r="T146" s="62">
        <f t="shared" si="142"/>
        <v>172.9006610021255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8.2276661358822861E-2</v>
      </c>
      <c r="AA146" s="23">
        <f>EXP(-LN(2)/25)*AA145+(1-EXP(-LN(2)/25))/(LN(2)/25)*Calculateur!V146*Calculateur!X146*VLOOKUP('Données projet'!$B$9,Paramètres!$A$1:$I$89,3,0)*0.475*44/12</f>
        <v>0.1062460117901704</v>
      </c>
      <c r="AB146" s="23">
        <f>EXP(-LN(2)/2)*AB145+(1-EXP(-LN(2)/2))/(LN(2)/2)*V146*Y146*VLOOKUP('Données projet'!$B$9,Paramètres!$A$1:$I$89,3,0)*0.475*44/12</f>
        <v>5.4110310872194291E-17</v>
      </c>
      <c r="AC146" s="24">
        <f t="shared" si="111"/>
        <v>0.18852267314899332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293.33333333333439</v>
      </c>
      <c r="AN146" s="62">
        <f ca="1">AVERAGE(OFFSET($AM$3,0,0,'Données projet'!$E$10+1,1))-AVERAGE(OFFSET($H$3,0,0,'Données projet'!$E$10+1,1))</f>
        <v>206.5885410269899</v>
      </c>
      <c r="AO146" s="62">
        <f t="shared" si="144"/>
        <v>347.41156847586302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-1.4210854715202004E-13</v>
      </c>
      <c r="O147" s="14">
        <f>N147*VLOOKUP('Données projet'!$B$9,Paramètres!$A$1:$I$89,3,0)*VLOOKUP('Données projet'!$B$9,Paramètres!$A$1:$I$89,5,0)</f>
        <v>-1.1527845344971866E-13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214.30779675250909</v>
      </c>
      <c r="T147" s="62">
        <f t="shared" si="142"/>
        <v>172.9006610021255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8.066326621338453E-2</v>
      </c>
      <c r="AA147" s="23">
        <f>EXP(-LN(2)/25)*AA146+(1-EXP(-LN(2)/25))/(LN(2)/25)*Calculateur!V147*Calculateur!X147*VLOOKUP('Données projet'!$B$9,Paramètres!$A$1:$I$89,3,0)*0.475*44/12</f>
        <v>0.10334070901053326</v>
      </c>
      <c r="AB147" s="23">
        <f>EXP(-LN(2)/2)*AB146+(1-EXP(-LN(2)/2))/(LN(2)/2)*V147*Y147*VLOOKUP('Données projet'!$B$9,Paramètres!$A$1:$I$89,3,0)*0.475*44/12</f>
        <v>3.8261767749840754E-17</v>
      </c>
      <c r="AC147" s="24">
        <f t="shared" si="111"/>
        <v>0.18400397522391782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293.33333333333439</v>
      </c>
      <c r="AN147" s="62">
        <f ca="1">AVERAGE(OFFSET($AM$3,0,0,'Données projet'!$E$10+1,1))-AVERAGE(OFFSET($H$3,0,0,'Données projet'!$E$10+1,1))</f>
        <v>206.5885410269899</v>
      </c>
      <c r="AO147" s="62">
        <f t="shared" si="144"/>
        <v>347.41156847586302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-1.4210854715202004E-13</v>
      </c>
      <c r="O148" s="14">
        <f>N148*VLOOKUP('Données projet'!$B$9,Paramètres!$A$1:$I$89,3,0)*VLOOKUP('Données projet'!$B$9,Paramètres!$A$1:$I$89,5,0)</f>
        <v>-1.1527845344971866E-13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214.30779675250909</v>
      </c>
      <c r="T148" s="62">
        <f t="shared" si="142"/>
        <v>172.9006610021255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7.9081508762674377E-2</v>
      </c>
      <c r="AA148" s="23">
        <f>EXP(-LN(2)/25)*AA147+(1-EXP(-LN(2)/25))/(LN(2)/25)*Calculateur!V148*Calculateur!X148*VLOOKUP('Données projet'!$B$9,Paramètres!$A$1:$I$89,3,0)*0.475*44/12</f>
        <v>0.10051485188818853</v>
      </c>
      <c r="AB148" s="23">
        <f>EXP(-LN(2)/2)*AB147+(1-EXP(-LN(2)/2))/(LN(2)/2)*V148*Y148*VLOOKUP('Données projet'!$B$9,Paramètres!$A$1:$I$89,3,0)*0.475*44/12</f>
        <v>2.7055155436097148E-17</v>
      </c>
      <c r="AC148" s="24">
        <f t="shared" si="111"/>
        <v>0.17959636065086293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293.33333333333439</v>
      </c>
      <c r="AN148" s="62">
        <f ca="1">AVERAGE(OFFSET($AM$3,0,0,'Données projet'!$E$10+1,1))-AVERAGE(OFFSET($H$3,0,0,'Données projet'!$E$10+1,1))</f>
        <v>206.5885410269899</v>
      </c>
      <c r="AO148" s="62">
        <f t="shared" si="144"/>
        <v>347.41156847586302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-1.4210854715202004E-13</v>
      </c>
      <c r="O149" s="14">
        <f>N149*VLOOKUP('Données projet'!$B$9,Paramètres!$A$1:$I$89,3,0)*VLOOKUP('Données projet'!$B$9,Paramètres!$A$1:$I$89,5,0)</f>
        <v>-1.1527845344971866E-13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214.30779675250909</v>
      </c>
      <c r="T149" s="62">
        <f t="shared" si="142"/>
        <v>172.9006610021255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7.7530768610795872E-2</v>
      </c>
      <c r="AA149" s="23">
        <f>EXP(-LN(2)/25)*AA148+(1-EXP(-LN(2)/25))/(LN(2)/25)*Calculateur!V149*Calculateur!X149*VLOOKUP('Données projet'!$B$9,Paramètres!$A$1:$I$89,3,0)*0.475*44/12</f>
        <v>9.7766267977459673E-2</v>
      </c>
      <c r="AB149" s="23">
        <f>EXP(-LN(2)/2)*AB148+(1-EXP(-LN(2)/2))/(LN(2)/2)*V149*Y149*VLOOKUP('Données projet'!$B$9,Paramètres!$A$1:$I$89,3,0)*0.475*44/12</f>
        <v>1.913088387492038E-17</v>
      </c>
      <c r="AC149" s="24">
        <f t="shared" si="111"/>
        <v>0.17529703658825557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293.33333333333439</v>
      </c>
      <c r="AN149" s="62">
        <f ca="1">AVERAGE(OFFSET($AM$3,0,0,'Données projet'!$E$10+1,1))-AVERAGE(OFFSET($H$3,0,0,'Données projet'!$E$10+1,1))</f>
        <v>206.5885410269899</v>
      </c>
      <c r="AO149" s="62">
        <f t="shared" si="144"/>
        <v>347.41156847586302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-1.4210854715202004E-13</v>
      </c>
      <c r="O150" s="14">
        <f>N150*VLOOKUP('Données projet'!$B$9,Paramètres!$A$1:$I$89,3,0)*VLOOKUP('Données projet'!$B$9,Paramètres!$A$1:$I$89,5,0)</f>
        <v>-1.1527845344971866E-13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214.30779675250909</v>
      </c>
      <c r="T150" s="62">
        <f t="shared" si="142"/>
        <v>172.9006610021255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7.6010437527437608E-2</v>
      </c>
      <c r="AA150" s="23">
        <f>EXP(-LN(2)/25)*AA149+(1-EXP(-LN(2)/25))/(LN(2)/25)*Calculateur!V150*Calculateur!X150*VLOOKUP('Données projet'!$B$9,Paramètres!$A$1:$I$89,3,0)*0.475*44/12</f>
        <v>9.509284423831145E-2</v>
      </c>
      <c r="AB150" s="23">
        <f>EXP(-LN(2)/2)*AB149+(1-EXP(-LN(2)/2))/(LN(2)/2)*V150*Y150*VLOOKUP('Données projet'!$B$9,Paramètres!$A$1:$I$89,3,0)*0.475*44/12</f>
        <v>1.3527577718048577E-17</v>
      </c>
      <c r="AC150" s="24">
        <f t="shared" si="111"/>
        <v>0.17110328176574907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293.33333333333439</v>
      </c>
      <c r="AN150" s="62">
        <f ca="1">AVERAGE(OFFSET($AM$3,0,0,'Données projet'!$E$10+1,1))-AVERAGE(OFFSET($H$3,0,0,'Données projet'!$E$10+1,1))</f>
        <v>206.5885410269899</v>
      </c>
      <c r="AO150" s="62">
        <f t="shared" si="144"/>
        <v>347.41156847586302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-1.4210854715202004E-13</v>
      </c>
      <c r="O151" s="14">
        <f>N151*VLOOKUP('Données projet'!$B$9,Paramètres!$A$1:$I$89,3,0)*VLOOKUP('Données projet'!$B$9,Paramètres!$A$1:$I$89,5,0)</f>
        <v>-1.1527845344971866E-13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214.30779675250909</v>
      </c>
      <c r="T151" s="62">
        <f t="shared" si="142"/>
        <v>172.9006610021255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7.4519919209313598E-2</v>
      </c>
      <c r="AA151" s="23">
        <f>EXP(-LN(2)/25)*AA150+(1-EXP(-LN(2)/25))/(LN(2)/25)*Calculateur!V151*Calculateur!X151*VLOOKUP('Données projet'!$B$9,Paramètres!$A$1:$I$89,3,0)*0.475*44/12</f>
        <v>9.2492525411899479E-2</v>
      </c>
      <c r="AB151" s="23">
        <f>EXP(-LN(2)/2)*AB150+(1-EXP(-LN(2)/2))/(LN(2)/2)*V151*Y151*VLOOKUP('Données projet'!$B$9,Paramètres!$A$1:$I$89,3,0)*0.475*44/12</f>
        <v>9.5654419374601916E-18</v>
      </c>
      <c r="AC151" s="24">
        <f t="shared" si="111"/>
        <v>0.16701244462121306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293.33333333333439</v>
      </c>
      <c r="AN151" s="62">
        <f ca="1">AVERAGE(OFFSET($AM$3,0,0,'Données projet'!$E$10+1,1))-AVERAGE(OFFSET($H$3,0,0,'Données projet'!$E$10+1,1))</f>
        <v>206.5885410269899</v>
      </c>
      <c r="AO151" s="62">
        <f t="shared" si="144"/>
        <v>347.41156847586302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-1.4210854715202004E-13</v>
      </c>
      <c r="O152" s="14">
        <f>N152*VLOOKUP('Données projet'!$B$9,Paramètres!$A$1:$I$89,3,0)*VLOOKUP('Données projet'!$B$9,Paramètres!$A$1:$I$89,5,0)</f>
        <v>-1.1527845344971866E-13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214.30779675250909</v>
      </c>
      <c r="T152" s="62">
        <f t="shared" si="142"/>
        <v>172.9006610021255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7.3058629046281603E-2</v>
      </c>
      <c r="AA152" s="23">
        <f>EXP(-LN(2)/25)*AA151+(1-EXP(-LN(2)/25))/(LN(2)/25)*Calculateur!V152*Calculateur!X152*VLOOKUP('Données projet'!$B$9,Paramètres!$A$1:$I$89,3,0)*0.475*44/12</f>
        <v>8.9963312440540566E-2</v>
      </c>
      <c r="AB152" s="23">
        <f>EXP(-LN(2)/2)*AB151+(1-EXP(-LN(2)/2))/(LN(2)/2)*V152*Y152*VLOOKUP('Données projet'!$B$9,Paramètres!$A$1:$I$89,3,0)*0.475*44/12</f>
        <v>6.7637888590242894E-18</v>
      </c>
      <c r="AC152" s="24">
        <f t="shared" si="111"/>
        <v>0.16302194148682217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293.33333333333439</v>
      </c>
      <c r="AN152" s="62">
        <f ca="1">AVERAGE(OFFSET($AM$3,0,0,'Données projet'!$E$10+1,1))-AVERAGE(OFFSET($H$3,0,0,'Données projet'!$E$10+1,1))</f>
        <v>206.5885410269899</v>
      </c>
      <c r="AO152" s="62">
        <f t="shared" si="144"/>
        <v>347.41156847586302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-1.4210854715202004E-13</v>
      </c>
      <c r="O153" s="14">
        <f>N153*VLOOKUP('Données projet'!$B$9,Paramètres!$A$1:$I$89,3,0)*VLOOKUP('Données projet'!$B$9,Paramètres!$A$1:$I$89,5,0)</f>
        <v>-1.1527845344971866E-13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214.30779675250909</v>
      </c>
      <c r="T153" s="62">
        <f t="shared" si="142"/>
        <v>172.9006610021255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7.1625993892047671E-2</v>
      </c>
      <c r="AA153" s="23">
        <f>EXP(-LN(2)/25)*AA152+(1-EXP(-LN(2)/25))/(LN(2)/25)*Calculateur!V153*Calculateur!X153*VLOOKUP('Données projet'!$B$9,Paramètres!$A$1:$I$89,3,0)*0.475*44/12</f>
        <v>8.750326093088899E-2</v>
      </c>
      <c r="AB153" s="23">
        <f>EXP(-LN(2)/2)*AB152+(1-EXP(-LN(2)/2))/(LN(2)/2)*V153*Y153*VLOOKUP('Données projet'!$B$9,Paramètres!$A$1:$I$89,3,0)*0.475*44/12</f>
        <v>4.7827209687300966E-18</v>
      </c>
      <c r="AC153" s="24">
        <f t="shared" si="111"/>
        <v>0.15912925482293666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293.33333333333439</v>
      </c>
      <c r="AN153" s="62">
        <f ca="1">AVERAGE(OFFSET($AM$3,0,0,'Données projet'!$E$10+1,1))-AVERAGE(OFFSET($H$3,0,0,'Données projet'!$E$10+1,1))</f>
        <v>206.5885410269899</v>
      </c>
      <c r="AO153" s="62">
        <f t="shared" si="144"/>
        <v>347.41156847586302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-1.4210854715202004E-13</v>
      </c>
      <c r="O154" s="14">
        <f>N154*VLOOKUP('Données projet'!$B$9,Paramètres!$A$1:$I$89,3,0)*VLOOKUP('Données projet'!$B$9,Paramètres!$A$1:$I$89,5,0)</f>
        <v>-1.1527845344971866E-13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214.30779675250909</v>
      </c>
      <c r="T154" s="62">
        <f t="shared" si="142"/>
        <v>172.9006610021255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7.0221451839367108E-2</v>
      </c>
      <c r="AA154" s="23">
        <f>EXP(-LN(2)/25)*AA153+(1-EXP(-LN(2)/25))/(LN(2)/25)*Calculateur!V154*Calculateur!X154*VLOOKUP('Données projet'!$B$9,Paramètres!$A$1:$I$89,3,0)*0.475*44/12</f>
        <v>8.5110479659137331E-2</v>
      </c>
      <c r="AB154" s="23">
        <f>EXP(-LN(2)/2)*AB153+(1-EXP(-LN(2)/2))/(LN(2)/2)*V154*Y154*VLOOKUP('Données projet'!$B$9,Paramètres!$A$1:$I$89,3,0)*0.475*44/12</f>
        <v>3.3818944295121451E-18</v>
      </c>
      <c r="AC154" s="24">
        <f t="shared" ref="AC154:AC203" si="163">SUM(Z154:AB154)</f>
        <v>0.15533193149850444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293.33333333333439</v>
      </c>
      <c r="AN154" s="62">
        <f ca="1">AVERAGE(OFFSET($AM$3,0,0,'Données projet'!$E$10+1,1))-AVERAGE(OFFSET($H$3,0,0,'Données projet'!$E$10+1,1))</f>
        <v>206.5885410269899</v>
      </c>
      <c r="AO154" s="62">
        <f t="shared" si="144"/>
        <v>347.41156847586302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-1.4210854715202004E-13</v>
      </c>
      <c r="O155" s="14">
        <f>N155*VLOOKUP('Données projet'!$B$9,Paramètres!$A$1:$I$89,3,0)*VLOOKUP('Données projet'!$B$9,Paramètres!$A$1:$I$89,5,0)</f>
        <v>-1.1527845344971866E-13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214.30779675250909</v>
      </c>
      <c r="T155" s="62">
        <f t="shared" si="142"/>
        <v>172.9006610021255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6.8844451999653541E-2</v>
      </c>
      <c r="AA155" s="23">
        <f>EXP(-LN(2)/25)*AA154+(1-EXP(-LN(2)/25))/(LN(2)/25)*Calculateur!V155*Calculateur!X155*VLOOKUP('Données projet'!$B$9,Paramètres!$A$1:$I$89,3,0)*0.475*44/12</f>
        <v>8.2783129117092624E-2</v>
      </c>
      <c r="AB155" s="23">
        <f>EXP(-LN(2)/2)*AB154+(1-EXP(-LN(2)/2))/(LN(2)/2)*V155*Y155*VLOOKUP('Données projet'!$B$9,Paramètres!$A$1:$I$89,3,0)*0.475*44/12</f>
        <v>2.3913604843650487E-18</v>
      </c>
      <c r="AC155" s="24">
        <f t="shared" si="163"/>
        <v>0.15162758111674618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293.33333333333439</v>
      </c>
      <c r="AN155" s="62">
        <f ca="1">AVERAGE(OFFSET($AM$3,0,0,'Données projet'!$E$10+1,1))-AVERAGE(OFFSET($H$3,0,0,'Données projet'!$E$10+1,1))</f>
        <v>206.5885410269899</v>
      </c>
      <c r="AO155" s="62">
        <f t="shared" si="144"/>
        <v>347.41156847586302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-1.4210854715202004E-13</v>
      </c>
      <c r="O156" s="14">
        <f>N156*VLOOKUP('Données projet'!$B$9,Paramètres!$A$1:$I$89,3,0)*VLOOKUP('Données projet'!$B$9,Paramètres!$A$1:$I$89,5,0)</f>
        <v>-1.1527845344971866E-13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214.30779675250909</v>
      </c>
      <c r="T156" s="62">
        <f t="shared" si="142"/>
        <v>172.9006610021255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6.7494454286909797E-2</v>
      </c>
      <c r="AA156" s="23">
        <f>EXP(-LN(2)/25)*AA155+(1-EXP(-LN(2)/25))/(LN(2)/25)*Calculateur!V156*Calculateur!X156*VLOOKUP('Données projet'!$B$9,Paramètres!$A$1:$I$89,3,0)*0.475*44/12</f>
        <v>8.0519420098010164E-2</v>
      </c>
      <c r="AB156" s="23">
        <f>EXP(-LN(2)/2)*AB155+(1-EXP(-LN(2)/2))/(LN(2)/2)*V156*Y156*VLOOKUP('Données projet'!$B$9,Paramètres!$A$1:$I$89,3,0)*0.475*44/12</f>
        <v>1.6909472147560729E-18</v>
      </c>
      <c r="AC156" s="24">
        <f t="shared" si="163"/>
        <v>0.14801387438491997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293.33333333333439</v>
      </c>
      <c r="AN156" s="62">
        <f ca="1">AVERAGE(OFFSET($AM$3,0,0,'Données projet'!$E$10+1,1))-AVERAGE(OFFSET($H$3,0,0,'Données projet'!$E$10+1,1))</f>
        <v>206.5885410269899</v>
      </c>
      <c r="AO156" s="62">
        <f t="shared" si="144"/>
        <v>347.41156847586302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-1.4210854715202004E-13</v>
      </c>
      <c r="O157" s="14">
        <f>N157*VLOOKUP('Données projet'!$B$9,Paramètres!$A$1:$I$89,3,0)*VLOOKUP('Données projet'!$B$9,Paramètres!$A$1:$I$89,5,0)</f>
        <v>-1.1527845344971866E-13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214.30779675250909</v>
      </c>
      <c r="T157" s="62">
        <f t="shared" si="142"/>
        <v>172.9006610021255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6.6170929205895651E-2</v>
      </c>
      <c r="AA157" s="23">
        <f>EXP(-LN(2)/25)*AA156+(1-EXP(-LN(2)/25))/(LN(2)/25)*Calculateur!V157*Calculateur!X157*VLOOKUP('Données projet'!$B$9,Paramètres!$A$1:$I$89,3,0)*0.475*44/12</f>
        <v>7.8317612321097796E-2</v>
      </c>
      <c r="AB157" s="23">
        <f>EXP(-LN(2)/2)*AB156+(1-EXP(-LN(2)/2))/(LN(2)/2)*V157*Y157*VLOOKUP('Données projet'!$B$9,Paramètres!$A$1:$I$89,3,0)*0.475*44/12</f>
        <v>1.1956802421825245E-18</v>
      </c>
      <c r="AC157" s="24">
        <f t="shared" si="163"/>
        <v>0.14448854152699345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293.33333333333439</v>
      </c>
      <c r="AN157" s="62">
        <f ca="1">AVERAGE(OFFSET($AM$3,0,0,'Données projet'!$E$10+1,1))-AVERAGE(OFFSET($H$3,0,0,'Données projet'!$E$10+1,1))</f>
        <v>206.5885410269899</v>
      </c>
      <c r="AO157" s="62">
        <f t="shared" si="144"/>
        <v>347.41156847586302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-1.4210854715202004E-13</v>
      </c>
      <c r="O158" s="14">
        <f>N158*VLOOKUP('Données projet'!$B$9,Paramètres!$A$1:$I$89,3,0)*VLOOKUP('Données projet'!$B$9,Paramètres!$A$1:$I$89,5,0)</f>
        <v>-1.1527845344971866E-13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214.30779675250909</v>
      </c>
      <c r="T158" s="62">
        <f t="shared" si="142"/>
        <v>172.9006610021255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6.4873357644449611E-2</v>
      </c>
      <c r="AA158" s="23">
        <f>EXP(-LN(2)/25)*AA157+(1-EXP(-LN(2)/25))/(LN(2)/25)*Calculateur!V158*Calculateur!X158*VLOOKUP('Données projet'!$B$9,Paramètres!$A$1:$I$89,3,0)*0.475*44/12</f>
        <v>7.6176013093633144E-2</v>
      </c>
      <c r="AB158" s="23">
        <f>EXP(-LN(2)/2)*AB157+(1-EXP(-LN(2)/2))/(LN(2)/2)*V158*Y158*VLOOKUP('Données projet'!$B$9,Paramètres!$A$1:$I$89,3,0)*0.475*44/12</f>
        <v>8.4547360737803656E-19</v>
      </c>
      <c r="AC158" s="24">
        <f t="shared" si="163"/>
        <v>0.14104937073808277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293.33333333333439</v>
      </c>
      <c r="AN158" s="62">
        <f ca="1">AVERAGE(OFFSET($AM$3,0,0,'Données projet'!$E$10+1,1))-AVERAGE(OFFSET($H$3,0,0,'Données projet'!$E$10+1,1))</f>
        <v>206.5885410269899</v>
      </c>
      <c r="AO158" s="62">
        <f t="shared" si="144"/>
        <v>347.41156847586302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-1.4210854715202004E-13</v>
      </c>
      <c r="O159" s="14">
        <f>N159*VLOOKUP('Données projet'!$B$9,Paramètres!$A$1:$I$89,3,0)*VLOOKUP('Données projet'!$B$9,Paramètres!$A$1:$I$89,5,0)</f>
        <v>-1.1527845344971866E-13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214.30779675250909</v>
      </c>
      <c r="T159" s="62">
        <f t="shared" si="142"/>
        <v>172.9006610021255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6.3601230669883019E-2</v>
      </c>
      <c r="AA159" s="23">
        <f>EXP(-LN(2)/25)*AA158+(1-EXP(-LN(2)/25))/(LN(2)/25)*Calculateur!V159*Calculateur!X159*VLOOKUP('Données projet'!$B$9,Paramètres!$A$1:$I$89,3,0)*0.475*44/12</f>
        <v>7.4092976009665315E-2</v>
      </c>
      <c r="AB159" s="23">
        <f>EXP(-LN(2)/2)*AB158+(1-EXP(-LN(2)/2))/(LN(2)/2)*V159*Y159*VLOOKUP('Données projet'!$B$9,Paramètres!$A$1:$I$89,3,0)*0.475*44/12</f>
        <v>5.9784012109126236E-19</v>
      </c>
      <c r="AC159" s="24">
        <f t="shared" si="163"/>
        <v>0.13769420667954835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293.33333333333439</v>
      </c>
      <c r="AN159" s="62">
        <f ca="1">AVERAGE(OFFSET($AM$3,0,0,'Données projet'!$E$10+1,1))-AVERAGE(OFFSET($H$3,0,0,'Données projet'!$E$10+1,1))</f>
        <v>206.5885410269899</v>
      </c>
      <c r="AO159" s="62">
        <f t="shared" si="144"/>
        <v>347.41156847586302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-1.4210854715202004E-13</v>
      </c>
      <c r="O160" s="14">
        <f>N160*VLOOKUP('Données projet'!$B$9,Paramètres!$A$1:$I$89,3,0)*VLOOKUP('Données projet'!$B$9,Paramètres!$A$1:$I$89,5,0)</f>
        <v>-1.1527845344971866E-13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214.30779675250909</v>
      </c>
      <c r="T160" s="62">
        <f t="shared" si="142"/>
        <v>172.9006610021255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6.2354049329366841E-2</v>
      </c>
      <c r="AA160" s="23">
        <f>EXP(-LN(2)/25)*AA159+(1-EXP(-LN(2)/25))/(LN(2)/25)*Calculateur!V160*Calculateur!X160*VLOOKUP('Données projet'!$B$9,Paramètres!$A$1:$I$89,3,0)*0.475*44/12</f>
        <v>7.2066899684300745E-2</v>
      </c>
      <c r="AB160" s="23">
        <f>EXP(-LN(2)/2)*AB159+(1-EXP(-LN(2)/2))/(LN(2)/2)*V160*Y160*VLOOKUP('Données projet'!$B$9,Paramètres!$A$1:$I$89,3,0)*0.475*44/12</f>
        <v>4.2273680368901838E-19</v>
      </c>
      <c r="AC160" s="24">
        <f t="shared" si="163"/>
        <v>0.13442094901366758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293.33333333333439</v>
      </c>
      <c r="AN160" s="62">
        <f ca="1">AVERAGE(OFFSET($AM$3,0,0,'Données projet'!$E$10+1,1))-AVERAGE(OFFSET($H$3,0,0,'Données projet'!$E$10+1,1))</f>
        <v>206.5885410269899</v>
      </c>
      <c r="AO160" s="62">
        <f t="shared" si="144"/>
        <v>347.41156847586302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-1.4210854715202004E-13</v>
      </c>
      <c r="O161" s="14">
        <f>N161*VLOOKUP('Données projet'!$B$9,Paramètres!$A$1:$I$89,3,0)*VLOOKUP('Données projet'!$B$9,Paramètres!$A$1:$I$89,5,0)</f>
        <v>-1.1527845344971866E-13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214.30779675250909</v>
      </c>
      <c r="T161" s="62">
        <f t="shared" si="142"/>
        <v>172.9006610021255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6.113132445423268E-2</v>
      </c>
      <c r="AA161" s="23">
        <f>EXP(-LN(2)/25)*AA160+(1-EXP(-LN(2)/25))/(LN(2)/25)*Calculateur!V161*Calculateur!X161*VLOOKUP('Données projet'!$B$9,Paramètres!$A$1:$I$89,3,0)*0.475*44/12</f>
        <v>7.0096226522600003E-2</v>
      </c>
      <c r="AB161" s="23">
        <f>EXP(-LN(2)/2)*AB160+(1-EXP(-LN(2)/2))/(LN(2)/2)*V161*Y161*VLOOKUP('Données projet'!$B$9,Paramètres!$A$1:$I$89,3,0)*0.475*44/12</f>
        <v>2.9892006054563123E-19</v>
      </c>
      <c r="AC161" s="24">
        <f t="shared" si="163"/>
        <v>0.1312275509768327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293.33333333333439</v>
      </c>
      <c r="AN161" s="62">
        <f ca="1">AVERAGE(OFFSET($AM$3,0,0,'Données projet'!$E$10+1,1))-AVERAGE(OFFSET($H$3,0,0,'Données projet'!$E$10+1,1))</f>
        <v>206.5885410269899</v>
      </c>
      <c r="AO161" s="62">
        <f t="shared" si="144"/>
        <v>347.41156847586302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-1.4210854715202004E-13</v>
      </c>
      <c r="O162" s="14">
        <f>N162*VLOOKUP('Données projet'!$B$9,Paramètres!$A$1:$I$89,3,0)*VLOOKUP('Données projet'!$B$9,Paramètres!$A$1:$I$89,5,0)</f>
        <v>-1.1527845344971866E-13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214.30779675250909</v>
      </c>
      <c r="T162" s="62">
        <f t="shared" si="142"/>
        <v>172.9006610021255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5.9932576468111363E-2</v>
      </c>
      <c r="AA162" s="23">
        <f>EXP(-LN(2)/25)*AA161+(1-EXP(-LN(2)/25))/(LN(2)/25)*Calculateur!V162*Calculateur!X162*VLOOKUP('Données projet'!$B$9,Paramètres!$A$1:$I$89,3,0)*0.475*44/12</f>
        <v>6.8179441522139159E-2</v>
      </c>
      <c r="AB162" s="23">
        <f>EXP(-LN(2)/2)*AB161+(1-EXP(-LN(2)/2))/(LN(2)/2)*V162*Y162*VLOOKUP('Données projet'!$B$9,Paramètres!$A$1:$I$89,3,0)*0.475*44/12</f>
        <v>2.1136840184450921E-19</v>
      </c>
      <c r="AC162" s="24">
        <f t="shared" si="163"/>
        <v>0.12811201799025052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293.33333333333439</v>
      </c>
      <c r="AN162" s="62">
        <f ca="1">AVERAGE(OFFSET($AM$3,0,0,'Données projet'!$E$10+1,1))-AVERAGE(OFFSET($H$3,0,0,'Données projet'!$E$10+1,1))</f>
        <v>206.5885410269899</v>
      </c>
      <c r="AO162" s="62">
        <f t="shared" si="144"/>
        <v>347.41156847586302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-1.4210854715202004E-13</v>
      </c>
      <c r="O163" s="14">
        <f>N163*VLOOKUP('Données projet'!$B$9,Paramètres!$A$1:$I$89,3,0)*VLOOKUP('Données projet'!$B$9,Paramètres!$A$1:$I$89,5,0)</f>
        <v>-1.1527845344971866E-13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214.30779675250909</v>
      </c>
      <c r="T163" s="62">
        <f t="shared" si="142"/>
        <v>172.9006610021255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5.8757335198833811E-2</v>
      </c>
      <c r="AA163" s="23">
        <f>EXP(-LN(2)/25)*AA162+(1-EXP(-LN(2)/25))/(LN(2)/25)*Calculateur!V163*Calculateur!X163*VLOOKUP('Données projet'!$B$9,Paramètres!$A$1:$I$89,3,0)*0.475*44/12</f>
        <v>6.6315071108315263E-2</v>
      </c>
      <c r="AB163" s="23">
        <f>EXP(-LN(2)/2)*AB162+(1-EXP(-LN(2)/2))/(LN(2)/2)*V163*Y163*VLOOKUP('Données projet'!$B$9,Paramètres!$A$1:$I$89,3,0)*0.475*44/12</f>
        <v>1.4946003027281564E-19</v>
      </c>
      <c r="AC163" s="24">
        <f t="shared" si="163"/>
        <v>0.12507240630714908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293.33333333333439</v>
      </c>
      <c r="AN163" s="62">
        <f ca="1">AVERAGE(OFFSET($AM$3,0,0,'Données projet'!$E$10+1,1))-AVERAGE(OFFSET($H$3,0,0,'Données projet'!$E$10+1,1))</f>
        <v>206.5885410269899</v>
      </c>
      <c r="AO163" s="62">
        <f t="shared" si="144"/>
        <v>347.41156847586302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-1.4210854715202004E-13</v>
      </c>
      <c r="O164" s="14">
        <f>N164*VLOOKUP('Données projet'!$B$9,Paramètres!$A$1:$I$89,3,0)*VLOOKUP('Données projet'!$B$9,Paramètres!$A$1:$I$89,5,0)</f>
        <v>-1.1527845344971866E-13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214.30779675250909</v>
      </c>
      <c r="T164" s="62">
        <f t="shared" si="142"/>
        <v>172.9006610021255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5.7605139694020403E-2</v>
      </c>
      <c r="AA164" s="23">
        <f>EXP(-LN(2)/25)*AA163+(1-EXP(-LN(2)/25))/(LN(2)/25)*Calculateur!V164*Calculateur!X164*VLOOKUP('Données projet'!$B$9,Paramètres!$A$1:$I$89,3,0)*0.475*44/12</f>
        <v>6.450168200150036E-2</v>
      </c>
      <c r="AB164" s="23">
        <f>EXP(-LN(2)/2)*AB163+(1-EXP(-LN(2)/2))/(LN(2)/2)*V164*Y164*VLOOKUP('Données projet'!$B$9,Paramètres!$A$1:$I$89,3,0)*0.475*44/12</f>
        <v>1.0568420092225462E-19</v>
      </c>
      <c r="AC164" s="24">
        <f t="shared" si="163"/>
        <v>0.12210682169552076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293.33333333333439</v>
      </c>
      <c r="AN164" s="62">
        <f ca="1">AVERAGE(OFFSET($AM$3,0,0,'Données projet'!$E$10+1,1))-AVERAGE(OFFSET($H$3,0,0,'Données projet'!$E$10+1,1))</f>
        <v>206.5885410269899</v>
      </c>
      <c r="AO164" s="62">
        <f t="shared" si="144"/>
        <v>347.41156847586302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-1.4210854715202004E-13</v>
      </c>
      <c r="O165" s="14">
        <f>N165*VLOOKUP('Données projet'!$B$9,Paramètres!$A$1:$I$89,3,0)*VLOOKUP('Données projet'!$B$9,Paramètres!$A$1:$I$89,5,0)</f>
        <v>-1.1527845344971866E-13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214.30779675250909</v>
      </c>
      <c r="T165" s="62">
        <f t="shared" si="142"/>
        <v>172.9006610021255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5.6475538040286516E-2</v>
      </c>
      <c r="AA165" s="23">
        <f>EXP(-LN(2)/25)*AA164+(1-EXP(-LN(2)/25))/(LN(2)/25)*Calculateur!V165*Calculateur!X165*VLOOKUP('Données projet'!$B$9,Paramètres!$A$1:$I$89,3,0)*0.475*44/12</f>
        <v>6.2737880115173297E-2</v>
      </c>
      <c r="AB165" s="23">
        <f>EXP(-LN(2)/2)*AB164+(1-EXP(-LN(2)/2))/(LN(2)/2)*V165*Y165*VLOOKUP('Données projet'!$B$9,Paramètres!$A$1:$I$89,3,0)*0.475*44/12</f>
        <v>7.4730015136407831E-20</v>
      </c>
      <c r="AC165" s="24">
        <f t="shared" si="163"/>
        <v>0.11921341815545981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293.33333333333439</v>
      </c>
      <c r="AN165" s="62">
        <f ca="1">AVERAGE(OFFSET($AM$3,0,0,'Données projet'!$E$10+1,1))-AVERAGE(OFFSET($H$3,0,0,'Données projet'!$E$10+1,1))</f>
        <v>206.5885410269899</v>
      </c>
      <c r="AO165" s="62">
        <f t="shared" si="144"/>
        <v>347.41156847586302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-1.4210854715202004E-13</v>
      </c>
      <c r="O166" s="14">
        <f>N166*VLOOKUP('Données projet'!$B$9,Paramètres!$A$1:$I$89,3,0)*VLOOKUP('Données projet'!$B$9,Paramètres!$A$1:$I$89,5,0)</f>
        <v>-1.1527845344971866E-13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214.30779675250909</v>
      </c>
      <c r="T166" s="62">
        <f t="shared" si="142"/>
        <v>172.9006610021255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5.5368087185993377E-2</v>
      </c>
      <c r="AA166" s="23">
        <f>EXP(-LN(2)/25)*AA165+(1-EXP(-LN(2)/25))/(LN(2)/25)*Calculateur!V166*Calculateur!X166*VLOOKUP('Données projet'!$B$9,Paramètres!$A$1:$I$89,3,0)*0.475*44/12</f>
        <v>6.1022309484182156E-2</v>
      </c>
      <c r="AB166" s="23">
        <f>EXP(-LN(2)/2)*AB165+(1-EXP(-LN(2)/2))/(LN(2)/2)*V166*Y166*VLOOKUP('Données projet'!$B$9,Paramètres!$A$1:$I$89,3,0)*0.475*44/12</f>
        <v>5.2842100461127321E-20</v>
      </c>
      <c r="AC166" s="24">
        <f t="shared" si="163"/>
        <v>0.11639039667017553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293.33333333333439</v>
      </c>
      <c r="AN166" s="62">
        <f ca="1">AVERAGE(OFFSET($AM$3,0,0,'Données projet'!$E$10+1,1))-AVERAGE(OFFSET($H$3,0,0,'Données projet'!$E$10+1,1))</f>
        <v>206.5885410269899</v>
      </c>
      <c r="AO166" s="62">
        <f t="shared" si="144"/>
        <v>347.41156847586302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-1.4210854715202004E-13</v>
      </c>
      <c r="O167" s="14">
        <f>N167*VLOOKUP('Données projet'!$B$9,Paramètres!$A$1:$I$89,3,0)*VLOOKUP('Données projet'!$B$9,Paramètres!$A$1:$I$89,5,0)</f>
        <v>-1.1527845344971866E-13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214.30779675250909</v>
      </c>
      <c r="T167" s="62">
        <f t="shared" si="142"/>
        <v>172.9006610021255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5.4282352767474604E-2</v>
      </c>
      <c r="AA167" s="23">
        <f>EXP(-LN(2)/25)*AA166+(1-EXP(-LN(2)/25))/(LN(2)/25)*Calculateur!V167*Calculateur!X167*VLOOKUP('Données projet'!$B$9,Paramètres!$A$1:$I$89,3,0)*0.475*44/12</f>
        <v>5.9353651222313411E-2</v>
      </c>
      <c r="AB167" s="23">
        <f>EXP(-LN(2)/2)*AB166+(1-EXP(-LN(2)/2))/(LN(2)/2)*V167*Y167*VLOOKUP('Données projet'!$B$9,Paramètres!$A$1:$I$89,3,0)*0.475*44/12</f>
        <v>3.7365007568203922E-20</v>
      </c>
      <c r="AC167" s="24">
        <f t="shared" si="163"/>
        <v>0.11363600398978801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293.33333333333439</v>
      </c>
      <c r="AN167" s="62">
        <f ca="1">AVERAGE(OFFSET($AM$3,0,0,'Données projet'!$E$10+1,1))-AVERAGE(OFFSET($H$3,0,0,'Données projet'!$E$10+1,1))</f>
        <v>206.5885410269899</v>
      </c>
      <c r="AO167" s="62">
        <f t="shared" si="144"/>
        <v>347.41156847586302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-1.4210854715202004E-13</v>
      </c>
      <c r="O168" s="14">
        <f>N168*VLOOKUP('Données projet'!$B$9,Paramètres!$A$1:$I$89,3,0)*VLOOKUP('Données projet'!$B$9,Paramètres!$A$1:$I$89,5,0)</f>
        <v>-1.1527845344971866E-13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214.30779675250909</v>
      </c>
      <c r="T168" s="62">
        <f t="shared" si="142"/>
        <v>172.9006610021255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5.3217908938670379E-2</v>
      </c>
      <c r="AA168" s="23">
        <f>EXP(-LN(2)/25)*AA167+(1-EXP(-LN(2)/25))/(LN(2)/25)*Calculateur!V168*Calculateur!X168*VLOOKUP('Données projet'!$B$9,Paramètres!$A$1:$I$89,3,0)*0.475*44/12</f>
        <v>5.7730622508366386E-2</v>
      </c>
      <c r="AB168" s="23">
        <f>EXP(-LN(2)/2)*AB167+(1-EXP(-LN(2)/2))/(LN(2)/2)*V168*Y168*VLOOKUP('Données projet'!$B$9,Paramètres!$A$1:$I$89,3,0)*0.475*44/12</f>
        <v>2.6421050230563664E-20</v>
      </c>
      <c r="AC168" s="24">
        <f t="shared" si="163"/>
        <v>0.11094853144703676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293.33333333333439</v>
      </c>
      <c r="AN168" s="62">
        <f ca="1">AVERAGE(OFFSET($AM$3,0,0,'Données projet'!$E$10+1,1))-AVERAGE(OFFSET($H$3,0,0,'Données projet'!$E$10+1,1))</f>
        <v>206.5885410269899</v>
      </c>
      <c r="AO168" s="62">
        <f t="shared" si="144"/>
        <v>347.41156847586302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-1.4210854715202004E-13</v>
      </c>
      <c r="O169" s="14">
        <f>N169*VLOOKUP('Données projet'!$B$9,Paramètres!$A$1:$I$89,3,0)*VLOOKUP('Données projet'!$B$9,Paramètres!$A$1:$I$89,5,0)</f>
        <v>-1.1527845344971866E-13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214.30779675250909</v>
      </c>
      <c r="T169" s="62">
        <f t="shared" si="142"/>
        <v>172.9006610021255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5.2174338204102375E-2</v>
      </c>
      <c r="AA169" s="23">
        <f>EXP(-LN(2)/25)*AA168+(1-EXP(-LN(2)/25))/(LN(2)/25)*Calculateur!V169*Calculateur!X169*VLOOKUP('Données projet'!$B$9,Paramètres!$A$1:$I$89,3,0)*0.475*44/12</f>
        <v>5.6151975599953614E-2</v>
      </c>
      <c r="AB169" s="23">
        <f>EXP(-LN(2)/2)*AB168+(1-EXP(-LN(2)/2))/(LN(2)/2)*V169*Y169*VLOOKUP('Données projet'!$B$9,Paramètres!$A$1:$I$89,3,0)*0.475*44/12</f>
        <v>1.8682503784101964E-20</v>
      </c>
      <c r="AC169" s="24">
        <f t="shared" si="163"/>
        <v>0.108326313804056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293.33333333333439</v>
      </c>
      <c r="AN169" s="62">
        <f ca="1">AVERAGE(OFFSET($AM$3,0,0,'Données projet'!$E$10+1,1))-AVERAGE(OFFSET($H$3,0,0,'Données projet'!$E$10+1,1))</f>
        <v>206.5885410269899</v>
      </c>
      <c r="AO169" s="62">
        <f t="shared" si="144"/>
        <v>347.41156847586302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-1.4210854715202004E-13</v>
      </c>
      <c r="O170" s="14">
        <f>N170*VLOOKUP('Données projet'!$B$9,Paramètres!$A$1:$I$89,3,0)*VLOOKUP('Données projet'!$B$9,Paramètres!$A$1:$I$89,5,0)</f>
        <v>-1.1527845344971866E-13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214.30779675250909</v>
      </c>
      <c r="T170" s="62">
        <f t="shared" si="142"/>
        <v>172.9006610021255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5.1151231255123948E-2</v>
      </c>
      <c r="AA170" s="23">
        <f>EXP(-LN(2)/25)*AA169+(1-EXP(-LN(2)/25))/(LN(2)/25)*Calculateur!V170*Calculateur!X170*VLOOKUP('Données projet'!$B$9,Paramètres!$A$1:$I$89,3,0)*0.475*44/12</f>
        <v>5.4616496874268824E-2</v>
      </c>
      <c r="AB170" s="23">
        <f>EXP(-LN(2)/2)*AB169+(1-EXP(-LN(2)/2))/(LN(2)/2)*V170*Y170*VLOOKUP('Données projet'!$B$9,Paramètres!$A$1:$I$89,3,0)*0.475*44/12</f>
        <v>1.3210525115281835E-20</v>
      </c>
      <c r="AC170" s="24">
        <f t="shared" si="163"/>
        <v>0.10576772812939278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293.33333333333439</v>
      </c>
      <c r="AN170" s="62">
        <f ca="1">AVERAGE(OFFSET($AM$3,0,0,'Données projet'!$E$10+1,1))-AVERAGE(OFFSET($H$3,0,0,'Données projet'!$E$10+1,1))</f>
        <v>206.5885410269899</v>
      </c>
      <c r="AO170" s="62">
        <f t="shared" si="144"/>
        <v>347.41156847586302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-1.4210854715202004E-13</v>
      </c>
      <c r="O171" s="14">
        <f>N171*VLOOKUP('Données projet'!$B$9,Paramètres!$A$1:$I$89,3,0)*VLOOKUP('Données projet'!$B$9,Paramètres!$A$1:$I$89,5,0)</f>
        <v>-1.1527845344971866E-13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214.30779675250909</v>
      </c>
      <c r="T171" s="62">
        <f t="shared" si="142"/>
        <v>172.9006610021255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5.0148186809381372E-2</v>
      </c>
      <c r="AA171" s="23">
        <f>EXP(-LN(2)/25)*AA170+(1-EXP(-LN(2)/25))/(LN(2)/25)*Calculateur!V171*Calculateur!X171*VLOOKUP('Données projet'!$B$9,Paramètres!$A$1:$I$89,3,0)*0.475*44/12</f>
        <v>5.3123005895085201E-2</v>
      </c>
      <c r="AB171" s="23">
        <f>EXP(-LN(2)/2)*AB170+(1-EXP(-LN(2)/2))/(LN(2)/2)*V171*Y171*VLOOKUP('Données projet'!$B$9,Paramètres!$A$1:$I$89,3,0)*0.475*44/12</f>
        <v>9.3412518920509834E-21</v>
      </c>
      <c r="AC171" s="24">
        <f t="shared" si="163"/>
        <v>0.10327119270446658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293.33333333333439</v>
      </c>
      <c r="AN171" s="62">
        <f ca="1">AVERAGE(OFFSET($AM$3,0,0,'Données projet'!$E$10+1,1))-AVERAGE(OFFSET($H$3,0,0,'Données projet'!$E$10+1,1))</f>
        <v>206.5885410269899</v>
      </c>
      <c r="AO171" s="62">
        <f t="shared" si="144"/>
        <v>347.41156847586302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-1.4210854715202004E-13</v>
      </c>
      <c r="O172" s="14">
        <f>N172*VLOOKUP('Données projet'!$B$9,Paramètres!$A$1:$I$89,3,0)*VLOOKUP('Données projet'!$B$9,Paramètres!$A$1:$I$89,5,0)</f>
        <v>-1.1527845344971866E-13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214.30779675250909</v>
      </c>
      <c r="T172" s="62">
        <f t="shared" si="142"/>
        <v>172.9006610021255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4.9164811453423107E-2</v>
      </c>
      <c r="AA172" s="23">
        <f>EXP(-LN(2)/25)*AA171+(1-EXP(-LN(2)/25))/(LN(2)/25)*Calculateur!V172*Calculateur!X172*VLOOKUP('Données projet'!$B$9,Paramètres!$A$1:$I$89,3,0)*0.475*44/12</f>
        <v>5.1670354505266629E-2</v>
      </c>
      <c r="AB172" s="23">
        <f>EXP(-LN(2)/2)*AB171+(1-EXP(-LN(2)/2))/(LN(2)/2)*V172*Y172*VLOOKUP('Données projet'!$B$9,Paramètres!$A$1:$I$89,3,0)*0.475*44/12</f>
        <v>6.6052625576409182E-21</v>
      </c>
      <c r="AC172" s="24">
        <f t="shared" si="163"/>
        <v>0.10083516595868974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293.33333333333439</v>
      </c>
      <c r="AN172" s="62">
        <f ca="1">AVERAGE(OFFSET($AM$3,0,0,'Données projet'!$E$10+1,1))-AVERAGE(OFFSET($H$3,0,0,'Données projet'!$E$10+1,1))</f>
        <v>206.5885410269899</v>
      </c>
      <c r="AO172" s="62">
        <f t="shared" si="144"/>
        <v>347.41156847586302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-1.4210854715202004E-13</v>
      </c>
      <c r="O173" s="14">
        <f>N173*VLOOKUP('Données projet'!$B$9,Paramètres!$A$1:$I$89,3,0)*VLOOKUP('Données projet'!$B$9,Paramètres!$A$1:$I$89,5,0)</f>
        <v>-1.1527845344971866E-13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214.30779675250909</v>
      </c>
      <c r="T173" s="62">
        <f t="shared" si="142"/>
        <v>172.9006610021255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4.8200719488395438E-2</v>
      </c>
      <c r="AA173" s="23">
        <f>EXP(-LN(2)/25)*AA172+(1-EXP(-LN(2)/25))/(LN(2)/25)*Calculateur!V173*Calculateur!X173*VLOOKUP('Données projet'!$B$9,Paramètres!$A$1:$I$89,3,0)*0.475*44/12</f>
        <v>5.0257425944094263E-2</v>
      </c>
      <c r="AB173" s="23">
        <f>EXP(-LN(2)/2)*AB172+(1-EXP(-LN(2)/2))/(LN(2)/2)*V173*Y173*VLOOKUP('Données projet'!$B$9,Paramètres!$A$1:$I$89,3,0)*0.475*44/12</f>
        <v>4.6706259460254925E-21</v>
      </c>
      <c r="AC173" s="24">
        <f t="shared" si="163"/>
        <v>9.8458145432489708E-2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293.33333333333439</v>
      </c>
      <c r="AN173" s="62">
        <f ca="1">AVERAGE(OFFSET($AM$3,0,0,'Données projet'!$E$10+1,1))-AVERAGE(OFFSET($H$3,0,0,'Données projet'!$E$10+1,1))</f>
        <v>206.5885410269899</v>
      </c>
      <c r="AO173" s="62">
        <f t="shared" si="144"/>
        <v>347.41156847586302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-1.4210854715202004E-13</v>
      </c>
      <c r="O174" s="14">
        <f>N174*VLOOKUP('Données projet'!$B$9,Paramètres!$A$1:$I$89,3,0)*VLOOKUP('Données projet'!$B$9,Paramètres!$A$1:$I$89,5,0)</f>
        <v>-1.1527845344971866E-13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214.30779675250909</v>
      </c>
      <c r="T174" s="62">
        <f t="shared" si="142"/>
        <v>172.9006610021255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4.7255532778763931E-2</v>
      </c>
      <c r="AA174" s="23">
        <f>EXP(-LN(2)/25)*AA173+(1-EXP(-LN(2)/25))/(LN(2)/25)*Calculateur!V174*Calculateur!X174*VLOOKUP('Données projet'!$B$9,Paramètres!$A$1:$I$89,3,0)*0.475*44/12</f>
        <v>4.8883133988729836E-2</v>
      </c>
      <c r="AB174" s="23">
        <f>EXP(-LN(2)/2)*AB173+(1-EXP(-LN(2)/2))/(LN(2)/2)*V174*Y174*VLOOKUP('Données projet'!$B$9,Paramètres!$A$1:$I$89,3,0)*0.475*44/12</f>
        <v>3.3026312788204598E-21</v>
      </c>
      <c r="AC174" s="24">
        <f t="shared" si="163"/>
        <v>9.6138666767493774E-2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293.33333333333439</v>
      </c>
      <c r="AN174" s="62">
        <f ca="1">AVERAGE(OFFSET($AM$3,0,0,'Données projet'!$E$10+1,1))-AVERAGE(OFFSET($H$3,0,0,'Données projet'!$E$10+1,1))</f>
        <v>206.5885410269899</v>
      </c>
      <c r="AO174" s="62">
        <f t="shared" si="144"/>
        <v>347.41156847586302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-1.4210854715202004E-13</v>
      </c>
      <c r="O175" s="14">
        <f>N175*VLOOKUP('Données projet'!$B$9,Paramètres!$A$1:$I$89,3,0)*VLOOKUP('Données projet'!$B$9,Paramètres!$A$1:$I$89,5,0)</f>
        <v>-1.1527845344971866E-13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214.30779675250909</v>
      </c>
      <c r="T175" s="62">
        <f t="shared" si="142"/>
        <v>172.9006610021255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4.6328880604001331E-2</v>
      </c>
      <c r="AA175" s="23">
        <f>EXP(-LN(2)/25)*AA174+(1-EXP(-LN(2)/25))/(LN(2)/25)*Calculateur!V175*Calculateur!X175*VLOOKUP('Données projet'!$B$9,Paramètres!$A$1:$I$89,3,0)*0.475*44/12</f>
        <v>4.7546422119155725E-2</v>
      </c>
      <c r="AB175" s="23">
        <f>EXP(-LN(2)/2)*AB174+(1-EXP(-LN(2)/2))/(LN(2)/2)*V175*Y175*VLOOKUP('Données projet'!$B$9,Paramètres!$A$1:$I$89,3,0)*0.475*44/12</f>
        <v>2.3353129730127466E-21</v>
      </c>
      <c r="AC175" s="24">
        <f t="shared" si="163"/>
        <v>9.3875302723157056E-2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293.33333333333439</v>
      </c>
      <c r="AN175" s="62">
        <f ca="1">AVERAGE(OFFSET($AM$3,0,0,'Données projet'!$E$10+1,1))-AVERAGE(OFFSET($H$3,0,0,'Données projet'!$E$10+1,1))</f>
        <v>206.5885410269899</v>
      </c>
      <c r="AO175" s="62">
        <f t="shared" si="144"/>
        <v>347.41156847586302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-1.4210854715202004E-13</v>
      </c>
      <c r="O176" s="14">
        <f>N176*VLOOKUP('Données projet'!$B$9,Paramètres!$A$1:$I$89,3,0)*VLOOKUP('Données projet'!$B$9,Paramètres!$A$1:$I$89,5,0)</f>
        <v>-1.1527845344971866E-13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214.30779675250909</v>
      </c>
      <c r="T176" s="62">
        <f t="shared" si="142"/>
        <v>172.9006610021255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4.5420399513183801E-2</v>
      </c>
      <c r="AA176" s="23">
        <f>EXP(-LN(2)/25)*AA175+(1-EXP(-LN(2)/25))/(LN(2)/25)*Calculateur!V176*Calculateur!X176*VLOOKUP('Données projet'!$B$9,Paramètres!$A$1:$I$89,3,0)*0.475*44/12</f>
        <v>4.6246262705949739E-2</v>
      </c>
      <c r="AB176" s="23">
        <f>EXP(-LN(2)/2)*AB175+(1-EXP(-LN(2)/2))/(LN(2)/2)*V176*Y176*VLOOKUP('Données projet'!$B$9,Paramètres!$A$1:$I$89,3,0)*0.475*44/12</f>
        <v>1.6513156394102301E-21</v>
      </c>
      <c r="AC176" s="24">
        <f t="shared" si="163"/>
        <v>9.1666662219133541E-2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293.33333333333439</v>
      </c>
      <c r="AN176" s="62">
        <f ca="1">AVERAGE(OFFSET($AM$3,0,0,'Données projet'!$E$10+1,1))-AVERAGE(OFFSET($H$3,0,0,'Données projet'!$E$10+1,1))</f>
        <v>206.5885410269899</v>
      </c>
      <c r="AO176" s="62">
        <f t="shared" si="144"/>
        <v>347.41156847586302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-1.4210854715202004E-13</v>
      </c>
      <c r="O177" s="14">
        <f>N177*VLOOKUP('Données projet'!$B$9,Paramètres!$A$1:$I$89,3,0)*VLOOKUP('Données projet'!$B$9,Paramètres!$A$1:$I$89,5,0)</f>
        <v>-1.1527845344971866E-13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214.30779675250909</v>
      </c>
      <c r="T177" s="62">
        <f t="shared" si="142"/>
        <v>172.9006610021255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4.4529733182438455E-2</v>
      </c>
      <c r="AA177" s="23">
        <f>EXP(-LN(2)/25)*AA176+(1-EXP(-LN(2)/25))/(LN(2)/25)*Calculateur!V177*Calculateur!X177*VLOOKUP('Données projet'!$B$9,Paramètres!$A$1:$I$89,3,0)*0.475*44/12</f>
        <v>4.4981656220270283E-2</v>
      </c>
      <c r="AB177" s="23">
        <f>EXP(-LN(2)/2)*AB176+(1-EXP(-LN(2)/2))/(LN(2)/2)*V177*Y177*VLOOKUP('Données projet'!$B$9,Paramètres!$A$1:$I$89,3,0)*0.475*44/12</f>
        <v>1.1676564865063735E-21</v>
      </c>
      <c r="AC177" s="24">
        <f t="shared" si="163"/>
        <v>8.9511389402708738E-2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293.33333333333439</v>
      </c>
      <c r="AN177" s="62">
        <f ca="1">AVERAGE(OFFSET($AM$3,0,0,'Données projet'!$E$10+1,1))-AVERAGE(OFFSET($H$3,0,0,'Données projet'!$E$10+1,1))</f>
        <v>206.5885410269899</v>
      </c>
      <c r="AO177" s="62">
        <f t="shared" si="144"/>
        <v>347.41156847586302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-1.4210854715202004E-13</v>
      </c>
      <c r="O178" s="14">
        <f>N178*VLOOKUP('Données projet'!$B$9,Paramètres!$A$1:$I$89,3,0)*VLOOKUP('Données projet'!$B$9,Paramètres!$A$1:$I$89,5,0)</f>
        <v>-1.1527845344971866E-13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214.30779675250909</v>
      </c>
      <c r="T178" s="62">
        <f t="shared" si="142"/>
        <v>172.9006610021255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4.3656532275186205E-2</v>
      </c>
      <c r="AA178" s="23">
        <f>EXP(-LN(2)/25)*AA177+(1-EXP(-LN(2)/25))/(LN(2)/25)*Calculateur!V178*Calculateur!X178*VLOOKUP('Données projet'!$B$9,Paramètres!$A$1:$I$89,3,0)*0.475*44/12</f>
        <v>4.3751630465444495E-2</v>
      </c>
      <c r="AB178" s="23">
        <f>EXP(-LN(2)/2)*AB177+(1-EXP(-LN(2)/2))/(LN(2)/2)*V178*Y178*VLOOKUP('Données projet'!$B$9,Paramètres!$A$1:$I$89,3,0)*0.475*44/12</f>
        <v>8.2565781970511515E-22</v>
      </c>
      <c r="AC178" s="24">
        <f t="shared" si="163"/>
        <v>8.7408162740630707E-2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293.33333333333439</v>
      </c>
      <c r="AN178" s="62">
        <f ca="1">AVERAGE(OFFSET($AM$3,0,0,'Données projet'!$E$10+1,1))-AVERAGE(OFFSET($H$3,0,0,'Données projet'!$E$10+1,1))</f>
        <v>206.5885410269899</v>
      </c>
      <c r="AO178" s="62">
        <f t="shared" si="144"/>
        <v>347.41156847586302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-1.4210854715202004E-13</v>
      </c>
      <c r="O179" s="14">
        <f>N179*VLOOKUP('Données projet'!$B$9,Paramètres!$A$1:$I$89,3,0)*VLOOKUP('Données projet'!$B$9,Paramètres!$A$1:$I$89,5,0)</f>
        <v>-1.1527845344971866E-13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214.30779675250909</v>
      </c>
      <c r="T179" s="62">
        <f t="shared" si="142"/>
        <v>172.9006610021255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4.2800454305125211E-2</v>
      </c>
      <c r="AA179" s="23">
        <f>EXP(-LN(2)/25)*AA178+(1-EXP(-LN(2)/25))/(LN(2)/25)*Calculateur!V179*Calculateur!X179*VLOOKUP('Données projet'!$B$9,Paramètres!$A$1:$I$89,3,0)*0.475*44/12</f>
        <v>4.2555239829568665E-2</v>
      </c>
      <c r="AB179" s="23">
        <f>EXP(-LN(2)/2)*AB178+(1-EXP(-LN(2)/2))/(LN(2)/2)*V179*Y179*VLOOKUP('Données projet'!$B$9,Paramètres!$A$1:$I$89,3,0)*0.475*44/12</f>
        <v>5.8382824325318684E-22</v>
      </c>
      <c r="AC179" s="24">
        <f t="shared" si="163"/>
        <v>8.5355694134693877E-2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293.33333333333439</v>
      </c>
      <c r="AN179" s="62">
        <f ca="1">AVERAGE(OFFSET($AM$3,0,0,'Données projet'!$E$10+1,1))-AVERAGE(OFFSET($H$3,0,0,'Données projet'!$E$10+1,1))</f>
        <v>206.5885410269899</v>
      </c>
      <c r="AO179" s="62">
        <f t="shared" si="144"/>
        <v>347.41156847586302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-1.4210854715202004E-13</v>
      </c>
      <c r="O180" s="14">
        <f>N180*VLOOKUP('Données projet'!$B$9,Paramètres!$A$1:$I$89,3,0)*VLOOKUP('Données projet'!$B$9,Paramètres!$A$1:$I$89,5,0)</f>
        <v>-1.1527845344971866E-13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214.30779675250909</v>
      </c>
      <c r="T180" s="62">
        <f t="shared" si="142"/>
        <v>172.9006610021255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4.1961163501901107E-2</v>
      </c>
      <c r="AA180" s="23">
        <f>EXP(-LN(2)/25)*AA179+(1-EXP(-LN(2)/25))/(LN(2)/25)*Calculateur!V180*Calculateur!X180*VLOOKUP('Données projet'!$B$9,Paramètres!$A$1:$I$89,3,0)*0.475*44/12</f>
        <v>4.1391564558546312E-2</v>
      </c>
      <c r="AB180" s="23">
        <f>EXP(-LN(2)/2)*AB179+(1-EXP(-LN(2)/2))/(LN(2)/2)*V180*Y180*VLOOKUP('Données projet'!$B$9,Paramètres!$A$1:$I$89,3,0)*0.475*44/12</f>
        <v>4.1282890985255767E-22</v>
      </c>
      <c r="AC180" s="24">
        <f t="shared" si="163"/>
        <v>8.3352728060447412E-2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293.33333333333439</v>
      </c>
      <c r="AN180" s="62">
        <f ca="1">AVERAGE(OFFSET($AM$3,0,0,'Données projet'!$E$10+1,1))-AVERAGE(OFFSET($H$3,0,0,'Données projet'!$E$10+1,1))</f>
        <v>206.5885410269899</v>
      </c>
      <c r="AO180" s="62">
        <f t="shared" si="144"/>
        <v>347.41156847586302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-1.4210854715202004E-13</v>
      </c>
      <c r="O181" s="14">
        <f>N181*VLOOKUP('Données projet'!$B$9,Paramètres!$A$1:$I$89,3,0)*VLOOKUP('Données projet'!$B$9,Paramètres!$A$1:$I$89,5,0)</f>
        <v>-1.1527845344971866E-13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214.30779675250909</v>
      </c>
      <c r="T181" s="62">
        <f t="shared" si="142"/>
        <v>172.9006610021255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4.1138330679411389E-2</v>
      </c>
      <c r="AA181" s="23">
        <f>EXP(-LN(2)/25)*AA180+(1-EXP(-LN(2)/25))/(LN(2)/25)*Calculateur!V181*Calculateur!X181*VLOOKUP('Données projet'!$B$9,Paramètres!$A$1:$I$89,3,0)*0.475*44/12</f>
        <v>4.0259710049005082E-2</v>
      </c>
      <c r="AB181" s="23">
        <f>EXP(-LN(2)/2)*AB180+(1-EXP(-LN(2)/2))/(LN(2)/2)*V181*Y181*VLOOKUP('Données projet'!$B$9,Paramètres!$A$1:$I$89,3,0)*0.475*44/12</f>
        <v>2.9191412162659347E-22</v>
      </c>
      <c r="AC181" s="24">
        <f t="shared" si="163"/>
        <v>8.1398040728416471E-2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293.33333333333439</v>
      </c>
      <c r="AN181" s="62">
        <f ca="1">AVERAGE(OFFSET($AM$3,0,0,'Données projet'!$E$10+1,1))-AVERAGE(OFFSET($H$3,0,0,'Données projet'!$E$10+1,1))</f>
        <v>206.5885410269899</v>
      </c>
      <c r="AO181" s="62">
        <f t="shared" si="144"/>
        <v>347.41156847586302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-1.4210854715202004E-13</v>
      </c>
      <c r="O182" s="14">
        <f>N182*VLOOKUP('Données projet'!$B$9,Paramètres!$A$1:$I$89,3,0)*VLOOKUP('Données projet'!$B$9,Paramètres!$A$1:$I$89,5,0)</f>
        <v>-1.1527845344971866E-13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214.30779675250909</v>
      </c>
      <c r="T182" s="62">
        <f t="shared" si="142"/>
        <v>172.9006610021255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4.0331633106692223E-2</v>
      </c>
      <c r="AA182" s="23">
        <f>EXP(-LN(2)/25)*AA181+(1-EXP(-LN(2)/25))/(LN(2)/25)*Calculateur!V182*Calculateur!X182*VLOOKUP('Données projet'!$B$9,Paramètres!$A$1:$I$89,3,0)*0.475*44/12</f>
        <v>3.9158806160548898E-2</v>
      </c>
      <c r="AB182" s="23">
        <f>EXP(-LN(2)/2)*AB181+(1-EXP(-LN(2)/2))/(LN(2)/2)*V182*Y182*VLOOKUP('Données projet'!$B$9,Paramètres!$A$1:$I$89,3,0)*0.475*44/12</f>
        <v>2.0641445492627886E-22</v>
      </c>
      <c r="AC182" s="24">
        <f t="shared" si="163"/>
        <v>7.9490439267241114E-2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293.33333333333439</v>
      </c>
      <c r="AN182" s="62">
        <f ca="1">AVERAGE(OFFSET($AM$3,0,0,'Données projet'!$E$10+1,1))-AVERAGE(OFFSET($H$3,0,0,'Données projet'!$E$10+1,1))</f>
        <v>206.5885410269899</v>
      </c>
      <c r="AO182" s="62">
        <f t="shared" si="144"/>
        <v>347.41156847586302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-1.4210854715202004E-13</v>
      </c>
      <c r="O183" s="14">
        <f>N183*VLOOKUP('Données projet'!$B$9,Paramètres!$A$1:$I$89,3,0)*VLOOKUP('Données projet'!$B$9,Paramètres!$A$1:$I$89,5,0)</f>
        <v>-1.1527845344971866E-13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214.30779675250909</v>
      </c>
      <c r="T183" s="62">
        <f t="shared" si="142"/>
        <v>172.9006610021255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3.9540754381337147E-2</v>
      </c>
      <c r="AA183" s="23">
        <f>EXP(-LN(2)/25)*AA182+(1-EXP(-LN(2)/25))/(LN(2)/25)*Calculateur!V183*Calculateur!X183*VLOOKUP('Données projet'!$B$9,Paramètres!$A$1:$I$89,3,0)*0.475*44/12</f>
        <v>3.8088006546816572E-2</v>
      </c>
      <c r="AB183" s="23">
        <f>EXP(-LN(2)/2)*AB182+(1-EXP(-LN(2)/2))/(LN(2)/2)*V183*Y183*VLOOKUP('Données projet'!$B$9,Paramètres!$A$1:$I$89,3,0)*0.475*44/12</f>
        <v>1.4595706081329676E-22</v>
      </c>
      <c r="AC183" s="24">
        <f t="shared" si="163"/>
        <v>7.7628760928153712E-2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293.33333333333439</v>
      </c>
      <c r="AN183" s="62">
        <f ca="1">AVERAGE(OFFSET($AM$3,0,0,'Données projet'!$E$10+1,1))-AVERAGE(OFFSET($H$3,0,0,'Données projet'!$E$10+1,1))</f>
        <v>206.5885410269899</v>
      </c>
      <c r="AO183" s="62">
        <f t="shared" si="144"/>
        <v>347.41156847586302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-1.4210854715202004E-13</v>
      </c>
      <c r="O184" s="14">
        <f>N184*VLOOKUP('Données projet'!$B$9,Paramètres!$A$1:$I$89,3,0)*VLOOKUP('Données projet'!$B$9,Paramètres!$A$1:$I$89,5,0)</f>
        <v>-1.1527845344971866E-13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214.30779675250909</v>
      </c>
      <c r="T184" s="62">
        <f t="shared" si="142"/>
        <v>172.9006610021255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3.8765384305397894E-2</v>
      </c>
      <c r="AA184" s="23">
        <f>EXP(-LN(2)/25)*AA183+(1-EXP(-LN(2)/25))/(LN(2)/25)*Calculateur!V184*Calculateur!X184*VLOOKUP('Données projet'!$B$9,Paramètres!$A$1:$I$89,3,0)*0.475*44/12</f>
        <v>3.7046488004832658E-2</v>
      </c>
      <c r="AB184" s="23">
        <f>EXP(-LN(2)/2)*AB183+(1-EXP(-LN(2)/2))/(LN(2)/2)*V184*Y184*VLOOKUP('Données projet'!$B$9,Paramètres!$A$1:$I$89,3,0)*0.475*44/12</f>
        <v>1.0320722746313945E-22</v>
      </c>
      <c r="AC184" s="24">
        <f t="shared" si="163"/>
        <v>7.5811872310230552E-2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293.33333333333439</v>
      </c>
      <c r="AN184" s="62">
        <f ca="1">AVERAGE(OFFSET($AM$3,0,0,'Données projet'!$E$10+1,1))-AVERAGE(OFFSET($H$3,0,0,'Données projet'!$E$10+1,1))</f>
        <v>206.5885410269899</v>
      </c>
      <c r="AO184" s="62">
        <f t="shared" si="144"/>
        <v>347.41156847586302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-1.4210854715202004E-13</v>
      </c>
      <c r="O185" s="14">
        <f>N185*VLOOKUP('Données projet'!$B$9,Paramètres!$A$1:$I$89,3,0)*VLOOKUP('Données projet'!$B$9,Paramètres!$A$1:$I$89,5,0)</f>
        <v>-1.1527845344971866E-13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214.30779675250909</v>
      </c>
      <c r="T185" s="62">
        <f t="shared" si="142"/>
        <v>172.9006610021255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3.8005218763718762E-2</v>
      </c>
      <c r="AA185" s="23">
        <f>EXP(-LN(2)/25)*AA184+(1-EXP(-LN(2)/25))/(LN(2)/25)*Calculateur!V185*Calculateur!X185*VLOOKUP('Données projet'!$B$9,Paramètres!$A$1:$I$89,3,0)*0.475*44/12</f>
        <v>3.6033449842150372E-2</v>
      </c>
      <c r="AB185" s="23">
        <f>EXP(-LN(2)/2)*AB184+(1-EXP(-LN(2)/2))/(LN(2)/2)*V185*Y185*VLOOKUP('Données projet'!$B$9,Paramètres!$A$1:$I$89,3,0)*0.475*44/12</f>
        <v>7.297853040664839E-23</v>
      </c>
      <c r="AC185" s="24">
        <f t="shared" si="163"/>
        <v>7.4038668605869135E-2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293.33333333333439</v>
      </c>
      <c r="AN185" s="62">
        <f ca="1">AVERAGE(OFFSET($AM$3,0,0,'Données projet'!$E$10+1,1))-AVERAGE(OFFSET($H$3,0,0,'Données projet'!$E$10+1,1))</f>
        <v>206.5885410269899</v>
      </c>
      <c r="AO185" s="62">
        <f t="shared" si="144"/>
        <v>347.41156847586302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-1.4210854715202004E-13</v>
      </c>
      <c r="O186" s="14">
        <f>N186*VLOOKUP('Données projet'!$B$9,Paramètres!$A$1:$I$89,3,0)*VLOOKUP('Données projet'!$B$9,Paramètres!$A$1:$I$89,5,0)</f>
        <v>-1.1527845344971866E-13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214.30779675250909</v>
      </c>
      <c r="T186" s="62">
        <f t="shared" si="142"/>
        <v>172.9006610021255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3.7259959604656757E-2</v>
      </c>
      <c r="AA186" s="23">
        <f>EXP(-LN(2)/25)*AA185+(1-EXP(-LN(2)/25))/(LN(2)/25)*Calculateur!V186*Calculateur!X186*VLOOKUP('Données projet'!$B$9,Paramètres!$A$1:$I$89,3,0)*0.475*44/12</f>
        <v>3.5048113261300001E-2</v>
      </c>
      <c r="AB186" s="23">
        <f>EXP(-LN(2)/2)*AB185+(1-EXP(-LN(2)/2))/(LN(2)/2)*V186*Y186*VLOOKUP('Données projet'!$B$9,Paramètres!$A$1:$I$89,3,0)*0.475*44/12</f>
        <v>5.1603613731569732E-23</v>
      </c>
      <c r="AC186" s="24">
        <f t="shared" si="163"/>
        <v>7.2308072865956752E-2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293.33333333333439</v>
      </c>
      <c r="AN186" s="62">
        <f ca="1">AVERAGE(OFFSET($AM$3,0,0,'Données projet'!$E$10+1,1))-AVERAGE(OFFSET($H$3,0,0,'Données projet'!$E$10+1,1))</f>
        <v>206.5885410269899</v>
      </c>
      <c r="AO186" s="62">
        <f t="shared" si="144"/>
        <v>347.41156847586302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-1.4210854715202004E-13</v>
      </c>
      <c r="O187" s="14">
        <f>N187*VLOOKUP('Données projet'!$B$9,Paramètres!$A$1:$I$89,3,0)*VLOOKUP('Données projet'!$B$9,Paramètres!$A$1:$I$89,5,0)</f>
        <v>-1.1527845344971866E-13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214.30779675250909</v>
      </c>
      <c r="T187" s="62">
        <f t="shared" si="142"/>
        <v>172.9006610021255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3.652931452314076E-2</v>
      </c>
      <c r="AA187" s="23">
        <f>EXP(-LN(2)/25)*AA186+(1-EXP(-LN(2)/25))/(LN(2)/25)*Calculateur!V187*Calculateur!X187*VLOOKUP('Données projet'!$B$9,Paramètres!$A$1:$I$89,3,0)*0.475*44/12</f>
        <v>3.4089720761069579E-2</v>
      </c>
      <c r="AB187" s="23">
        <f>EXP(-LN(2)/2)*AB186+(1-EXP(-LN(2)/2))/(LN(2)/2)*V187*Y187*VLOOKUP('Données projet'!$B$9,Paramètres!$A$1:$I$89,3,0)*0.475*44/12</f>
        <v>3.6489265203324201E-23</v>
      </c>
      <c r="AC187" s="24">
        <f t="shared" si="163"/>
        <v>7.0619035284210346E-2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293.33333333333439</v>
      </c>
      <c r="AN187" s="62">
        <f ca="1">AVERAGE(OFFSET($AM$3,0,0,'Données projet'!$E$10+1,1))-AVERAGE(OFFSET($H$3,0,0,'Données projet'!$E$10+1,1))</f>
        <v>206.5885410269899</v>
      </c>
      <c r="AO187" s="62">
        <f t="shared" si="144"/>
        <v>347.41156847586302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-1.4210854715202004E-13</v>
      </c>
      <c r="O188" s="14">
        <f>N188*VLOOKUP('Données projet'!$B$9,Paramètres!$A$1:$I$89,3,0)*VLOOKUP('Données projet'!$B$9,Paramètres!$A$1:$I$89,5,0)</f>
        <v>-1.1527845344971866E-13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214.30779675250909</v>
      </c>
      <c r="T188" s="62">
        <f t="shared" si="142"/>
        <v>172.9006610021255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3.5812996946023794E-2</v>
      </c>
      <c r="AA188" s="23">
        <f>EXP(-LN(2)/25)*AA187+(1-EXP(-LN(2)/25))/(LN(2)/25)*Calculateur!V188*Calculateur!X188*VLOOKUP('Données projet'!$B$9,Paramètres!$A$1:$I$89,3,0)*0.475*44/12</f>
        <v>3.3157535554157631E-2</v>
      </c>
      <c r="AB188" s="23">
        <f>EXP(-LN(2)/2)*AB187+(1-EXP(-LN(2)/2))/(LN(2)/2)*V188*Y188*VLOOKUP('Données projet'!$B$9,Paramètres!$A$1:$I$89,3,0)*0.475*44/12</f>
        <v>2.5801806865784869E-23</v>
      </c>
      <c r="AC188" s="24">
        <f t="shared" si="163"/>
        <v>6.8970532500181425E-2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293.33333333333439</v>
      </c>
      <c r="AN188" s="62">
        <f ca="1">AVERAGE(OFFSET($AM$3,0,0,'Données projet'!$E$10+1,1))-AVERAGE(OFFSET($H$3,0,0,'Données projet'!$E$10+1,1))</f>
        <v>206.5885410269899</v>
      </c>
      <c r="AO188" s="62">
        <f t="shared" si="144"/>
        <v>347.41156847586302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-1.4210854715202004E-13</v>
      </c>
      <c r="O189" s="14">
        <f>N189*VLOOKUP('Données projet'!$B$9,Paramètres!$A$1:$I$89,3,0)*VLOOKUP('Données projet'!$B$9,Paramètres!$A$1:$I$89,5,0)</f>
        <v>-1.1527845344971866E-13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214.30779675250909</v>
      </c>
      <c r="T189" s="62">
        <f t="shared" si="142"/>
        <v>172.9006610021255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3.5110725919683512E-2</v>
      </c>
      <c r="AA189" s="23">
        <f>EXP(-LN(2)/25)*AA188+(1-EXP(-LN(2)/25))/(LN(2)/25)*Calculateur!V189*Calculateur!X189*VLOOKUP('Données projet'!$B$9,Paramètres!$A$1:$I$89,3,0)*0.475*44/12</f>
        <v>3.225084100075018E-2</v>
      </c>
      <c r="AB189" s="23">
        <f>EXP(-LN(2)/2)*AB188+(1-EXP(-LN(2)/2))/(LN(2)/2)*V189*Y189*VLOOKUP('Données projet'!$B$9,Paramètres!$A$1:$I$89,3,0)*0.475*44/12</f>
        <v>1.8244632601662103E-23</v>
      </c>
      <c r="AC189" s="24">
        <f t="shared" si="163"/>
        <v>6.7361566920433685E-2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293.33333333333439</v>
      </c>
      <c r="AN189" s="62">
        <f ca="1">AVERAGE(OFFSET($AM$3,0,0,'Données projet'!$E$10+1,1))-AVERAGE(OFFSET($H$3,0,0,'Données projet'!$E$10+1,1))</f>
        <v>206.5885410269899</v>
      </c>
      <c r="AO189" s="62">
        <f t="shared" si="144"/>
        <v>347.41156847586302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-1.4210854715202004E-13</v>
      </c>
      <c r="O190" s="14">
        <f>N190*VLOOKUP('Données projet'!$B$9,Paramètres!$A$1:$I$89,3,0)*VLOOKUP('Données projet'!$B$9,Paramètres!$A$1:$I$89,5,0)</f>
        <v>-1.1527845344971866E-13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214.30779675250909</v>
      </c>
      <c r="T190" s="62">
        <f t="shared" si="142"/>
        <v>172.9006610021255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3.4422225999826729E-2</v>
      </c>
      <c r="AA190" s="23">
        <f>EXP(-LN(2)/25)*AA189+(1-EXP(-LN(2)/25))/(LN(2)/25)*Calculateur!V190*Calculateur!X190*VLOOKUP('Données projet'!$B$9,Paramètres!$A$1:$I$89,3,0)*0.475*44/12</f>
        <v>3.1368940057586649E-2</v>
      </c>
      <c r="AB190" s="23">
        <f>EXP(-LN(2)/2)*AB189+(1-EXP(-LN(2)/2))/(LN(2)/2)*V190*Y190*VLOOKUP('Données projet'!$B$9,Paramètres!$A$1:$I$89,3,0)*0.475*44/12</f>
        <v>1.2900903432892437E-23</v>
      </c>
      <c r="AC190" s="24">
        <f t="shared" si="163"/>
        <v>6.5791166057413378E-2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293.33333333333439</v>
      </c>
      <c r="AN190" s="62">
        <f ca="1">AVERAGE(OFFSET($AM$3,0,0,'Données projet'!$E$10+1,1))-AVERAGE(OFFSET($H$3,0,0,'Données projet'!$E$10+1,1))</f>
        <v>206.5885410269899</v>
      </c>
      <c r="AO190" s="62">
        <f t="shared" si="144"/>
        <v>347.41156847586302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-1.4210854715202004E-13</v>
      </c>
      <c r="O191" s="14">
        <f>N191*VLOOKUP('Données projet'!$B$9,Paramètres!$A$1:$I$89,3,0)*VLOOKUP('Données projet'!$B$9,Paramètres!$A$1:$I$89,5,0)</f>
        <v>-1.1527845344971866E-13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214.30779675250909</v>
      </c>
      <c r="T191" s="62">
        <f t="shared" si="142"/>
        <v>172.9006610021255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3.3747227143454857E-2</v>
      </c>
      <c r="AA191" s="23">
        <f>EXP(-LN(2)/25)*AA190+(1-EXP(-LN(2)/25))/(LN(2)/25)*Calculateur!V191*Calculateur!X191*VLOOKUP('Données projet'!$B$9,Paramètres!$A$1:$I$89,3,0)*0.475*44/12</f>
        <v>3.0511154742091078E-2</v>
      </c>
      <c r="AB191" s="23">
        <f>EXP(-LN(2)/2)*AB190+(1-EXP(-LN(2)/2))/(LN(2)/2)*V191*Y191*VLOOKUP('Données projet'!$B$9,Paramètres!$A$1:$I$89,3,0)*0.475*44/12</f>
        <v>9.1223163008310532E-24</v>
      </c>
      <c r="AC191" s="24">
        <f t="shared" si="163"/>
        <v>6.4258381885545932E-2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293.33333333333439</v>
      </c>
      <c r="AN191" s="62">
        <f ca="1">AVERAGE(OFFSET($AM$3,0,0,'Données projet'!$E$10+1,1))-AVERAGE(OFFSET($H$3,0,0,'Données projet'!$E$10+1,1))</f>
        <v>206.5885410269899</v>
      </c>
      <c r="AO191" s="62">
        <f t="shared" si="144"/>
        <v>347.41156847586302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-1.4210854715202004E-13</v>
      </c>
      <c r="O192" s="14">
        <f>N192*VLOOKUP('Données projet'!$B$9,Paramètres!$A$1:$I$89,3,0)*VLOOKUP('Données projet'!$B$9,Paramètres!$A$1:$I$89,5,0)</f>
        <v>-1.1527845344971866E-13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214.30779675250909</v>
      </c>
      <c r="T192" s="62">
        <f t="shared" si="142"/>
        <v>172.9006610021255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3.3085464602947784E-2</v>
      </c>
      <c r="AA192" s="23">
        <f>EXP(-LN(2)/25)*AA191+(1-EXP(-LN(2)/25))/(LN(2)/25)*Calculateur!V192*Calculateur!X192*VLOOKUP('Données projet'!$B$9,Paramètres!$A$1:$I$89,3,0)*0.475*44/12</f>
        <v>2.9676825611156706E-2</v>
      </c>
      <c r="AB192" s="23">
        <f>EXP(-LN(2)/2)*AB191+(1-EXP(-LN(2)/2))/(LN(2)/2)*V192*Y192*VLOOKUP('Données projet'!$B$9,Paramètres!$A$1:$I$89,3,0)*0.475*44/12</f>
        <v>6.4504517164462194E-24</v>
      </c>
      <c r="AC192" s="24">
        <f t="shared" si="163"/>
        <v>6.2762290214104482E-2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293.33333333333439</v>
      </c>
      <c r="AN192" s="62">
        <f ca="1">AVERAGE(OFFSET($AM$3,0,0,'Données projet'!$E$10+1,1))-AVERAGE(OFFSET($H$3,0,0,'Données projet'!$E$10+1,1))</f>
        <v>206.5885410269899</v>
      </c>
      <c r="AO192" s="62">
        <f t="shared" si="144"/>
        <v>347.41156847586302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-1.4210854715202004E-13</v>
      </c>
      <c r="O193" s="14">
        <f>N193*VLOOKUP('Données projet'!$B$9,Paramètres!$A$1:$I$89,3,0)*VLOOKUP('Données projet'!$B$9,Paramètres!$A$1:$I$89,5,0)</f>
        <v>-1.1527845344971866E-13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214.30779675250909</v>
      </c>
      <c r="T193" s="62">
        <f t="shared" si="142"/>
        <v>172.9006610021255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3.2436678822224764E-2</v>
      </c>
      <c r="AA193" s="23">
        <f>EXP(-LN(2)/25)*AA192+(1-EXP(-LN(2)/25))/(LN(2)/25)*Calculateur!V193*Calculateur!X193*VLOOKUP('Données projet'!$B$9,Paramètres!$A$1:$I$89,3,0)*0.475*44/12</f>
        <v>2.8865311254183193E-2</v>
      </c>
      <c r="AB193" s="23">
        <f>EXP(-LN(2)/2)*AB192+(1-EXP(-LN(2)/2))/(LN(2)/2)*V193*Y193*VLOOKUP('Données projet'!$B$9,Paramètres!$A$1:$I$89,3,0)*0.475*44/12</f>
        <v>4.5611581504155273E-24</v>
      </c>
      <c r="AC193" s="24">
        <f t="shared" si="163"/>
        <v>6.1301990076407957E-2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293.33333333333439</v>
      </c>
      <c r="AN193" s="62">
        <f ca="1">AVERAGE(OFFSET($AM$3,0,0,'Données projet'!$E$10+1,1))-AVERAGE(OFFSET($H$3,0,0,'Données projet'!$E$10+1,1))</f>
        <v>206.5885410269899</v>
      </c>
      <c r="AO193" s="62">
        <f t="shared" si="144"/>
        <v>347.41156847586302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-1.4210854715202004E-13</v>
      </c>
      <c r="O194" s="14">
        <f>N194*VLOOKUP('Données projet'!$B$9,Paramètres!$A$1:$I$89,3,0)*VLOOKUP('Données projet'!$B$9,Paramètres!$A$1:$I$89,5,0)</f>
        <v>-1.1527845344971866E-13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214.30779675250909</v>
      </c>
      <c r="T194" s="62">
        <f t="shared" si="142"/>
        <v>172.9006610021255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3.1800615334941468E-2</v>
      </c>
      <c r="AA194" s="23">
        <f>EXP(-LN(2)/25)*AA193+(1-EXP(-LN(2)/25))/(LN(2)/25)*Calculateur!V194*Calculateur!X194*VLOOKUP('Données projet'!$B$9,Paramètres!$A$1:$I$89,3,0)*0.475*44/12</f>
        <v>2.8075987799976807E-2</v>
      </c>
      <c r="AB194" s="23">
        <f>EXP(-LN(2)/2)*AB193+(1-EXP(-LN(2)/2))/(LN(2)/2)*V194*Y194*VLOOKUP('Données projet'!$B$9,Paramètres!$A$1:$I$89,3,0)*0.475*44/12</f>
        <v>3.2252258582231104E-24</v>
      </c>
      <c r="AC194" s="24">
        <f t="shared" si="163"/>
        <v>5.9876603134918271E-2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293.33333333333439</v>
      </c>
      <c r="AN194" s="62">
        <f ca="1">AVERAGE(OFFSET($AM$3,0,0,'Données projet'!$E$10+1,1))-AVERAGE(OFFSET($H$3,0,0,'Données projet'!$E$10+1,1))</f>
        <v>206.5885410269899</v>
      </c>
      <c r="AO194" s="62">
        <f t="shared" si="144"/>
        <v>347.41156847586302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-1.4210854715202004E-13</v>
      </c>
      <c r="O195" s="14">
        <f>N195*VLOOKUP('Données projet'!$B$9,Paramètres!$A$1:$I$89,3,0)*VLOOKUP('Données projet'!$B$9,Paramètres!$A$1:$I$89,5,0)</f>
        <v>-1.1527845344971866E-13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214.30779675250909</v>
      </c>
      <c r="T195" s="62">
        <f t="shared" si="142"/>
        <v>172.9006610021255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3.1177024664683379E-2</v>
      </c>
      <c r="AA195" s="23">
        <f>EXP(-LN(2)/25)*AA194+(1-EXP(-LN(2)/25))/(LN(2)/25)*Calculateur!V195*Calculateur!X195*VLOOKUP('Données projet'!$B$9,Paramètres!$A$1:$I$89,3,0)*0.475*44/12</f>
        <v>2.7308248437134412E-2</v>
      </c>
      <c r="AB195" s="23">
        <f>EXP(-LN(2)/2)*AB194+(1-EXP(-LN(2)/2))/(LN(2)/2)*V195*Y195*VLOOKUP('Données projet'!$B$9,Paramètres!$A$1:$I$89,3,0)*0.475*44/12</f>
        <v>2.280579075207764E-24</v>
      </c>
      <c r="AC195" s="24">
        <f t="shared" si="163"/>
        <v>5.8485273101817795E-2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293.33333333333439</v>
      </c>
      <c r="AN195" s="62">
        <f ca="1">AVERAGE(OFFSET($AM$3,0,0,'Données projet'!$E$10+1,1))-AVERAGE(OFFSET($H$3,0,0,'Données projet'!$E$10+1,1))</f>
        <v>206.5885410269899</v>
      </c>
      <c r="AO195" s="62">
        <f t="shared" si="144"/>
        <v>347.41156847586302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-1.4210854715202004E-13</v>
      </c>
      <c r="O196" s="14">
        <f>N196*VLOOKUP('Données projet'!$B$9,Paramètres!$A$1:$I$89,3,0)*VLOOKUP('Données projet'!$B$9,Paramètres!$A$1:$I$89,5,0)</f>
        <v>-1.1527845344971866E-13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214.30779675250909</v>
      </c>
      <c r="T196" s="62">
        <f t="shared" si="142"/>
        <v>172.9006610021255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3.0565662227116298E-2</v>
      </c>
      <c r="AA196" s="23">
        <f>EXP(-LN(2)/25)*AA195+(1-EXP(-LN(2)/25))/(LN(2)/25)*Calculateur!V196*Calculateur!X196*VLOOKUP('Données projet'!$B$9,Paramètres!$A$1:$I$89,3,0)*0.475*44/12</f>
        <v>2.6561502947542601E-2</v>
      </c>
      <c r="AB196" s="23">
        <f>EXP(-LN(2)/2)*AB195+(1-EXP(-LN(2)/2))/(LN(2)/2)*V196*Y196*VLOOKUP('Données projet'!$B$9,Paramètres!$A$1:$I$89,3,0)*0.475*44/12</f>
        <v>1.6126129291115554E-24</v>
      </c>
      <c r="AC196" s="24">
        <f t="shared" si="163"/>
        <v>5.7127165174658899E-2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293.33333333333439</v>
      </c>
      <c r="AN196" s="62">
        <f ca="1">AVERAGE(OFFSET($AM$3,0,0,'Données projet'!$E$10+1,1))-AVERAGE(OFFSET($H$3,0,0,'Données projet'!$E$10+1,1))</f>
        <v>206.5885410269899</v>
      </c>
      <c r="AO196" s="62">
        <f t="shared" si="144"/>
        <v>347.41156847586302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-1.4210854715202004E-13</v>
      </c>
      <c r="O197" s="14">
        <f>N197*VLOOKUP('Données projet'!$B$9,Paramètres!$A$1:$I$89,3,0)*VLOOKUP('Données projet'!$B$9,Paramètres!$A$1:$I$89,5,0)</f>
        <v>-1.1527845344971866E-13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214.30779675250909</v>
      </c>
      <c r="T197" s="62">
        <f t="shared" ref="T197:T203" si="204">$T$3</f>
        <v>172.9006610021255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2.9966288234055644E-2</v>
      </c>
      <c r="AA197" s="23">
        <f>EXP(-LN(2)/25)*AA196+(1-EXP(-LN(2)/25))/(LN(2)/25)*Calculateur!V197*Calculateur!X197*VLOOKUP('Données projet'!$B$9,Paramètres!$A$1:$I$89,3,0)*0.475*44/12</f>
        <v>2.5835177252633314E-2</v>
      </c>
      <c r="AB197" s="23">
        <f>EXP(-LN(2)/2)*AB196+(1-EXP(-LN(2)/2))/(LN(2)/2)*V197*Y197*VLOOKUP('Données projet'!$B$9,Paramètres!$A$1:$I$89,3,0)*0.475*44/12</f>
        <v>1.1402895376038822E-24</v>
      </c>
      <c r="AC197" s="24">
        <f t="shared" si="163"/>
        <v>5.5801465486688961E-2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293.33333333333439</v>
      </c>
      <c r="AN197" s="62">
        <f ca="1">AVERAGE(OFFSET($AM$3,0,0,'Données projet'!$E$10+1,1))-AVERAGE(OFFSET($H$3,0,0,'Données projet'!$E$10+1,1))</f>
        <v>206.5885410269899</v>
      </c>
      <c r="AO197" s="62">
        <f t="shared" ref="AO197:AO203" si="205">$AO$3</f>
        <v>347.41156847586302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-1.4210854715202004E-13</v>
      </c>
      <c r="O198" s="14">
        <f>N198*VLOOKUP('Données projet'!$B$9,Paramètres!$A$1:$I$89,3,0)*VLOOKUP('Données projet'!$B$9,Paramètres!$A$1:$I$89,5,0)</f>
        <v>-1.1527845344971866E-13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214.30779675250909</v>
      </c>
      <c r="T198" s="62">
        <f t="shared" si="204"/>
        <v>172.9006610021255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2.9378667599416868E-2</v>
      </c>
      <c r="AA198" s="23">
        <f>EXP(-LN(2)/25)*AA197+(1-EXP(-LN(2)/25))/(LN(2)/25)*Calculateur!V198*Calculateur!X198*VLOOKUP('Données projet'!$B$9,Paramètres!$A$1:$I$89,3,0)*0.475*44/12</f>
        <v>2.5128712972047131E-2</v>
      </c>
      <c r="AB198" s="23">
        <f>EXP(-LN(2)/2)*AB197+(1-EXP(-LN(2)/2))/(LN(2)/2)*V198*Y198*VLOOKUP('Données projet'!$B$9,Paramètres!$A$1:$I$89,3,0)*0.475*44/12</f>
        <v>8.063064645557778E-25</v>
      </c>
      <c r="AC198" s="24">
        <f t="shared" si="163"/>
        <v>5.4507380571463995E-2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293.33333333333439</v>
      </c>
      <c r="AN198" s="62">
        <f ca="1">AVERAGE(OFFSET($AM$3,0,0,'Données projet'!$E$10+1,1))-AVERAGE(OFFSET($H$3,0,0,'Données projet'!$E$10+1,1))</f>
        <v>206.5885410269899</v>
      </c>
      <c r="AO198" s="62">
        <f t="shared" si="205"/>
        <v>347.41156847586302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-1.4210854715202004E-13</v>
      </c>
      <c r="O199" s="14">
        <f>N199*VLOOKUP('Données projet'!$B$9,Paramètres!$A$1:$I$89,3,0)*VLOOKUP('Données projet'!$B$9,Paramètres!$A$1:$I$89,5,0)</f>
        <v>-1.1527845344971866E-13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214.30779675250909</v>
      </c>
      <c r="T199" s="62">
        <f t="shared" si="204"/>
        <v>172.9006610021255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2.8802569847010163E-2</v>
      </c>
      <c r="AA199" s="23">
        <f>EXP(-LN(2)/25)*AA198+(1-EXP(-LN(2)/25))/(LN(2)/25)*Calculateur!V199*Calculateur!X199*VLOOKUP('Données projet'!$B$9,Paramètres!$A$1:$I$89,3,0)*0.475*44/12</f>
        <v>2.4441566994364918E-2</v>
      </c>
      <c r="AB199" s="23">
        <f>EXP(-LN(2)/2)*AB198+(1-EXP(-LN(2)/2))/(LN(2)/2)*V199*Y199*VLOOKUP('Données projet'!$B$9,Paramètres!$A$1:$I$89,3,0)*0.475*44/12</f>
        <v>5.7014476880194119E-25</v>
      </c>
      <c r="AC199" s="24">
        <f t="shared" si="163"/>
        <v>5.3244136841375078E-2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293.33333333333439</v>
      </c>
      <c r="AN199" s="62">
        <f ca="1">AVERAGE(OFFSET($AM$3,0,0,'Données projet'!$E$10+1,1))-AVERAGE(OFFSET($H$3,0,0,'Données projet'!$E$10+1,1))</f>
        <v>206.5885410269899</v>
      </c>
      <c r="AO199" s="62">
        <f t="shared" si="205"/>
        <v>347.41156847586302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-1.4210854715202004E-13</v>
      </c>
      <c r="O200" s="14">
        <f>N200*VLOOKUP('Données projet'!$B$9,Paramètres!$A$1:$I$89,3,0)*VLOOKUP('Données projet'!$B$9,Paramètres!$A$1:$I$89,5,0)</f>
        <v>-1.1527845344971866E-13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214.30779675250909</v>
      </c>
      <c r="T200" s="62">
        <f t="shared" si="204"/>
        <v>172.9006610021255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2.823776902014322E-2</v>
      </c>
      <c r="AA200" s="23">
        <f>EXP(-LN(2)/25)*AA199+(1-EXP(-LN(2)/25))/(LN(2)/25)*Calculateur!V200*Calculateur!X200*VLOOKUP('Données projet'!$B$9,Paramètres!$A$1:$I$89,3,0)*0.475*44/12</f>
        <v>2.3773211059577862E-2</v>
      </c>
      <c r="AB200" s="23">
        <f>EXP(-LN(2)/2)*AB199+(1-EXP(-LN(2)/2))/(LN(2)/2)*V200*Y200*VLOOKUP('Données projet'!$B$9,Paramètres!$A$1:$I$89,3,0)*0.475*44/12</f>
        <v>4.0315323227788899E-25</v>
      </c>
      <c r="AC200" s="24">
        <f t="shared" si="163"/>
        <v>5.2010980079721082E-2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293.33333333333439</v>
      </c>
      <c r="AN200" s="62">
        <f ca="1">AVERAGE(OFFSET($AM$3,0,0,'Données projet'!$E$10+1,1))-AVERAGE(OFFSET($H$3,0,0,'Données projet'!$E$10+1,1))</f>
        <v>206.5885410269899</v>
      </c>
      <c r="AO200" s="62">
        <f t="shared" si="205"/>
        <v>347.41156847586302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-1.4210854715202004E-13</v>
      </c>
      <c r="O201" s="14">
        <f>N201*VLOOKUP('Données projet'!$B$9,Paramètres!$A$1:$I$89,3,0)*VLOOKUP('Données projet'!$B$9,Paramètres!$A$1:$I$89,5,0)</f>
        <v>-1.1527845344971866E-13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214.30779675250909</v>
      </c>
      <c r="T201" s="62">
        <f t="shared" si="204"/>
        <v>172.9006610021255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2.768404359299665E-2</v>
      </c>
      <c r="AA201" s="23">
        <f>EXP(-LN(2)/25)*AA200+(1-EXP(-LN(2)/25))/(LN(2)/25)*Calculateur!V201*Calculateur!X201*VLOOKUP('Données projet'!$B$9,Paramètres!$A$1:$I$89,3,0)*0.475*44/12</f>
        <v>2.312313135297487E-2</v>
      </c>
      <c r="AB201" s="23">
        <f>EXP(-LN(2)/2)*AB200+(1-EXP(-LN(2)/2))/(LN(2)/2)*V201*Y201*VLOOKUP('Données projet'!$B$9,Paramètres!$A$1:$I$89,3,0)*0.475*44/12</f>
        <v>2.8507238440097064E-25</v>
      </c>
      <c r="AC201" s="24">
        <f t="shared" si="163"/>
        <v>5.080717494597152E-2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293.33333333333439</v>
      </c>
      <c r="AN201" s="62">
        <f ca="1">AVERAGE(OFFSET($AM$3,0,0,'Données projet'!$E$10+1,1))-AVERAGE(OFFSET($H$3,0,0,'Données projet'!$E$10+1,1))</f>
        <v>206.5885410269899</v>
      </c>
      <c r="AO201" s="62">
        <f t="shared" si="205"/>
        <v>347.41156847586302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-1.4210854715202004E-13</v>
      </c>
      <c r="O202" s="14">
        <f>N202*VLOOKUP('Données projet'!$B$9,Paramètres!$A$1:$I$89,3,0)*VLOOKUP('Données projet'!$B$9,Paramètres!$A$1:$I$89,5,0)</f>
        <v>-1.1527845344971866E-13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214.30779675250909</v>
      </c>
      <c r="T202" s="62">
        <f t="shared" si="204"/>
        <v>172.9006610021255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2.7141176383737264E-2</v>
      </c>
      <c r="AA202" s="23">
        <f>EXP(-LN(2)/25)*AA201+(1-EXP(-LN(2)/25))/(LN(2)/25)*Calculateur!V202*Calculateur!X202*VLOOKUP('Données projet'!$B$9,Paramètres!$A$1:$I$89,3,0)*0.475*44/12</f>
        <v>2.2490828110135141E-2</v>
      </c>
      <c r="AB202" s="23">
        <f>EXP(-LN(2)/2)*AB201+(1-EXP(-LN(2)/2))/(LN(2)/2)*V202*Y202*VLOOKUP('Données projet'!$B$9,Paramètres!$A$1:$I$89,3,0)*0.475*44/12</f>
        <v>2.0157661613894452E-25</v>
      </c>
      <c r="AC202" s="24">
        <f t="shared" si="163"/>
        <v>4.9632004493872409E-2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293.33333333333439</v>
      </c>
      <c r="AN202" s="62">
        <f ca="1">AVERAGE(OFFSET($AM$3,0,0,'Données projet'!$E$10+1,1))-AVERAGE(OFFSET($H$3,0,0,'Données projet'!$E$10+1,1))</f>
        <v>206.5885410269899</v>
      </c>
      <c r="AO202" s="62">
        <f t="shared" si="205"/>
        <v>347.41156847586302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-1.4210854715202004E-13</v>
      </c>
      <c r="O203" s="14">
        <f>N203*VLOOKUP('Données projet'!$B$9,Paramètres!$A$1:$I$89,3,0)*VLOOKUP('Données projet'!$B$9,Paramètres!$A$1:$I$89,5,0)</f>
        <v>-1.1527845344971866E-13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214.30779675250909</v>
      </c>
      <c r="T203" s="62">
        <f t="shared" si="204"/>
        <v>172.9006610021255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2.6608954469335151E-2</v>
      </c>
      <c r="AA203" s="23">
        <f>EXP(-LN(2)/25)*AA202+(1-EXP(-LN(2)/25))/(LN(2)/25)*Calculateur!V203*Calculateur!X203*VLOOKUP('Données projet'!$B$9,Paramètres!$A$1:$I$89,3,0)*0.475*44/12</f>
        <v>2.1875815232722248E-2</v>
      </c>
      <c r="AB203" s="23">
        <f>EXP(-LN(2)/2)*AB202+(1-EXP(-LN(2)/2))/(LN(2)/2)*V203*Y203*VLOOKUP('Données projet'!$B$9,Paramètres!$A$1:$I$89,3,0)*0.475*44/12</f>
        <v>1.4253619220048534E-25</v>
      </c>
      <c r="AC203" s="24">
        <f t="shared" si="163"/>
        <v>4.8484769702057395E-2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293.33333333333439</v>
      </c>
      <c r="AN203" s="62">
        <f ca="1">AVERAGE(OFFSET($AM$3,0,0,'Données projet'!$E$10+1,1))-AVERAGE(OFFSET($H$3,0,0,'Données projet'!$E$10+1,1))</f>
        <v>206.5885410269899</v>
      </c>
      <c r="AO203" s="62">
        <f t="shared" si="205"/>
        <v>347.41156847586302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1.2599210498948732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1" workbookViewId="0">
      <selection activeCell="F17" sqref="F17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Bouleau verruqueux</v>
      </c>
      <c r="B6" s="155">
        <f>'Données projet'!D9</f>
        <v>2</v>
      </c>
      <c r="C6" s="156">
        <f ca="1">IF(OR('Données projet'!B9="",'Données projet'!C9="",'Données projet'!C9=0%),0,Calculateur!S3)</f>
        <v>214.30779675250909</v>
      </c>
      <c r="D6" s="156">
        <f>IF(OR('Données projet'!B9="",'Données projet'!C9="",'Données projet'!C9=0%),0,Calculateur!T3)</f>
        <v>172.9006610021255</v>
      </c>
      <c r="E6" s="156">
        <f ca="1">MIN(C6,D6)</f>
        <v>172.9006610021255</v>
      </c>
      <c r="F6" s="156">
        <f ca="1">E6*B6</f>
        <v>345.80132200425101</v>
      </c>
      <c r="G6" s="156">
        <f ca="1">F6*(100%-'Données projet'!$C$24)*(100%-'Données projet'!$C$25)*(100%-'Données projet'!$C$26)*(100%-'Données projet'!$C$27)</f>
        <v>311.22118980382589</v>
      </c>
      <c r="H6" s="157">
        <f>IF(OR('Données projet'!B9="",'Données projet'!C9="",'Données projet'!C9=0%),0,AVERAGE(Calculateur!$AC$3:$AC$33)*B6)</f>
        <v>4.639863036303022</v>
      </c>
      <c r="I6" s="158">
        <f>H6*(100%-'Données projet'!$C$24)*(100%-'Données projet'!$C$25)*(100%-'Données projet'!$C$26)*(100%-'Données projet'!$C$27)</f>
        <v>4.1758767326727195</v>
      </c>
      <c r="J6" s="159">
        <f>IF(OR('Données projet'!B9="",'Données projet'!C9="",'Données projet'!C9=0%),0,SUM(Calculateur!$V$3:$V$33)*VLOOKUP('Données projet'!$B$9,Paramètres!$A$1:$I$89,9,0)*B6)</f>
        <v>18</v>
      </c>
      <c r="K6" s="160">
        <f>J6*(100%-'Données projet'!$C$24)*(100%-'Données projet'!$C$25)*(100%-'Données projet'!$C$26)*(100%-'Données projet'!$C$27)</f>
        <v>16.2</v>
      </c>
      <c r="L6" s="161">
        <f ca="1">G6+I6+K6</f>
        <v>331.59706653649863</v>
      </c>
      <c r="M6" s="25">
        <f ca="1">L6/B6</f>
        <v>165.79853326824932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maritime</v>
      </c>
      <c r="B7" s="163">
        <f>'Données projet'!D10</f>
        <v>8</v>
      </c>
      <c r="C7" s="156">
        <f ca="1">IF(OR('Données projet'!B10="",'Données projet'!C10="",'Données projet'!C10=0%),0,Calculateur!AN3)</f>
        <v>206.5885410269899</v>
      </c>
      <c r="D7" s="156">
        <f>IF(OR('Données projet'!B10="",'Données projet'!C10="",'Données projet'!C10=0%),0,Calculateur!AO3)</f>
        <v>347.41156847586302</v>
      </c>
      <c r="E7" s="156">
        <f t="shared" ref="E7:E15" ca="1" si="0">MIN(C7,D7)</f>
        <v>206.5885410269899</v>
      </c>
      <c r="F7" s="156">
        <f t="shared" ref="F7:F15" ca="1" si="1">E7*B7</f>
        <v>1652.7083282159192</v>
      </c>
      <c r="G7" s="156">
        <f ca="1">F7*(100%-'Données projet'!$C$24)*(100%-'Données projet'!$C$25)*(100%-'Données projet'!$C$26)*(100%-'Données projet'!$C$27)</f>
        <v>1487.4374953943272</v>
      </c>
      <c r="H7" s="164">
        <f>IF(OR('Données projet'!B10="",'Données projet'!C10="",'Données projet'!C10=0%),0,AVERAGE(Calculateur!$AX$3:$AX$33)*B7)</f>
        <v>65.496397410912635</v>
      </c>
      <c r="I7" s="158">
        <f>H7*(100%-'Données projet'!$C$24)*(100%-'Données projet'!$C$25)*(100%-'Données projet'!$C$26)*(100%-'Données projet'!$C$27)</f>
        <v>58.946757669821373</v>
      </c>
      <c r="J7" s="159">
        <f>IF(OR('Données projet'!B10="",'Données projet'!C10="",'Données projet'!C10=0%),0,SUM(Calculateur!$AQ$3:$AQ$33)*VLOOKUP('Données projet'!$B$10,Paramètres!$A$1:$I$89,9,0)*B7)</f>
        <v>514.48</v>
      </c>
      <c r="K7" s="160">
        <f>J7*(100%-'Données projet'!$C$24)*(100%-'Données projet'!$C$25)*(100%-'Données projet'!$C$26)*(100%-'Données projet'!$C$27)</f>
        <v>463.03200000000004</v>
      </c>
      <c r="L7" s="161">
        <f t="shared" ref="L7:L15" ca="1" si="2">G7+I7+K7</f>
        <v>2009.4162530641488</v>
      </c>
      <c r="M7" s="25">
        <f ca="1">L7/B7</f>
        <v>251.1770316330186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1998.5096502201702</v>
      </c>
      <c r="G16" s="175">
        <f t="shared" ca="1" si="3"/>
        <v>1798.6586851981531</v>
      </c>
      <c r="H16" s="176">
        <f t="shared" si="3"/>
        <v>70.136260447215662</v>
      </c>
      <c r="I16" s="176">
        <f t="shared" si="3"/>
        <v>63.122634402494093</v>
      </c>
      <c r="J16" s="177">
        <f t="shared" si="3"/>
        <v>532.48</v>
      </c>
      <c r="K16" s="177">
        <f t="shared" si="3"/>
        <v>479.23200000000003</v>
      </c>
      <c r="L16" s="178">
        <f t="shared" ca="1" si="3"/>
        <v>2341.0133196006473</v>
      </c>
      <c r="M16" s="25">
        <f ca="1">L16/6.42</f>
        <v>364.64381925243725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Bouleau verruqueux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1" zoomScale="90" zoomScaleNormal="90" workbookViewId="0">
      <selection activeCell="U20" sqref="U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Bouleau verruqueux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720.85787573761127</v>
      </c>
      <c r="U10" s="190">
        <f>'Données projet'!D9</f>
        <v>2</v>
      </c>
      <c r="V10" s="189">
        <f>U10*T10</f>
        <v>1441.7157514752225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3521.6688752814503</v>
      </c>
      <c r="U11" s="190">
        <f>'Données projet'!D10</f>
        <v>8</v>
      </c>
      <c r="V11" s="189">
        <f t="shared" ref="V11" si="0">U11*T11</f>
        <v>28173.351002251602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Bouleau verruqueux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f>(11956+17656)/10.3</f>
        <v>2874.9514563106795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10094/10.3</f>
        <v>979.99999999999989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980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15</v>
      </c>
      <c r="B23" s="193">
        <f>'Données projet'!D36</f>
        <v>9</v>
      </c>
      <c r="C23" s="206">
        <v>8</v>
      </c>
      <c r="D23" s="194">
        <f>B23*C23</f>
        <v>72</v>
      </c>
      <c r="E23" s="206"/>
      <c r="F23" s="261"/>
      <c r="H23" s="203">
        <v>3</v>
      </c>
      <c r="I23" s="204">
        <f>6566/10.3</f>
        <v>637.47572815533977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-33526.018844525999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20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4"/>
      <c r="H24" s="203">
        <v>4</v>
      </c>
      <c r="I24" s="204">
        <v>637</v>
      </c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9</v>
      </c>
      <c r="C25" s="206">
        <v>14</v>
      </c>
      <c r="D25" s="194">
        <f t="shared" si="2"/>
        <v>126</v>
      </c>
      <c r="E25" s="206"/>
      <c r="F25" s="264"/>
      <c r="G25" s="1"/>
      <c r="H25" s="203">
        <v>5</v>
      </c>
      <c r="I25" s="204">
        <v>637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8">
        <f ca="1">T23-T24</f>
        <v>-33526.018844525999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10</v>
      </c>
      <c r="C26" s="206">
        <v>18</v>
      </c>
      <c r="D26" s="194">
        <f t="shared" si="2"/>
        <v>180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35</v>
      </c>
      <c r="B27" s="193">
        <f>'Données projet'!D40</f>
        <v>10</v>
      </c>
      <c r="C27" s="206">
        <v>22</v>
      </c>
      <c r="D27" s="194">
        <f t="shared" si="2"/>
        <v>220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40</v>
      </c>
      <c r="B28" s="193">
        <f>'Données projet'!D41</f>
        <v>11</v>
      </c>
      <c r="C28" s="206">
        <v>26</v>
      </c>
      <c r="D28" s="194">
        <f t="shared" si="2"/>
        <v>286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45</v>
      </c>
      <c r="B29" s="193">
        <f>'Données projet'!D42</f>
        <v>11</v>
      </c>
      <c r="C29" s="206">
        <v>30</v>
      </c>
      <c r="D29" s="194">
        <f t="shared" si="2"/>
        <v>330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50</v>
      </c>
      <c r="B30" s="193">
        <f>'Données projet'!D43</f>
        <v>11</v>
      </c>
      <c r="C30" s="206">
        <v>34</v>
      </c>
      <c r="D30" s="194">
        <f t="shared" si="2"/>
        <v>374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55</v>
      </c>
      <c r="B31" s="193">
        <f>'Données projet'!D44</f>
        <v>11</v>
      </c>
      <c r="C31" s="206">
        <v>38</v>
      </c>
      <c r="D31" s="194">
        <f t="shared" si="2"/>
        <v>418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60</v>
      </c>
      <c r="B32" s="193">
        <f>'Données projet'!D45</f>
        <v>11</v>
      </c>
      <c r="C32" s="206">
        <v>42</v>
      </c>
      <c r="D32" s="194">
        <f t="shared" si="2"/>
        <v>462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65</v>
      </c>
      <c r="B33" s="193">
        <f>'Données projet'!D46</f>
        <v>11</v>
      </c>
      <c r="C33" s="206">
        <v>45</v>
      </c>
      <c r="D33" s="194">
        <f t="shared" si="2"/>
        <v>495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70</v>
      </c>
      <c r="B34" s="193">
        <f>'Données projet'!D47</f>
        <v>11</v>
      </c>
      <c r="C34" s="206">
        <v>48</v>
      </c>
      <c r="D34" s="194">
        <f t="shared" si="2"/>
        <v>528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75</v>
      </c>
      <c r="B35" s="193">
        <f>'Données projet'!D48</f>
        <v>11</v>
      </c>
      <c r="C35" s="206">
        <v>50</v>
      </c>
      <c r="D35" s="194">
        <f t="shared" si="2"/>
        <v>550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80</v>
      </c>
      <c r="B36" s="193">
        <f>'Données projet'!D49</f>
        <v>11</v>
      </c>
      <c r="C36" s="206">
        <v>52</v>
      </c>
      <c r="D36" s="194">
        <f t="shared" si="2"/>
        <v>572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85</v>
      </c>
      <c r="B37" s="193">
        <f>'Données projet'!D50</f>
        <v>10</v>
      </c>
      <c r="C37" s="206">
        <v>54</v>
      </c>
      <c r="D37" s="194">
        <f t="shared" si="2"/>
        <v>540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90</v>
      </c>
      <c r="B38" s="193">
        <f>'Données projet'!D51</f>
        <v>192</v>
      </c>
      <c r="C38" s="206">
        <v>56</v>
      </c>
      <c r="D38" s="194">
        <f t="shared" si="2"/>
        <v>10752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13</v>
      </c>
      <c r="B54" s="193">
        <f>'Données projet'!D62</f>
        <v>15</v>
      </c>
      <c r="C54" s="292">
        <v>15</v>
      </c>
      <c r="D54" s="191">
        <f>B54*C54</f>
        <v>225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19</v>
      </c>
      <c r="B55" s="193">
        <f>'Données projet'!D63</f>
        <v>40</v>
      </c>
      <c r="C55" s="292">
        <v>25</v>
      </c>
      <c r="D55" s="191">
        <f t="shared" ref="D55:D73" si="4">B55*C55</f>
        <v>1000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25</v>
      </c>
      <c r="B56" s="193">
        <f>'Données projet'!D64</f>
        <v>54</v>
      </c>
      <c r="C56" s="292">
        <v>30</v>
      </c>
      <c r="D56" s="191">
        <f t="shared" si="4"/>
        <v>1620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38</v>
      </c>
      <c r="B58" s="193">
        <f>'Données projet'!D66</f>
        <v>338</v>
      </c>
      <c r="C58" s="292">
        <v>45</v>
      </c>
      <c r="D58" s="191">
        <f t="shared" si="4"/>
        <v>15210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2025-02-26T10:39:10Z</dcterms:modified>
</cp:coreProperties>
</file>