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"/>
    </mc:Choice>
  </mc:AlternateContent>
  <xr:revisionPtr revIDLastSave="0" documentId="13_ncr:1_{47FAAD35-D7ED-4252-8D9B-F565F8E40DEE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88" i="2" l="1"/>
  <c r="AN100" i="2"/>
  <c r="AN92" i="2"/>
  <c r="AN140" i="2"/>
  <c r="AN76" i="2"/>
  <c r="AN159" i="2"/>
  <c r="AN202" i="2"/>
  <c r="AN66" i="2"/>
  <c r="AN23" i="2"/>
  <c r="AN105" i="2"/>
  <c r="AN10" i="2"/>
  <c r="AN127" i="2"/>
  <c r="AN77" i="2"/>
  <c r="AN160" i="2"/>
  <c r="AN28" i="2"/>
  <c r="AN187" i="2"/>
  <c r="AN53" i="2"/>
  <c r="AN7" i="2"/>
  <c r="AN52" i="2"/>
  <c r="AN151" i="2"/>
  <c r="AN173" i="2"/>
  <c r="AN118" i="2"/>
  <c r="AN5" i="2"/>
  <c r="AN9" i="2"/>
  <c r="AN107" i="2"/>
  <c r="AN172" i="2"/>
  <c r="AN68" i="2"/>
  <c r="AN84" i="2"/>
  <c r="AN198" i="2"/>
  <c r="AN93" i="2"/>
  <c r="AN112" i="2"/>
  <c r="AN108" i="2"/>
  <c r="AN164" i="2"/>
  <c r="AN30" i="2"/>
  <c r="AN67" i="2"/>
  <c r="AN70" i="2"/>
  <c r="AN138" i="2"/>
  <c r="AN149" i="2"/>
  <c r="AN11" i="2"/>
  <c r="AN4" i="2"/>
  <c r="AN156" i="2"/>
  <c r="AN145" i="2"/>
  <c r="AN78" i="2"/>
  <c r="AN181" i="2"/>
  <c r="AN104" i="2"/>
  <c r="AN31" i="2"/>
  <c r="AN170" i="2"/>
  <c r="AN16" i="2"/>
  <c r="AN120" i="2"/>
  <c r="AN18" i="2"/>
  <c r="AN58" i="2"/>
  <c r="AN22" i="2"/>
  <c r="AN40" i="2"/>
  <c r="AN180" i="2"/>
  <c r="AN116" i="2"/>
  <c r="AN99" i="2"/>
  <c r="AN69" i="2"/>
  <c r="AN79" i="2"/>
  <c r="AN191" i="2"/>
  <c r="AN102" i="2"/>
  <c r="AN115" i="2"/>
  <c r="AN132" i="2"/>
  <c r="AN98" i="2"/>
  <c r="AN24" i="2"/>
  <c r="AN62" i="2"/>
  <c r="AN29" i="2"/>
  <c r="AN90" i="2"/>
  <c r="AN179" i="2"/>
  <c r="AN113" i="2"/>
  <c r="AN193" i="2"/>
  <c r="AN36" i="2"/>
  <c r="AN203" i="2"/>
  <c r="AN64" i="2"/>
  <c r="AN73" i="2"/>
  <c r="AN101" i="2"/>
  <c r="AN80" i="2"/>
  <c r="AN97" i="2"/>
  <c r="AN139" i="2"/>
  <c r="AN163" i="2"/>
  <c r="AN131" i="2"/>
  <c r="AN54" i="2"/>
  <c r="AN42" i="2"/>
  <c r="AN142" i="2"/>
  <c r="AN34" i="2"/>
  <c r="AN117" i="2"/>
  <c r="AN111" i="2"/>
  <c r="AN8" i="2"/>
  <c r="AN49" i="2"/>
  <c r="AN57" i="2"/>
  <c r="AN48" i="2"/>
  <c r="AN201" i="2"/>
  <c r="AN125" i="2"/>
  <c r="AN109" i="2"/>
  <c r="AN124" i="2"/>
  <c r="AN14" i="2"/>
  <c r="AN165" i="2"/>
  <c r="AN130" i="2"/>
  <c r="AN33" i="2"/>
  <c r="AN19" i="2"/>
  <c r="AN110" i="2"/>
  <c r="AN166" i="2"/>
  <c r="AN55" i="2"/>
  <c r="AN43" i="2"/>
  <c r="AN189" i="2"/>
  <c r="AN122" i="2"/>
  <c r="AN135" i="2"/>
  <c r="AN17" i="2"/>
  <c r="AN196" i="2"/>
  <c r="AN94" i="2"/>
  <c r="AN185" i="2"/>
  <c r="AN152" i="2"/>
  <c r="AN20" i="2"/>
  <c r="AN171" i="2"/>
  <c r="AN63" i="2"/>
  <c r="AN74" i="2"/>
  <c r="AN50" i="2"/>
  <c r="AN114" i="2"/>
  <c r="AN46" i="2"/>
  <c r="AN157" i="2"/>
  <c r="AN154" i="2"/>
  <c r="AN123" i="2"/>
  <c r="AN183" i="2"/>
  <c r="AN147" i="2"/>
  <c r="AN194" i="2"/>
  <c r="AN148" i="2"/>
  <c r="AN83" i="2"/>
  <c r="AN167" i="2"/>
  <c r="AN85" i="2"/>
  <c r="AN162" i="2"/>
  <c r="AN25" i="2"/>
  <c r="AN81" i="2"/>
  <c r="AN128" i="2"/>
  <c r="AN27" i="2"/>
  <c r="AN106" i="2"/>
  <c r="AN190" i="2"/>
  <c r="AN161" i="2"/>
  <c r="AN41" i="2"/>
  <c r="AN178" i="2"/>
  <c r="AN146" i="2"/>
  <c r="AN56" i="2"/>
  <c r="AN121" i="2"/>
  <c r="AN21" i="2"/>
  <c r="AN61" i="2"/>
  <c r="AN186" i="2"/>
  <c r="AN103" i="2"/>
  <c r="AN51" i="2"/>
  <c r="AN87" i="2"/>
  <c r="AN136" i="2"/>
  <c r="AN143" i="2"/>
  <c r="AN86" i="2"/>
  <c r="AN182" i="2"/>
  <c r="AN65" i="2"/>
  <c r="AN176" i="2"/>
  <c r="AN47" i="2"/>
  <c r="AN38" i="2"/>
  <c r="AN150" i="2"/>
  <c r="AN197" i="2"/>
  <c r="AN26" i="2"/>
  <c r="AN82" i="2"/>
  <c r="AN71" i="2"/>
  <c r="AN89" i="2"/>
  <c r="AN15" i="2"/>
  <c r="AN13" i="2"/>
  <c r="AN199" i="2"/>
  <c r="AN200" i="2"/>
  <c r="AN192" i="2"/>
  <c r="AN12" i="2"/>
  <c r="AN60" i="2"/>
  <c r="AN153" i="2"/>
  <c r="AN168" i="2"/>
  <c r="AN174" i="2"/>
  <c r="AN96" i="2"/>
  <c r="AN155" i="2"/>
  <c r="AN126" i="2"/>
  <c r="AN59" i="2"/>
  <c r="AN91" i="2"/>
  <c r="AN184" i="2"/>
  <c r="AN72" i="2"/>
  <c r="AN39" i="2"/>
  <c r="AN134" i="2"/>
  <c r="AN37" i="2"/>
  <c r="AN175" i="2"/>
  <c r="AN3" i="2"/>
  <c r="C7" i="4" s="1"/>
  <c r="E7" i="4" s="1"/>
  <c r="F7" i="4" s="1"/>
  <c r="G7" i="4" s="1"/>
  <c r="L7" i="4" s="1"/>
  <c r="AN141" i="2"/>
  <c r="AN32" i="2"/>
  <c r="AN188" i="2"/>
  <c r="AN137" i="2"/>
  <c r="AN177" i="2"/>
  <c r="AN129" i="2"/>
  <c r="AN133" i="2"/>
  <c r="AN144" i="2"/>
  <c r="AN158" i="2"/>
  <c r="AN44" i="2"/>
  <c r="AN169" i="2"/>
  <c r="AN35" i="2"/>
  <c r="AN45" i="2"/>
  <c r="AN6" i="2"/>
  <c r="AN75" i="2"/>
  <c r="AN119" i="2"/>
  <c r="AN195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<sst xmlns="http://schemas.openxmlformats.org/spreadsheetml/2006/main" count="1175" uniqueCount="326">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</sst>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8" zoomScaleNormal="100" workbookViewId="0">
      <selection activeCell="A36" sqref="A36:XFD3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8.6999999999999993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14</v>
      </c>
      <c r="C9" s="264">
        <v>0.28505746999999998</v>
      </c>
      <c r="D9" s="33">
        <f t="shared" ref="D9:D18" si="0">C9*$C$5</f>
        <v>2.4799999889999995</v>
      </c>
      <c r="E9" s="265">
        <v>159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6</v>
      </c>
      <c r="C10" s="264">
        <v>7.1264369999999994E-2</v>
      </c>
      <c r="D10" s="33">
        <f t="shared" si="0"/>
        <v>0.6200000189999999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35</v>
      </c>
      <c r="C11" s="264">
        <v>0.64367816</v>
      </c>
      <c r="D11" s="33">
        <f t="shared" si="0"/>
        <v>5.5999999919999999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8.6999999999999993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30</v>
      </c>
      <c r="B36" s="259">
        <v>108.4230769</v>
      </c>
      <c r="C36" s="259"/>
      <c r="D36" s="259"/>
      <c r="E36" s="260"/>
      <c r="F36" s="260"/>
      <c r="G36" s="260"/>
      <c r="H36" s="260"/>
      <c r="I36" s="49">
        <f>IFERROR(B36/A36,"")</f>
        <v>3.6141025633333332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34</v>
      </c>
      <c r="B37" s="259">
        <v>173.04</v>
      </c>
      <c r="C37" s="259">
        <v>1</v>
      </c>
      <c r="D37" s="259">
        <v>35.450000000000003</v>
      </c>
      <c r="E37" s="260">
        <v>1</v>
      </c>
      <c r="F37" s="260"/>
      <c r="G37" s="260"/>
      <c r="H37" s="260"/>
      <c r="I37" s="53">
        <f t="shared" ref="I37:I55" si="1">IF(A37&lt;&gt;0,(B37-(B36-D36))/(A37-A36),"")</f>
        <v>16.154230774999998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42</v>
      </c>
      <c r="B38" s="259">
        <v>248.01</v>
      </c>
      <c r="C38" s="259">
        <v>2</v>
      </c>
      <c r="D38" s="259">
        <v>55.41</v>
      </c>
      <c r="E38" s="260">
        <v>1</v>
      </c>
      <c r="F38" s="260"/>
      <c r="G38" s="260"/>
      <c r="H38" s="260"/>
      <c r="I38" s="53">
        <f t="shared" si="1"/>
        <v>13.802500000000002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50</v>
      </c>
      <c r="B39" s="259">
        <v>304.72000000000003</v>
      </c>
      <c r="C39" s="259">
        <v>3</v>
      </c>
      <c r="D39" s="259">
        <v>66.62</v>
      </c>
      <c r="E39" s="260">
        <v>1</v>
      </c>
      <c r="F39" s="260"/>
      <c r="G39" s="260"/>
      <c r="H39" s="260"/>
      <c r="I39" s="49">
        <f t="shared" si="1"/>
        <v>14.015000000000004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58</v>
      </c>
      <c r="B40" s="259">
        <v>346.58</v>
      </c>
      <c r="C40" s="259">
        <v>4</v>
      </c>
      <c r="D40" s="259">
        <v>62.16</v>
      </c>
      <c r="E40" s="260">
        <v>1</v>
      </c>
      <c r="F40" s="260"/>
      <c r="G40" s="260"/>
      <c r="H40" s="260"/>
      <c r="I40" s="49">
        <f t="shared" si="1"/>
        <v>13.559999999999995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66</v>
      </c>
      <c r="B41" s="259">
        <v>388.92</v>
      </c>
      <c r="C41" s="259">
        <v>5</v>
      </c>
      <c r="D41" s="259">
        <v>71.34</v>
      </c>
      <c r="E41" s="260">
        <v>1</v>
      </c>
      <c r="F41" s="260"/>
      <c r="G41" s="260"/>
      <c r="H41" s="260"/>
      <c r="I41" s="53">
        <f t="shared" si="1"/>
        <v>13.062500000000007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74</v>
      </c>
      <c r="B42" s="259">
        <v>414.8</v>
      </c>
      <c r="C42" s="259">
        <v>6</v>
      </c>
      <c r="D42" s="259">
        <v>70.209999999999994</v>
      </c>
      <c r="E42" s="260">
        <v>1</v>
      </c>
      <c r="F42" s="260"/>
      <c r="G42" s="260"/>
      <c r="H42" s="260"/>
      <c r="I42" s="53">
        <f t="shared" si="1"/>
        <v>12.152499999999996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82</v>
      </c>
      <c r="B43" s="259">
        <v>436.17</v>
      </c>
      <c r="C43" s="259">
        <v>7</v>
      </c>
      <c r="D43" s="259">
        <v>53.92</v>
      </c>
      <c r="E43" s="260">
        <v>1</v>
      </c>
      <c r="F43" s="260"/>
      <c r="G43" s="260"/>
      <c r="H43" s="260"/>
      <c r="I43" s="49">
        <f t="shared" si="1"/>
        <v>11.447499999999998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90</v>
      </c>
      <c r="B44" s="259">
        <v>471.37</v>
      </c>
      <c r="C44" s="259">
        <v>8</v>
      </c>
      <c r="D44" s="259">
        <v>63.25</v>
      </c>
      <c r="E44" s="260">
        <v>1</v>
      </c>
      <c r="F44" s="260"/>
      <c r="G44" s="260"/>
      <c r="H44" s="260"/>
      <c r="I44" s="49">
        <f t="shared" si="1"/>
        <v>11.14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100</v>
      </c>
      <c r="B45" s="261">
        <v>515.66999999999996</v>
      </c>
      <c r="C45" s="259">
        <v>9</v>
      </c>
      <c r="D45" s="261">
        <v>85.23</v>
      </c>
      <c r="E45" s="260">
        <v>1</v>
      </c>
      <c r="F45" s="260"/>
      <c r="G45" s="260"/>
      <c r="H45" s="260"/>
      <c r="I45" s="49">
        <f t="shared" si="1"/>
        <v>10.754999999999995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110</v>
      </c>
      <c r="B46" s="262">
        <v>531.04</v>
      </c>
      <c r="C46" s="259">
        <v>10</v>
      </c>
      <c r="D46" s="262">
        <v>67.22</v>
      </c>
      <c r="E46" s="260">
        <v>1</v>
      </c>
      <c r="F46" s="260"/>
      <c r="G46" s="260"/>
      <c r="H46" s="260"/>
      <c r="I46" s="49">
        <f t="shared" si="1"/>
        <v>10.060000000000002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120</v>
      </c>
      <c r="B47" s="261">
        <v>565</v>
      </c>
      <c r="C47" s="259">
        <v>11</v>
      </c>
      <c r="D47" s="261">
        <v>60.46</v>
      </c>
      <c r="E47" s="260">
        <v>1</v>
      </c>
      <c r="F47" s="260"/>
      <c r="G47" s="260"/>
      <c r="H47" s="260"/>
      <c r="I47" s="49">
        <f t="shared" si="1"/>
        <v>10.118000000000006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130</v>
      </c>
      <c r="B48" s="261">
        <v>606.41</v>
      </c>
      <c r="C48" s="259">
        <v>12</v>
      </c>
      <c r="D48" s="261">
        <v>69</v>
      </c>
      <c r="E48" s="260">
        <v>1</v>
      </c>
      <c r="F48" s="260"/>
      <c r="G48" s="260"/>
      <c r="H48" s="260"/>
      <c r="I48" s="49">
        <f t="shared" si="1"/>
        <v>10.186999999999994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140</v>
      </c>
      <c r="B49" s="261">
        <v>639.04999999999995</v>
      </c>
      <c r="C49" s="259">
        <v>13</v>
      </c>
      <c r="D49" s="261">
        <v>67.930000000000007</v>
      </c>
      <c r="E49" s="260">
        <v>1</v>
      </c>
      <c r="F49" s="260"/>
      <c r="G49" s="260"/>
      <c r="H49" s="260"/>
      <c r="I49" s="49">
        <f t="shared" si="1"/>
        <v>10.163999999999998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150</v>
      </c>
      <c r="B50" s="261">
        <v>673.13</v>
      </c>
      <c r="C50" s="261">
        <v>14</v>
      </c>
      <c r="D50" s="261">
        <v>234.51</v>
      </c>
      <c r="E50" s="260">
        <v>1</v>
      </c>
      <c r="F50" s="260"/>
      <c r="G50" s="260"/>
      <c r="H50" s="260"/>
      <c r="I50" s="49">
        <f t="shared" si="1"/>
        <v>10.201000000000011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153</v>
      </c>
      <c r="B51" s="261">
        <v>434.97</v>
      </c>
      <c r="C51" s="261">
        <v>15</v>
      </c>
      <c r="D51" s="261">
        <v>141.22</v>
      </c>
      <c r="E51" s="260">
        <v>1</v>
      </c>
      <c r="F51" s="260"/>
      <c r="G51" s="260"/>
      <c r="H51" s="260"/>
      <c r="I51" s="49">
        <f t="shared" si="1"/>
        <v>-1.216666666666659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156</v>
      </c>
      <c r="B52" s="261">
        <v>290.93</v>
      </c>
      <c r="C52" s="261">
        <v>16</v>
      </c>
      <c r="D52" s="261">
        <v>87.28</v>
      </c>
      <c r="E52" s="260">
        <v>1</v>
      </c>
      <c r="F52" s="260"/>
      <c r="G52" s="260"/>
      <c r="H52" s="260"/>
      <c r="I52" s="49">
        <f t="shared" si="1"/>
        <v>-0.93999999999999773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159</v>
      </c>
      <c r="B53" s="261">
        <v>201.48</v>
      </c>
      <c r="C53" s="261">
        <v>17</v>
      </c>
      <c r="D53" s="261">
        <v>180.6</v>
      </c>
      <c r="E53" s="260">
        <v>1</v>
      </c>
      <c r="F53" s="260"/>
      <c r="G53" s="260"/>
      <c r="H53" s="260"/>
      <c r="I53" s="49">
        <f t="shared" si="1"/>
        <v>-0.7233333333333386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110</v>
      </c>
      <c r="C88" s="261">
        <v>1</v>
      </c>
      <c r="D88" s="261">
        <v>14</v>
      </c>
      <c r="E88" s="260"/>
      <c r="F88" s="260"/>
      <c r="G88" s="260">
        <v>1</v>
      </c>
      <c r="H88" s="260"/>
      <c r="I88" s="53">
        <f>IFERROR(B88/A88,"")</f>
        <v>7.333333333333333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203</v>
      </c>
      <c r="C89" s="261">
        <v>2</v>
      </c>
      <c r="D89" s="261">
        <v>63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21.4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254</v>
      </c>
      <c r="C90" s="261">
        <v>3</v>
      </c>
      <c r="D90" s="261">
        <v>63</v>
      </c>
      <c r="E90" s="260"/>
      <c r="F90" s="260">
        <v>1</v>
      </c>
      <c r="G90" s="260"/>
      <c r="H90" s="260"/>
      <c r="I90" s="53">
        <f t="shared" si="3"/>
        <v>22.8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311</v>
      </c>
      <c r="C91" s="261">
        <v>4</v>
      </c>
      <c r="D91" s="261">
        <v>63</v>
      </c>
      <c r="E91" s="260"/>
      <c r="F91" s="260">
        <v>1</v>
      </c>
      <c r="G91" s="260"/>
      <c r="H91" s="260"/>
      <c r="I91" s="53">
        <f t="shared" si="3"/>
        <v>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369</v>
      </c>
      <c r="C92" s="261">
        <v>5</v>
      </c>
      <c r="D92" s="261">
        <v>63</v>
      </c>
      <c r="E92" s="260">
        <v>1</v>
      </c>
      <c r="F92" s="260"/>
      <c r="G92" s="260"/>
      <c r="H92" s="260"/>
      <c r="I92" s="53">
        <f t="shared" si="3"/>
        <v>24.2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424</v>
      </c>
      <c r="C93" s="261">
        <v>6</v>
      </c>
      <c r="D93" s="261">
        <v>63</v>
      </c>
      <c r="E93" s="260">
        <v>1</v>
      </c>
      <c r="F93" s="260"/>
      <c r="G93" s="260"/>
      <c r="H93" s="260"/>
      <c r="I93" s="53">
        <f t="shared" si="3"/>
        <v>23.6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469</v>
      </c>
      <c r="C94" s="261">
        <v>7</v>
      </c>
      <c r="D94" s="261">
        <v>60</v>
      </c>
      <c r="E94" s="260">
        <v>1</v>
      </c>
      <c r="F94" s="260"/>
      <c r="G94" s="260"/>
      <c r="H94" s="260"/>
      <c r="I94" s="53">
        <f t="shared" si="3"/>
        <v>21.6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509</v>
      </c>
      <c r="C95" s="261">
        <v>8</v>
      </c>
      <c r="D95" s="261">
        <v>53</v>
      </c>
      <c r="E95" s="260">
        <v>1</v>
      </c>
      <c r="F95" s="260"/>
      <c r="G95" s="260"/>
      <c r="H95" s="260"/>
      <c r="I95" s="53">
        <f t="shared" si="3"/>
        <v>20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548</v>
      </c>
      <c r="C96" s="261">
        <v>9</v>
      </c>
      <c r="D96" s="261">
        <v>45</v>
      </c>
      <c r="E96" s="260">
        <v>1</v>
      </c>
      <c r="F96" s="260"/>
      <c r="G96" s="260"/>
      <c r="H96" s="260"/>
      <c r="I96" s="53">
        <f t="shared" si="3"/>
        <v>18.399999999999999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588</v>
      </c>
      <c r="C97" s="261">
        <v>10</v>
      </c>
      <c r="D97" s="261">
        <v>39</v>
      </c>
      <c r="E97" s="260">
        <v>1</v>
      </c>
      <c r="F97" s="260"/>
      <c r="G97" s="260"/>
      <c r="H97" s="260"/>
      <c r="I97" s="53">
        <f t="shared" si="3"/>
        <v>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627</v>
      </c>
      <c r="C98" s="261">
        <v>11</v>
      </c>
      <c r="D98" s="261">
        <v>34</v>
      </c>
      <c r="E98" s="260">
        <v>1</v>
      </c>
      <c r="F98" s="260"/>
      <c r="G98" s="260"/>
      <c r="H98" s="260"/>
      <c r="I98" s="53">
        <f t="shared" si="3"/>
        <v>15.6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662</v>
      </c>
      <c r="C99" s="261">
        <v>12</v>
      </c>
      <c r="D99" s="261">
        <v>31</v>
      </c>
      <c r="E99" s="260">
        <v>1</v>
      </c>
      <c r="F99" s="260"/>
      <c r="G99" s="260"/>
      <c r="H99" s="260"/>
      <c r="I99" s="53">
        <f t="shared" si="3"/>
        <v>13.8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693</v>
      </c>
      <c r="C100" s="261">
        <v>13</v>
      </c>
      <c r="D100" s="261">
        <v>30</v>
      </c>
      <c r="E100" s="260">
        <v>1</v>
      </c>
      <c r="F100" s="260"/>
      <c r="G100" s="260"/>
      <c r="H100" s="260"/>
      <c r="I100" s="53">
        <f t="shared" si="3"/>
        <v>12.4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718</v>
      </c>
      <c r="C101" s="261">
        <v>14</v>
      </c>
      <c r="D101" s="261">
        <v>29</v>
      </c>
      <c r="E101" s="260">
        <v>1</v>
      </c>
      <c r="F101" s="260"/>
      <c r="G101" s="260"/>
      <c r="H101" s="260"/>
      <c r="I101" s="53">
        <f t="shared" si="3"/>
        <v>11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3" sqref="F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0.88160000000000005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0.11840000000000001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sessile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Charme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laricio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4.4080000000000004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16.16266666666667</v>
      </c>
      <c r="H3" s="66">
        <f>(B3+E3+F3)*44/12+(C3+D3)*0.475*44/12</f>
        <v>192.01600000000005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175.85333333333335</v>
      </c>
      <c r="S3" s="59">
        <f ca="1">AVERAGE(OFFSET($R$3,0,0,'Données projet'!$E$9+1,1))-AVERAGE(OFFSET($H$3,0,0,'Données projet'!$E$9+1,1))</f>
        <v>737.52606296329941</v>
      </c>
      <c r="T3" s="59">
        <f>IF('Données projet'!E9&gt;30,$R$33-$H$33,LOOKUP('Données projet'!$E$9,$A$3:$A$203,R3:R203)-LOOKUP('Données projet'!$E$9,$A$3:$A$203,$H$3:$H$203))</f>
        <v>270.54143254083715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175.85333333333335</v>
      </c>
      <c r="AN3" s="59">
        <f ca="1">AVERAGE(OFFSET($AM$3,0,0,'Données projet'!$E$10+1,1))-AVERAGE(OFFSET($H$3,0,0,'Données projet'!$E$10+1,1))</f>
        <v>691.79662395689525</v>
      </c>
      <c r="AO3" s="59">
        <f>IF('Données projet'!E10&gt;30,$AM$33-$H$33,LOOKUP('Données projet'!$E$10,$A$3:$A$203,AM3:AM203)-LOOKUP('Données projet'!$E$10,$A$3:$A$203,$H$3:$H$203))</f>
        <v>213.38682325741539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175.85333333333335</v>
      </c>
      <c r="BI3" s="59">
        <f ca="1">AVERAGE(OFFSET($BH$3,0,0,'Données projet'!$E$11+1,1))-AVERAGE(OFFSET($H$3,0,0,'Données projet'!$E$11+1,1))</f>
        <v>525.88595000893986</v>
      </c>
      <c r="BJ3" s="59">
        <f>IF('Données projet'!E11&gt;30,$BH$33-$H$33,LOOKUP('Données projet'!$E$11,$A$3:$A$203,BH3:BH203)-LOOKUP('Données projet'!$E$11,$A$3:$A$203,$H$3:$H$203))</f>
        <v>458.67158147469263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47.960000000000008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4.4080000000000004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16.16266666666667</v>
      </c>
      <c r="H4" s="66">
        <f t="shared" ref="H4:H67" si="1">(B4+E4+F4)*44/12+(C4+D4)*0.475*44/12</f>
        <v>192.01600000000005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3.6141025633333332</v>
      </c>
      <c r="N4" s="13">
        <f>IF('Données projet'!$A$36&gt;35,N3+M4-V3,IF(A4&lt;'Données projet'!$A$36,$K$205^A4,IF(A4='Données projet'!$A$36,'Données projet'!$B$36,N3+M4-V3)))</f>
        <v>1.1690615875887691</v>
      </c>
      <c r="O4" s="13">
        <f>N4*VLOOKUP('Données projet'!$B$9,Paramètres!$A$1:$I$89,3,0)*VLOOKUP('Données projet'!$B$9,Paramètres!$A$1:$I$89,5,0)</f>
        <v>1.0577669244503183</v>
      </c>
      <c r="P4" s="13">
        <f>EXP(-1.0587+0.8836*LN(O4)+0.284)</f>
        <v>0.48428727044743541</v>
      </c>
      <c r="Q4" s="20">
        <f t="shared" ref="Q4:Q34" si="2">(O4+P4)*0.475*44/12</f>
        <v>2.6857443894469211</v>
      </c>
      <c r="R4" s="59">
        <f t="shared" si="0"/>
        <v>181.163230606789</v>
      </c>
      <c r="S4" s="59">
        <f ca="1">AVERAGE(OFFSET($R$3,0,0,'Données projet'!$E$9+1,1))-AVERAGE(OFFSET($H$3,0,0,'Données projet'!$E$9+1,1))</f>
        <v>737.52606296329941</v>
      </c>
      <c r="T4" s="59">
        <f>$T$3</f>
        <v>270.54143254083715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1.099064388659533</v>
      </c>
      <c r="AK4" s="13">
        <f>EXP(-1.0587+0.8836*LN(AJ4)+0.284)</f>
        <v>0.50095660621119575</v>
      </c>
      <c r="AL4" s="20">
        <f t="shared" ref="AL4:AL67" si="4">(AJ4+AK4)*0.475*44/12</f>
        <v>2.7867032327331853</v>
      </c>
      <c r="AM4" s="59">
        <f t="shared" ref="AM4:AM67" si="5">AL4+(AD4+AE4)*44/12</f>
        <v>181.26418945007526</v>
      </c>
      <c r="AN4" s="59">
        <f ca="1">AVERAGE(OFFSET($AM$3,0,0,'Données projet'!$E$10+1,1))-AVERAGE(OFFSET($H$3,0,0,'Données projet'!$E$10+1,1))</f>
        <v>691.79662395689525</v>
      </c>
      <c r="AO4" s="59">
        <f>$AO$3</f>
        <v>213.38682325741539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7.333333333333333</v>
      </c>
      <c r="BD4" s="12">
        <f>IF('Données projet'!$A$88&gt;35,BD3+BC4-BL3,IF(A4&lt;'Données projet'!$A$88,$BA$205^A4,IF(A4='Données projet'!$A$88,'Données projet'!$B$88,BD3+BC4-BL3)))</f>
        <v>1.3680212568593273</v>
      </c>
      <c r="BE4" s="13">
        <f>BD4*VLOOKUP('Données projet'!$B$11,Paramètres!$A$1:$I$89,3,0)*VLOOKUP('Données projet'!$B$11,Paramètres!$A$1:$I$89,5,0)</f>
        <v>0.81807671160187789</v>
      </c>
      <c r="BF4" s="13">
        <f>EXP(-1.0587+0.8836*LN(BE4)+0.284)</f>
        <v>0.38591962976646654</v>
      </c>
      <c r="BG4" s="20">
        <f t="shared" ref="BG4:BG67" si="7">(BE4+BF4)*0.475*44/12</f>
        <v>2.0969602945498664</v>
      </c>
      <c r="BH4" s="59">
        <f t="shared" ref="BH4:BH67" si="8">BG4+(AY4+AZ4)*44/12</f>
        <v>180.57444651189195</v>
      </c>
      <c r="BI4" s="59">
        <f ca="1">AVERAGE(OFFSET($BH$3,0,0,'Données projet'!$E$11+1,1))-AVERAGE(OFFSET($H$3,0,0,'Données projet'!$E$11+1,1))</f>
        <v>525.88595000893986</v>
      </c>
      <c r="BJ4" s="59">
        <f>$BJ$3</f>
        <v>458.67158147469263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48.342344725941786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4.4080000000000004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16.16266666666667</v>
      </c>
      <c r="H5" s="66">
        <f t="shared" si="1"/>
        <v>192.01600000000005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3.6141025633333332</v>
      </c>
      <c r="N5" s="13">
        <f>IF('Données projet'!$A$36&gt;35,N4+M5-V4,IF(A5&lt;'Données projet'!$A$36,$K$205^A5,IF(A5='Données projet'!$A$36,'Données projet'!$B$36,N4+M5-V4)))</f>
        <v>1.3667049955755732</v>
      </c>
      <c r="O5" s="13">
        <f>N5*VLOOKUP('Données projet'!$B$9,Paramètres!$A$1:$I$89,3,0)*VLOOKUP('Données projet'!$B$9,Paramètres!$A$1:$I$89,5,0)</f>
        <v>1.2365946799967786</v>
      </c>
      <c r="P5" s="13">
        <f t="shared" ref="P5:P68" si="33">EXP(-1.0587+0.8836*LN(O5)+0.284)</f>
        <v>0.55596080147783444</v>
      </c>
      <c r="Q5" s="20">
        <f t="shared" si="2"/>
        <v>3.122034130234951</v>
      </c>
      <c r="R5" s="59">
        <f t="shared" si="0"/>
        <v>184.19935286885124</v>
      </c>
      <c r="S5" s="59">
        <f ca="1">AVERAGE(OFFSET($R$3,0,0,'Données projet'!$E$9+1,1))-AVERAGE(OFFSET($H$3,0,0,'Données projet'!$E$9+1,1))</f>
        <v>737.52606296329941</v>
      </c>
      <c r="T5" s="59">
        <f t="shared" ref="T5:T68" si="34">$T$3</f>
        <v>270.54143254083715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1.2693805489907029</v>
      </c>
      <c r="AK5" s="13">
        <f t="shared" ref="AK5:AK68" si="35">EXP(-1.0587+0.8836*LN(AJ5)+0.284)</f>
        <v>0.56896534391972775</v>
      </c>
      <c r="AL5" s="20">
        <f t="shared" si="4"/>
        <v>3.2017857634856668</v>
      </c>
      <c r="AM5" s="59">
        <f t="shared" si="5"/>
        <v>184.27910450210197</v>
      </c>
      <c r="AN5" s="59">
        <f ca="1">AVERAGE(OFFSET($AM$3,0,0,'Données projet'!$E$10+1,1))-AVERAGE(OFFSET($H$3,0,0,'Données projet'!$E$10+1,1))</f>
        <v>691.79662395689525</v>
      </c>
      <c r="AO5" s="59">
        <f t="shared" ref="AO5:AO68" si="36">$AO$3</f>
        <v>213.38682325741539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7.333333333333333</v>
      </c>
      <c r="BD5" s="12">
        <f>IF('Données projet'!$A$88&gt;35,BD4+BC5-BL4,IF(A5&lt;'Données projet'!$A$88,$BA$205^A5,IF(A5='Données projet'!$A$88,'Données projet'!$B$88,BD4+BC5-BL4)))</f>
        <v>1.8714821592189737</v>
      </c>
      <c r="BE5" s="13">
        <f>BD5*VLOOKUP('Données projet'!$B$11,Paramètres!$A$1:$I$89,3,0)*VLOOKUP('Données projet'!$B$11,Paramètres!$A$1:$I$89,5,0)</f>
        <v>1.1191463312129464</v>
      </c>
      <c r="BF5" s="13">
        <f t="shared" ref="BF5:BF68" si="37">EXP(-1.0587+0.8836*LN(BE5)+0.284)</f>
        <v>0.50903601214619809</v>
      </c>
      <c r="BG5" s="20">
        <f t="shared" si="7"/>
        <v>2.8357509146838429</v>
      </c>
      <c r="BH5" s="59">
        <f t="shared" si="8"/>
        <v>183.91306965330014</v>
      </c>
      <c r="BI5" s="59">
        <f ca="1">AVERAGE(OFFSET($BH$3,0,0,'Données projet'!$E$11+1,1))-AVERAGE(OFFSET($H$3,0,0,'Données projet'!$E$11+1,1))</f>
        <v>525.88595000893986</v>
      </c>
      <c r="BJ5" s="59">
        <f t="shared" ref="BJ5:BJ68" si="38">$BJ$3</f>
        <v>458.67158147469263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48.718056625683232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4.4080000000000004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16.16266666666667</v>
      </c>
      <c r="H6" s="66">
        <f t="shared" si="1"/>
        <v>192.01600000000005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3.6141025633333332</v>
      </c>
      <c r="N6" s="13">
        <f>IF('Données projet'!$A$36&gt;35,N5+M6-V5,IF(A6&lt;'Données projet'!$A$36,$K$205^A6,IF(A6='Données projet'!$A$36,'Données projet'!$B$36,N5+M6-V5)))</f>
        <v>1.5977623118930813</v>
      </c>
      <c r="O6" s="13">
        <f>N6*VLOOKUP('Données projet'!$B$9,Paramètres!$A$1:$I$89,3,0)*VLOOKUP('Données projet'!$B$9,Paramètres!$A$1:$I$89,5,0)</f>
        <v>1.4456553398008598</v>
      </c>
      <c r="P6" s="13">
        <f t="shared" si="33"/>
        <v>0.63824186932335447</v>
      </c>
      <c r="Q6" s="20">
        <f t="shared" si="2"/>
        <v>3.6294543058913398</v>
      </c>
      <c r="R6" s="59">
        <f t="shared" si="0"/>
        <v>187.28270710696853</v>
      </c>
      <c r="S6" s="59">
        <f ca="1">AVERAGE(OFFSET($R$3,0,0,'Données projet'!$E$9+1,1))-AVERAGE(OFFSET($H$3,0,0,'Données projet'!$E$9+1,1))</f>
        <v>737.52606296329941</v>
      </c>
      <c r="T6" s="59">
        <f t="shared" si="34"/>
        <v>270.54143254083715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1.4660896984581433</v>
      </c>
      <c r="AK6" s="13">
        <f t="shared" si="35"/>
        <v>0.64620679429710526</v>
      </c>
      <c r="AL6" s="20">
        <f t="shared" si="4"/>
        <v>3.6789163915487246</v>
      </c>
      <c r="AM6" s="59">
        <f t="shared" si="5"/>
        <v>187.33216919262591</v>
      </c>
      <c r="AN6" s="59">
        <f ca="1">AVERAGE(OFFSET($AM$3,0,0,'Données projet'!$E$10+1,1))-AVERAGE(OFFSET($H$3,0,0,'Données projet'!$E$10+1,1))</f>
        <v>691.79662395689525</v>
      </c>
      <c r="AO6" s="59">
        <f t="shared" si="36"/>
        <v>213.38682325741539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7.333333333333333</v>
      </c>
      <c r="BD6" s="12">
        <f>IF('Données projet'!$A$88&gt;35,BD5+BC6-BL5,IF(A6&lt;'Données projet'!$A$88,$BA$205^A6,IF(A6='Données projet'!$A$88,'Données projet'!$B$88,BD5+BC6-BL5)))</f>
        <v>2.5602273756445482</v>
      </c>
      <c r="BE6" s="13">
        <f>BD6*VLOOKUP('Données projet'!$B$11,Paramètres!$A$1:$I$89,3,0)*VLOOKUP('Données projet'!$B$11,Paramètres!$A$1:$I$89,5,0)</f>
        <v>1.5310159706354398</v>
      </c>
      <c r="BF6" s="13">
        <f t="shared" si="37"/>
        <v>0.67142907920622097</v>
      </c>
      <c r="BG6" s="20">
        <f t="shared" si="7"/>
        <v>3.8359251284742251</v>
      </c>
      <c r="BH6" s="59">
        <f t="shared" si="8"/>
        <v>187.48917792955143</v>
      </c>
      <c r="BI6" s="59">
        <f ca="1">AVERAGE(OFFSET($BH$3,0,0,'Données projet'!$E$11+1,1))-AVERAGE(OFFSET($H$3,0,0,'Données projet'!$E$11+1,1))</f>
        <v>525.88595000893986</v>
      </c>
      <c r="BJ6" s="59">
        <f t="shared" si="38"/>
        <v>458.67158147469263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49.087250763930143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4.4080000000000004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16.16266666666667</v>
      </c>
      <c r="H7" s="66">
        <f t="shared" si="1"/>
        <v>192.01600000000005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3.6141025633333332</v>
      </c>
      <c r="N7" s="13">
        <f>IF('Données projet'!$A$36&gt;35,N6+M7-V6,IF(A7&lt;'Données projet'!$A$36,$K$205^A7,IF(A7='Données projet'!$A$36,'Données projet'!$B$36,N6+M7-V6)))</f>
        <v>1.8678825449312277</v>
      </c>
      <c r="O7" s="13">
        <f>N7*VLOOKUP('Données projet'!$B$9,Paramètres!$A$1:$I$89,3,0)*VLOOKUP('Données projet'!$B$9,Paramètres!$A$1:$I$89,5,0)</f>
        <v>1.6900601266537749</v>
      </c>
      <c r="P7" s="13">
        <f t="shared" si="33"/>
        <v>0.73270036785787795</v>
      </c>
      <c r="Q7" s="20">
        <f t="shared" si="2"/>
        <v>4.219641194607795</v>
      </c>
      <c r="R7" s="59">
        <f t="shared" si="0"/>
        <v>190.425344184164</v>
      </c>
      <c r="S7" s="59">
        <f ca="1">AVERAGE(OFFSET($R$3,0,0,'Données projet'!$E$9+1,1))-AVERAGE(OFFSET($H$3,0,0,'Données projet'!$E$9+1,1))</f>
        <v>737.52606296329941</v>
      </c>
      <c r="T7" s="59">
        <f t="shared" si="34"/>
        <v>270.54143254083715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1.6932818181546221</v>
      </c>
      <c r="AK7" s="13">
        <f t="shared" si="35"/>
        <v>0.7339343695679571</v>
      </c>
      <c r="AL7" s="20">
        <f t="shared" si="4"/>
        <v>4.2274015269501595</v>
      </c>
      <c r="AM7" s="59">
        <f t="shared" si="5"/>
        <v>190.43310451650638</v>
      </c>
      <c r="AN7" s="59">
        <f ca="1">AVERAGE(OFFSET($AM$3,0,0,'Données projet'!$E$10+1,1))-AVERAGE(OFFSET($H$3,0,0,'Données projet'!$E$10+1,1))</f>
        <v>691.79662395689525</v>
      </c>
      <c r="AO7" s="59">
        <f t="shared" si="36"/>
        <v>213.38682325741539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7.333333333333333</v>
      </c>
      <c r="BD7" s="12">
        <f>IF('Données projet'!$A$88&gt;35,BD6+BC7-BL6,IF(A7&lt;'Données projet'!$A$88,$BA$205^A7,IF(A7='Données projet'!$A$88,'Données projet'!$B$88,BD6+BC7-BL6)))</f>
        <v>3.5024454722749119</v>
      </c>
      <c r="BE7" s="13">
        <f>BD7*VLOOKUP('Données projet'!$B$11,Paramètres!$A$1:$I$89,3,0)*VLOOKUP('Données projet'!$B$11,Paramètres!$A$1:$I$89,5,0)</f>
        <v>2.0944623924203976</v>
      </c>
      <c r="BF7" s="13">
        <f t="shared" si="37"/>
        <v>0.88562890963839402</v>
      </c>
      <c r="BG7" s="20">
        <f t="shared" si="7"/>
        <v>5.1903256844190615</v>
      </c>
      <c r="BH7" s="59">
        <f t="shared" si="8"/>
        <v>191.39602867397528</v>
      </c>
      <c r="BI7" s="59">
        <f ca="1">AVERAGE(OFFSET($BH$3,0,0,'Données projet'!$E$11+1,1))-AVERAGE(OFFSET($H$3,0,0,'Données projet'!$E$11+1,1))</f>
        <v>525.88595000893986</v>
      </c>
      <c r="BJ7" s="59">
        <f t="shared" si="38"/>
        <v>458.67158147469263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49.450040209272899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4.4080000000000004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16.16266666666667</v>
      </c>
      <c r="H8" s="66">
        <f t="shared" si="1"/>
        <v>192.01600000000005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3.6141025633333332</v>
      </c>
      <c r="N8" s="13">
        <f>IF('Données projet'!$A$36&gt;35,N7+M8-V7,IF(A8&lt;'Données projet'!$A$36,$K$205^A8,IF(A8='Données projet'!$A$36,'Données projet'!$B$36,N7+M8-V7)))</f>
        <v>2.1836697334066515</v>
      </c>
      <c r="O8" s="13">
        <f>N8*VLOOKUP('Données projet'!$B$9,Paramètres!$A$1:$I$89,3,0)*VLOOKUP('Données projet'!$B$9,Paramètres!$A$1:$I$89,5,0)</f>
        <v>1.9757843747863384</v>
      </c>
      <c r="P8" s="13">
        <f t="shared" si="33"/>
        <v>0.84113853205560163</v>
      </c>
      <c r="Q8" s="20">
        <f t="shared" si="2"/>
        <v>4.9061407294163786</v>
      </c>
      <c r="R8" s="59">
        <f t="shared" si="0"/>
        <v>193.64121742618124</v>
      </c>
      <c r="S8" s="59">
        <f ca="1">AVERAGE(OFFSET($R$3,0,0,'Données projet'!$E$9+1,1))-AVERAGE(OFFSET($H$3,0,0,'Données projet'!$E$9+1,1))</f>
        <v>737.52606296329941</v>
      </c>
      <c r="T8" s="59">
        <f t="shared" si="34"/>
        <v>270.54143254083715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1.9556806917805927</v>
      </c>
      <c r="AK8" s="13">
        <f t="shared" si="35"/>
        <v>0.83357164237034642</v>
      </c>
      <c r="AL8" s="20">
        <f t="shared" si="4"/>
        <v>4.8579478153128859</v>
      </c>
      <c r="AM8" s="59">
        <f t="shared" si="5"/>
        <v>193.59302451207776</v>
      </c>
      <c r="AN8" s="59">
        <f ca="1">AVERAGE(OFFSET($AM$3,0,0,'Données projet'!$E$10+1,1))-AVERAGE(OFFSET($H$3,0,0,'Données projet'!$E$10+1,1))</f>
        <v>691.79662395689525</v>
      </c>
      <c r="AO8" s="59">
        <f t="shared" si="36"/>
        <v>213.38682325741539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7.333333333333333</v>
      </c>
      <c r="BD8" s="12">
        <f>IF('Données projet'!$A$88&gt;35,BD7+BC8-BL7,IF(A8&lt;'Données projet'!$A$88,$BA$205^A8,IF(A8='Données projet'!$A$88,'Données projet'!$B$88,BD7+BC8-BL7)))</f>
        <v>4.7914198570627855</v>
      </c>
      <c r="BE8" s="13">
        <f>BD8*VLOOKUP('Données projet'!$B$11,Paramètres!$A$1:$I$89,3,0)*VLOOKUP('Données projet'!$B$11,Paramètres!$A$1:$I$89,5,0)</f>
        <v>2.8652690745235461</v>
      </c>
      <c r="BF8" s="13">
        <f t="shared" si="37"/>
        <v>1.1681629376471956</v>
      </c>
      <c r="BG8" s="20">
        <f t="shared" si="7"/>
        <v>7.024894087864042</v>
      </c>
      <c r="BH8" s="59">
        <f t="shared" si="8"/>
        <v>195.75997078462893</v>
      </c>
      <c r="BI8" s="59">
        <f ca="1">AVERAGE(OFFSET($BH$3,0,0,'Données projet'!$E$11+1,1))-AVERAGE(OFFSET($H$3,0,0,'Données projet'!$E$11+1,1))</f>
        <v>525.88595000893986</v>
      </c>
      <c r="BJ8" s="59">
        <f t="shared" si="38"/>
        <v>458.67158147469263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49.806536068814665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4.4080000000000004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16.16266666666667</v>
      </c>
      <c r="H9" s="66">
        <f t="shared" si="1"/>
        <v>192.01600000000005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3.6141025633333332</v>
      </c>
      <c r="N9" s="13">
        <f>IF('Données projet'!$A$36&gt;35,N8+M9-V8,IF(A9&lt;'Données projet'!$A$36,$K$205^A9,IF(A9='Données projet'!$A$36,'Données projet'!$B$36,N8+M9-V8)))</f>
        <v>2.5528444053059243</v>
      </c>
      <c r="O9" s="13">
        <f>N9*VLOOKUP('Données projet'!$B$9,Paramètres!$A$1:$I$89,3,0)*VLOOKUP('Données projet'!$B$9,Paramètres!$A$1:$I$89,5,0)</f>
        <v>2.3098136179208004</v>
      </c>
      <c r="P9" s="13">
        <f t="shared" si="33"/>
        <v>0.96562532400132384</v>
      </c>
      <c r="Q9" s="20">
        <f t="shared" si="2"/>
        <v>5.7047228238476988</v>
      </c>
      <c r="R9" s="59">
        <f t="shared" si="0"/>
        <v>196.94649707190962</v>
      </c>
      <c r="S9" s="59">
        <f ca="1">AVERAGE(OFFSET($R$3,0,0,'Données projet'!$E$9+1,1))-AVERAGE(OFFSET($H$3,0,0,'Données projet'!$E$9+1,1))</f>
        <v>737.52606296329941</v>
      </c>
      <c r="T9" s="59">
        <f t="shared" si="34"/>
        <v>270.54143254083715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2.2587421226619266</v>
      </c>
      <c r="AK9" s="13">
        <f t="shared" si="35"/>
        <v>0.9467354463492792</v>
      </c>
      <c r="AL9" s="20">
        <f t="shared" si="4"/>
        <v>5.5828734326945169</v>
      </c>
      <c r="AM9" s="59">
        <f t="shared" si="5"/>
        <v>196.82464768075644</v>
      </c>
      <c r="AN9" s="59">
        <f ca="1">AVERAGE(OFFSET($AM$3,0,0,'Données projet'!$E$10+1,1))-AVERAGE(OFFSET($H$3,0,0,'Données projet'!$E$10+1,1))</f>
        <v>691.79662395689525</v>
      </c>
      <c r="AO9" s="59">
        <f t="shared" si="36"/>
        <v>213.38682325741539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7.333333333333333</v>
      </c>
      <c r="BD9" s="12">
        <f>IF('Données projet'!$A$88&gt;35,BD8+BC9-BL8,IF(A9&lt;'Données projet'!$A$88,$BA$205^A9,IF(A9='Données projet'!$A$88,'Données projet'!$B$88,BD8+BC9-BL8)))</f>
        <v>6.5547642149997696</v>
      </c>
      <c r="BE9" s="13">
        <f>BD9*VLOOKUP('Données projet'!$B$11,Paramètres!$A$1:$I$89,3,0)*VLOOKUP('Données projet'!$B$11,Paramètres!$A$1:$I$89,5,0)</f>
        <v>3.9197490005698628</v>
      </c>
      <c r="BF9" s="13">
        <f t="shared" si="37"/>
        <v>1.5408311924344247</v>
      </c>
      <c r="BG9" s="20">
        <f t="shared" si="7"/>
        <v>9.5105105028157997</v>
      </c>
      <c r="BH9" s="59">
        <f t="shared" si="8"/>
        <v>200.75228475087772</v>
      </c>
      <c r="BI9" s="59">
        <f ca="1">AVERAGE(OFFSET($BH$3,0,0,'Données projet'!$E$11+1,1))-AVERAGE(OFFSET($H$3,0,0,'Données projet'!$E$11+1,1))</f>
        <v>525.88595000893986</v>
      </c>
      <c r="BJ9" s="59">
        <f t="shared" si="38"/>
        <v>458.67158147469263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50.156847522198703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4.4080000000000004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16.16266666666667</v>
      </c>
      <c r="H10" s="66">
        <f t="shared" si="1"/>
        <v>192.01600000000005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3.6141025633333332</v>
      </c>
      <c r="N10" s="13">
        <f>IF('Données projet'!$A$36&gt;35,N9+M10-V9,IF(A10&lt;'Données projet'!$A$36,$K$205^A10,IF(A10='Données projet'!$A$36,'Données projet'!$B$36,N9+M10-V9)))</f>
        <v>2.9844323333340506</v>
      </c>
      <c r="O10" s="13">
        <f>N10*VLOOKUP('Données projet'!$B$9,Paramètres!$A$1:$I$89,3,0)*VLOOKUP('Données projet'!$B$9,Paramètres!$A$1:$I$89,5,0)</f>
        <v>2.7003143752006489</v>
      </c>
      <c r="P10" s="13">
        <f t="shared" si="33"/>
        <v>1.108535907960313</v>
      </c>
      <c r="Q10" s="20">
        <f t="shared" si="2"/>
        <v>6.6337475765053417</v>
      </c>
      <c r="R10" s="59">
        <f t="shared" si="0"/>
        <v>200.35993660056153</v>
      </c>
      <c r="S10" s="59">
        <f ca="1">AVERAGE(OFFSET($R$3,0,0,'Données projet'!$E$9+1,1))-AVERAGE(OFFSET($H$3,0,0,'Données projet'!$E$9+1,1))</f>
        <v>737.52606296329941</v>
      </c>
      <c r="T10" s="59">
        <f t="shared" si="34"/>
        <v>270.54143254083715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2.6087673709362829</v>
      </c>
      <c r="AK10" s="13">
        <f t="shared" si="35"/>
        <v>1.0752621128346274</v>
      </c>
      <c r="AL10" s="20">
        <f t="shared" si="4"/>
        <v>6.4163513509010022</v>
      </c>
      <c r="AM10" s="59">
        <f t="shared" si="5"/>
        <v>200.14254037495721</v>
      </c>
      <c r="AN10" s="59">
        <f ca="1">AVERAGE(OFFSET($AM$3,0,0,'Données projet'!$E$10+1,1))-AVERAGE(OFFSET($H$3,0,0,'Données projet'!$E$10+1,1))</f>
        <v>691.79662395689525</v>
      </c>
      <c r="AO10" s="59">
        <f t="shared" si="36"/>
        <v>213.38682325741539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7.333333333333333</v>
      </c>
      <c r="BD10" s="12">
        <f>IF('Données projet'!$A$88&gt;35,BD9+BC10-BL9,IF(A10&lt;'Données projet'!$A$88,$BA$205^A10,IF(A10='Données projet'!$A$88,'Données projet'!$B$88,BD9+BC10-BL9)))</f>
        <v>8.9670567798205276</v>
      </c>
      <c r="BE10" s="13">
        <f>BD10*VLOOKUP('Données projet'!$B$11,Paramètres!$A$1:$I$89,3,0)*VLOOKUP('Données projet'!$B$11,Paramètres!$A$1:$I$89,5,0)</f>
        <v>5.3622999543326761</v>
      </c>
      <c r="BF10" s="13">
        <f t="shared" si="37"/>
        <v>2.032388365582547</v>
      </c>
      <c r="BG10" s="20">
        <f t="shared" si="7"/>
        <v>12.87908215718568</v>
      </c>
      <c r="BH10" s="59">
        <f t="shared" si="8"/>
        <v>206.60527118124187</v>
      </c>
      <c r="BI10" s="59">
        <f ca="1">AVERAGE(OFFSET($BH$3,0,0,'Données projet'!$E$11+1,1))-AVERAGE(OFFSET($H$3,0,0,'Données projet'!$E$11+1,1))</f>
        <v>525.88595000893986</v>
      </c>
      <c r="BJ10" s="59">
        <f t="shared" si="38"/>
        <v>458.67158147469263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50.501081855045626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4.4080000000000004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16.16266666666667</v>
      </c>
      <c r="H11" s="66">
        <f t="shared" si="1"/>
        <v>192.01600000000005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3.6141025633333332</v>
      </c>
      <c r="N11" s="13">
        <f>IF('Données projet'!$A$36&gt;35,N10+M11-V10,IF(A11&lt;'Données projet'!$A$36,$K$205^A11,IF(A11='Données projet'!$A$36,'Données projet'!$B$36,N10+M11-V10)))</f>
        <v>3.4889852016587599</v>
      </c>
      <c r="O11" s="13">
        <f>N11*VLOOKUP('Données projet'!$B$9,Paramètres!$A$1:$I$89,3,0)*VLOOKUP('Données projet'!$B$9,Paramètres!$A$1:$I$89,5,0)</f>
        <v>3.1568338104608458</v>
      </c>
      <c r="P11" s="13">
        <f t="shared" si="33"/>
        <v>1.2725969676782332</v>
      </c>
      <c r="Q11" s="20">
        <f t="shared" si="2"/>
        <v>7.7145919385922284</v>
      </c>
      <c r="R11" s="59">
        <f t="shared" si="0"/>
        <v>203.90329951967453</v>
      </c>
      <c r="S11" s="59">
        <f ca="1">AVERAGE(OFFSET($R$3,0,0,'Données projet'!$E$9+1,1))-AVERAGE(OFFSET($H$3,0,0,'Données projet'!$E$9+1,1))</f>
        <v>737.52606296329941</v>
      </c>
      <c r="T11" s="59">
        <f t="shared" si="34"/>
        <v>270.54143254083715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3.0130341694966614</v>
      </c>
      <c r="AK11" s="13">
        <f t="shared" si="35"/>
        <v>1.2212372693512039</v>
      </c>
      <c r="AL11" s="20">
        <f t="shared" si="4"/>
        <v>7.3746894226600324</v>
      </c>
      <c r="AM11" s="59">
        <f t="shared" si="5"/>
        <v>203.56339700374232</v>
      </c>
      <c r="AN11" s="59">
        <f ca="1">AVERAGE(OFFSET($AM$3,0,0,'Données projet'!$E$10+1,1))-AVERAGE(OFFSET($H$3,0,0,'Données projet'!$E$10+1,1))</f>
        <v>691.79662395689525</v>
      </c>
      <c r="AO11" s="59">
        <f t="shared" si="36"/>
        <v>213.38682325741539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7.333333333333333</v>
      </c>
      <c r="BD11" s="12">
        <f>IF('Données projet'!$A$88&gt;35,BD10+BC11-BL10,IF(A11&lt;'Données projet'!$A$88,$BA$205^A11,IF(A11='Données projet'!$A$88,'Données projet'!$B$88,BD10+BC11-BL10)))</f>
        <v>12.26712428625903</v>
      </c>
      <c r="BE11" s="13">
        <f>BD11*VLOOKUP('Données projet'!$B$11,Paramètres!$A$1:$I$89,3,0)*VLOOKUP('Données projet'!$B$11,Paramètres!$A$1:$I$89,5,0)</f>
        <v>7.3357403231829004</v>
      </c>
      <c r="BF11" s="13">
        <f t="shared" si="37"/>
        <v>2.6807624928913736</v>
      </c>
      <c r="BG11" s="20">
        <f t="shared" si="7"/>
        <v>17.445409071329362</v>
      </c>
      <c r="BH11" s="59">
        <f t="shared" si="8"/>
        <v>213.63411665241165</v>
      </c>
      <c r="BI11" s="59">
        <f ca="1">AVERAGE(OFFSET($BH$3,0,0,'Données projet'!$E$11+1,1))-AVERAGE(OFFSET($H$3,0,0,'Données projet'!$E$11+1,1))</f>
        <v>525.88595000893986</v>
      </c>
      <c r="BJ11" s="59">
        <f t="shared" si="38"/>
        <v>458.67158147469263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50.839344491810323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4.4080000000000004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16.16266666666667</v>
      </c>
      <c r="H12" s="66">
        <f t="shared" si="1"/>
        <v>192.01600000000005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3.6141025633333332</v>
      </c>
      <c r="N12" s="13">
        <f>IF('Données projet'!$A$36&gt;35,N11+M12-V11,IF(A12&lt;'Données projet'!$A$36,$K$205^A12,IF(A12='Données projet'!$A$36,'Données projet'!$B$36,N11+M12-V11)))</f>
        <v>4.0788385789249118</v>
      </c>
      <c r="O12" s="13">
        <f>N12*VLOOKUP('Données projet'!$B$9,Paramètres!$A$1:$I$89,3,0)*VLOOKUP('Données projet'!$B$9,Paramètres!$A$1:$I$89,5,0)</f>
        <v>3.6905331462112598</v>
      </c>
      <c r="P12" s="13">
        <f t="shared" si="33"/>
        <v>1.4609387305492803</v>
      </c>
      <c r="Q12" s="20">
        <f t="shared" si="2"/>
        <v>8.9721468520246077</v>
      </c>
      <c r="R12" s="59">
        <f t="shared" si="0"/>
        <v>207.60185662161132</v>
      </c>
      <c r="S12" s="59">
        <f ca="1">AVERAGE(OFFSET($R$3,0,0,'Données projet'!$E$9+1,1))-AVERAGE(OFFSET($H$3,0,0,'Données projet'!$E$9+1,1))</f>
        <v>737.52606296329941</v>
      </c>
      <c r="T12" s="59">
        <f t="shared" si="34"/>
        <v>270.54143254083715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3.4799480427786169</v>
      </c>
      <c r="AK12" s="13">
        <f t="shared" si="35"/>
        <v>1.3870296835072826</v>
      </c>
      <c r="AL12" s="20">
        <f t="shared" si="4"/>
        <v>8.4766528732812745</v>
      </c>
      <c r="AM12" s="59">
        <f t="shared" si="5"/>
        <v>207.10636264286799</v>
      </c>
      <c r="AN12" s="59">
        <f ca="1">AVERAGE(OFFSET($AM$3,0,0,'Données projet'!$E$10+1,1))-AVERAGE(OFFSET($H$3,0,0,'Données projet'!$E$10+1,1))</f>
        <v>691.79662395689525</v>
      </c>
      <c r="AO12" s="59">
        <f t="shared" si="36"/>
        <v>213.38682325741539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7.333333333333333</v>
      </c>
      <c r="BD12" s="12">
        <f>IF('Données projet'!$A$88&gt;35,BD11+BC12-BL11,IF(A12&lt;'Données projet'!$A$88,$BA$205^A12,IF(A12='Données projet'!$A$88,'Données projet'!$B$88,BD11+BC12-BL11)))</f>
        <v>16.781686784137655</v>
      </c>
      <c r="BE12" s="13">
        <f>BD12*VLOOKUP('Données projet'!$B$11,Paramètres!$A$1:$I$89,3,0)*VLOOKUP('Données projet'!$B$11,Paramètres!$A$1:$I$89,5,0)</f>
        <v>10.035448696914319</v>
      </c>
      <c r="BF12" s="13">
        <f t="shared" si="37"/>
        <v>3.5359814418310247</v>
      </c>
      <c r="BG12" s="20">
        <f t="shared" si="7"/>
        <v>23.636907491648142</v>
      </c>
      <c r="BH12" s="59">
        <f t="shared" si="8"/>
        <v>222.26661726123487</v>
      </c>
      <c r="BI12" s="59">
        <f ca="1">AVERAGE(OFFSET($BH$3,0,0,'Données projet'!$E$11+1,1))-AVERAGE(OFFSET($H$3,0,0,'Données projet'!$E$11+1,1))</f>
        <v>525.88595000893986</v>
      </c>
      <c r="BJ12" s="59">
        <f t="shared" si="38"/>
        <v>458.67158147469263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51.171739028069112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4.4080000000000004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16.16266666666667</v>
      </c>
      <c r="H13" s="66">
        <f t="shared" si="1"/>
        <v>192.01600000000005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3.6141025633333332</v>
      </c>
      <c r="N13" s="13">
        <f>IF('Données projet'!$A$36&gt;35,N12+M13-V12,IF(A13&lt;'Données projet'!$A$36,$K$205^A13,IF(A13='Données projet'!$A$36,'Données projet'!$B$36,N12+M13-V12)))</f>
        <v>4.7684135045962757</v>
      </c>
      <c r="O13" s="13">
        <f>N13*VLOOKUP('Données projet'!$B$9,Paramètres!$A$1:$I$89,3,0)*VLOOKUP('Données projet'!$B$9,Paramètres!$A$1:$I$89,5,0)</f>
        <v>4.3144605389587101</v>
      </c>
      <c r="P13" s="13">
        <f t="shared" si="33"/>
        <v>1.6771546912553981</v>
      </c>
      <c r="Q13" s="20">
        <f t="shared" si="2"/>
        <v>10.435396525956238</v>
      </c>
      <c r="R13" s="59">
        <f t="shared" si="0"/>
        <v>211.48496537641626</v>
      </c>
      <c r="S13" s="59">
        <f ca="1">AVERAGE(OFFSET($R$3,0,0,'Données projet'!$E$9+1,1))-AVERAGE(OFFSET($H$3,0,0,'Données projet'!$E$9+1,1))</f>
        <v>737.52606296329941</v>
      </c>
      <c r="T13" s="59">
        <f t="shared" si="34"/>
        <v>270.54143254083715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4.0192170746147742</v>
      </c>
      <c r="AK13" s="13">
        <f t="shared" si="35"/>
        <v>1.5753297014530023</v>
      </c>
      <c r="AL13" s="20">
        <f t="shared" si="4"/>
        <v>9.7438356349847108</v>
      </c>
      <c r="AM13" s="59">
        <f t="shared" si="5"/>
        <v>210.79340448544474</v>
      </c>
      <c r="AN13" s="59">
        <f ca="1">AVERAGE(OFFSET($AM$3,0,0,'Données projet'!$E$10+1,1))-AVERAGE(OFFSET($H$3,0,0,'Données projet'!$E$10+1,1))</f>
        <v>691.79662395689525</v>
      </c>
      <c r="AO13" s="59">
        <f t="shared" si="36"/>
        <v>213.38682325741539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7.333333333333333</v>
      </c>
      <c r="BD13" s="12">
        <f>IF('Données projet'!$A$88&gt;35,BD12+BC13-BL12,IF(A13&lt;'Données projet'!$A$88,$BA$205^A13,IF(A13='Données projet'!$A$88,'Données projet'!$B$88,BD12+BC13-BL12)))</f>
        <v>22.95770424665556</v>
      </c>
      <c r="BE13" s="13">
        <f>BD13*VLOOKUP('Données projet'!$B$11,Paramètres!$A$1:$I$89,3,0)*VLOOKUP('Données projet'!$B$11,Paramètres!$A$1:$I$89,5,0)</f>
        <v>13.728707139500026</v>
      </c>
      <c r="BF13" s="13">
        <f t="shared" si="37"/>
        <v>4.6640330093129414</v>
      </c>
      <c r="BG13" s="20">
        <f t="shared" si="7"/>
        <v>32.034022425849251</v>
      </c>
      <c r="BH13" s="59">
        <f t="shared" si="8"/>
        <v>233.08359127630928</v>
      </c>
      <c r="BI13" s="59">
        <f ca="1">AVERAGE(OFFSET($BH$3,0,0,'Données projet'!$E$11+1,1))-AVERAGE(OFFSET($H$3,0,0,'Données projet'!$E$11+1,1))</f>
        <v>525.88595000893986</v>
      </c>
      <c r="BJ13" s="59">
        <f t="shared" si="38"/>
        <v>458.67158147469263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51.498367262246674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4.4080000000000004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16.16266666666667</v>
      </c>
      <c r="H14" s="66">
        <f t="shared" si="1"/>
        <v>192.01600000000005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3.6141025633333332</v>
      </c>
      <c r="N14" s="13">
        <f>IF('Données projet'!$A$36&gt;35,N13+M14-V13,IF(A14&lt;'Données projet'!$A$36,$K$205^A14,IF(A14='Données projet'!$A$36,'Données projet'!$B$36,N13+M14-V13)))</f>
        <v>5.5745690619630484</v>
      </c>
      <c r="O14" s="13">
        <f>N14*VLOOKUP('Données projet'!$B$9,Paramètres!$A$1:$I$89,3,0)*VLOOKUP('Données projet'!$B$9,Paramètres!$A$1:$I$89,5,0)</f>
        <v>5.0438700872641657</v>
      </c>
      <c r="P14" s="13">
        <f t="shared" si="33"/>
        <v>1.925370174382619</v>
      </c>
      <c r="Q14" s="20">
        <f t="shared" si="2"/>
        <v>12.138093455701485</v>
      </c>
      <c r="R14" s="59">
        <f t="shared" si="0"/>
        <v>215.5867450650521</v>
      </c>
      <c r="S14" s="59">
        <f ca="1">AVERAGE(OFFSET($R$3,0,0,'Données projet'!$E$9+1,1))-AVERAGE(OFFSET($H$3,0,0,'Données projet'!$E$9+1,1))</f>
        <v>737.52606296329941</v>
      </c>
      <c r="T14" s="59">
        <f t="shared" si="34"/>
        <v>270.54143254083715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4.64205375893384</v>
      </c>
      <c r="AK14" s="13">
        <f t="shared" si="35"/>
        <v>1.7891929046570942</v>
      </c>
      <c r="AL14" s="20">
        <f t="shared" si="4"/>
        <v>11.201087939087543</v>
      </c>
      <c r="AM14" s="59">
        <f t="shared" si="5"/>
        <v>214.64973954843816</v>
      </c>
      <c r="AN14" s="59">
        <f ca="1">AVERAGE(OFFSET($AM$3,0,0,'Données projet'!$E$10+1,1))-AVERAGE(OFFSET($H$3,0,0,'Données projet'!$E$10+1,1))</f>
        <v>691.79662395689525</v>
      </c>
      <c r="AO14" s="59">
        <f t="shared" si="36"/>
        <v>213.38682325741539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7.333333333333333</v>
      </c>
      <c r="BD14" s="12">
        <f>IF('Données projet'!$A$88&gt;35,BD13+BC14-BL13,IF(A14&lt;'Données projet'!$A$88,$BA$205^A14,IF(A14='Données projet'!$A$88,'Données projet'!$B$88,BD13+BC14-BL13)))</f>
        <v>31.406627418114457</v>
      </c>
      <c r="BE14" s="13">
        <f>BD14*VLOOKUP('Données projet'!$B$11,Paramètres!$A$1:$I$89,3,0)*VLOOKUP('Données projet'!$B$11,Paramètres!$A$1:$I$89,5,0)</f>
        <v>18.781163196032448</v>
      </c>
      <c r="BF14" s="13">
        <f t="shared" si="37"/>
        <v>6.1519564708734276</v>
      </c>
      <c r="BG14" s="20">
        <f t="shared" si="7"/>
        <v>43.425183419861064</v>
      </c>
      <c r="BH14" s="59">
        <f t="shared" si="8"/>
        <v>246.87383502921168</v>
      </c>
      <c r="BI14" s="59">
        <f ca="1">AVERAGE(OFFSET($BH$3,0,0,'Données projet'!$E$11+1,1))-AVERAGE(OFFSET($H$3,0,0,'Données projet'!$E$11+1,1))</f>
        <v>525.88595000893986</v>
      </c>
      <c r="BJ14" s="59">
        <f t="shared" si="38"/>
        <v>458.67158147469263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51.81932922679259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4.4080000000000004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16.16266666666667</v>
      </c>
      <c r="H15" s="66">
        <f t="shared" si="1"/>
        <v>192.01600000000005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3.6141025633333332</v>
      </c>
      <c r="N15" s="13">
        <f>IF('Données projet'!$A$36&gt;35,N14+M15-V14,IF(A15&lt;'Données projet'!$A$36,$K$205^A15,IF(A15='Données projet'!$A$36,'Données projet'!$B$36,N14+M15-V14)))</f>
        <v>6.5170145577017573</v>
      </c>
      <c r="O15" s="13">
        <f>N15*VLOOKUP('Données projet'!$B$9,Paramètres!$A$1:$I$89,3,0)*VLOOKUP('Données projet'!$B$9,Paramètres!$A$1:$I$89,5,0)</f>
        <v>5.8965947718085499</v>
      </c>
      <c r="P15" s="13">
        <f t="shared" si="33"/>
        <v>2.2103210441651773</v>
      </c>
      <c r="Q15" s="20">
        <f t="shared" si="2"/>
        <v>14.119545046154242</v>
      </c>
      <c r="R15" s="59">
        <f t="shared" si="0"/>
        <v>219.9468635151502</v>
      </c>
      <c r="S15" s="59">
        <f ca="1">AVERAGE(OFFSET($R$3,0,0,'Données projet'!$E$9+1,1))-AVERAGE(OFFSET($H$3,0,0,'Données projet'!$E$9+1,1))</f>
        <v>737.52606296329941</v>
      </c>
      <c r="T15" s="59">
        <f t="shared" si="34"/>
        <v>270.54143254083715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5.361408130188428</v>
      </c>
      <c r="AK15" s="13">
        <f t="shared" si="35"/>
        <v>2.0320896934290391</v>
      </c>
      <c r="AL15" s="20">
        <f t="shared" si="4"/>
        <v>12.87700870946709</v>
      </c>
      <c r="AM15" s="59">
        <f t="shared" si="5"/>
        <v>218.70432717846305</v>
      </c>
      <c r="AN15" s="59">
        <f ca="1">AVERAGE(OFFSET($AM$3,0,0,'Données projet'!$E$10+1,1))-AVERAGE(OFFSET($H$3,0,0,'Données projet'!$E$10+1,1))</f>
        <v>691.79662395689525</v>
      </c>
      <c r="AO15" s="59">
        <f t="shared" si="36"/>
        <v>213.38682325741539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7.333333333333333</v>
      </c>
      <c r="BD15" s="12">
        <f>IF('Données projet'!$A$88&gt;35,BD14+BC15-BL14,IF(A15&lt;'Données projet'!$A$88,$BA$205^A15,IF(A15='Données projet'!$A$88,'Données projet'!$B$88,BD14+BC15-BL14)))</f>
        <v>42.964933914241549</v>
      </c>
      <c r="BE15" s="13">
        <f>BD15*VLOOKUP('Données projet'!$B$11,Paramètres!$A$1:$I$89,3,0)*VLOOKUP('Données projet'!$B$11,Paramètres!$A$1:$I$89,5,0)</f>
        <v>25.693030480716448</v>
      </c>
      <c r="BF15" s="13">
        <f t="shared" si="37"/>
        <v>8.1145584398633126</v>
      </c>
      <c r="BG15" s="20">
        <f t="shared" si="7"/>
        <v>58.881550703343073</v>
      </c>
      <c r="BH15" s="59">
        <f t="shared" si="8"/>
        <v>264.70886917233906</v>
      </c>
      <c r="BI15" s="59">
        <f ca="1">AVERAGE(OFFSET($BH$3,0,0,'Données projet'!$E$11+1,1))-AVERAGE(OFFSET($H$3,0,0,'Données projet'!$E$11+1,1))</f>
        <v>525.88595000893986</v>
      </c>
      <c r="BJ15" s="59">
        <f t="shared" si="38"/>
        <v>458.67158147469263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52.134723218817086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4.4080000000000004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16.16266666666667</v>
      </c>
      <c r="H16" s="66">
        <f t="shared" si="1"/>
        <v>192.01600000000005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3.6141025633333332</v>
      </c>
      <c r="N16" s="13">
        <f>IF('Données projet'!$A$36&gt;35,N15+M16-V15,IF(A16&lt;'Données projet'!$A$36,$K$205^A16,IF(A16='Données projet'!$A$36,'Données projet'!$B$36,N15+M16-V15)))</f>
        <v>7.6187913851659363</v>
      </c>
      <c r="O16" s="13">
        <f>N16*VLOOKUP('Données projet'!$B$9,Paramètres!$A$1:$I$89,3,0)*VLOOKUP('Données projet'!$B$9,Paramètres!$A$1:$I$89,5,0)</f>
        <v>6.8934824452981394</v>
      </c>
      <c r="P16" s="13">
        <f t="shared" si="33"/>
        <v>2.5374440631116602</v>
      </c>
      <c r="Q16" s="20">
        <f t="shared" si="2"/>
        <v>16.425530335480399</v>
      </c>
      <c r="R16" s="59">
        <f t="shared" si="0"/>
        <v>224.61145393508534</v>
      </c>
      <c r="S16" s="59">
        <f ca="1">AVERAGE(OFFSET($R$3,0,0,'Données projet'!$E$9+1,1))-AVERAGE(OFFSET($H$3,0,0,'Données projet'!$E$9+1,1))</f>
        <v>737.52606296329941</v>
      </c>
      <c r="T16" s="59">
        <f t="shared" si="34"/>
        <v>270.54143254083715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6.1922370207648108</v>
      </c>
      <c r="AK16" s="13">
        <f t="shared" si="35"/>
        <v>2.307961601788231</v>
      </c>
      <c r="AL16" s="20">
        <f t="shared" si="4"/>
        <v>14.804512600946547</v>
      </c>
      <c r="AM16" s="59">
        <f t="shared" si="5"/>
        <v>222.99043620055147</v>
      </c>
      <c r="AN16" s="59">
        <f ca="1">AVERAGE(OFFSET($AM$3,0,0,'Données projet'!$E$10+1,1))-AVERAGE(OFFSET($H$3,0,0,'Données projet'!$E$10+1,1))</f>
        <v>691.79662395689525</v>
      </c>
      <c r="AO16" s="59">
        <f t="shared" si="36"/>
        <v>213.38682325741539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7.333333333333333</v>
      </c>
      <c r="BD16" s="12">
        <f>IF('Données projet'!$A$88&gt;35,BD15+BC16-BL15,IF(A16&lt;'Données projet'!$A$88,$BA$205^A16,IF(A16='Données projet'!$A$88,'Données projet'!$B$88,BD15+BC16-BL15)))</f>
        <v>58.776942894238665</v>
      </c>
      <c r="BE16" s="13">
        <f>BD16*VLOOKUP('Données projet'!$B$11,Paramètres!$A$1:$I$89,3,0)*VLOOKUP('Données projet'!$B$11,Paramètres!$A$1:$I$89,5,0)</f>
        <v>35.148611850754726</v>
      </c>
      <c r="BF16" s="13">
        <f t="shared" si="37"/>
        <v>10.703271225293379</v>
      </c>
      <c r="BG16" s="20">
        <f t="shared" si="7"/>
        <v>79.858696357450455</v>
      </c>
      <c r="BH16" s="59">
        <f t="shared" si="8"/>
        <v>288.04461995705537</v>
      </c>
      <c r="BI16" s="59">
        <f ca="1">AVERAGE(OFFSET($BH$3,0,0,'Données projet'!$E$11+1,1))-AVERAGE(OFFSET($H$3,0,0,'Données projet'!$E$11+1,1))</f>
        <v>525.88595000893986</v>
      </c>
      <c r="BJ16" s="59">
        <f t="shared" si="38"/>
        <v>458.67158147469263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52.444645830195284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4.4080000000000004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16.16266666666667</v>
      </c>
      <c r="H17" s="66">
        <f t="shared" si="1"/>
        <v>192.01600000000005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3.6141025633333332</v>
      </c>
      <c r="N17" s="13">
        <f>IF('Données projet'!$A$36&gt;35,N16+M17-V16,IF(A17&lt;'Données projet'!$A$36,$K$205^A17,IF(A17='Données projet'!$A$36,'Données projet'!$B$36,N16+M17-V16)))</f>
        <v>8.9068363522497265</v>
      </c>
      <c r="O17" s="13">
        <f>N17*VLOOKUP('Données projet'!$B$9,Paramètres!$A$1:$I$89,3,0)*VLOOKUP('Données projet'!$B$9,Paramètres!$A$1:$I$89,5,0)</f>
        <v>8.0589055315155527</v>
      </c>
      <c r="P17" s="13">
        <f t="shared" si="33"/>
        <v>2.9129806235240516</v>
      </c>
      <c r="Q17" s="20">
        <f t="shared" si="2"/>
        <v>19.109368386693976</v>
      </c>
      <c r="R17" s="59">
        <f t="shared" si="0"/>
        <v>229.63418341401893</v>
      </c>
      <c r="S17" s="59">
        <f ca="1">AVERAGE(OFFSET($R$3,0,0,'Données projet'!$E$9+1,1))-AVERAGE(OFFSET($H$3,0,0,'Données projet'!$E$9+1,1))</f>
        <v>737.52606296329941</v>
      </c>
      <c r="T17" s="59">
        <f t="shared" si="34"/>
        <v>270.54143254083715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7.151815043780795</v>
      </c>
      <c r="AK17" s="13">
        <f t="shared" si="35"/>
        <v>2.6212852575126289</v>
      </c>
      <c r="AL17" s="20">
        <f t="shared" si="4"/>
        <v>17.021483024752712</v>
      </c>
      <c r="AM17" s="59">
        <f t="shared" si="5"/>
        <v>227.54629805207767</v>
      </c>
      <c r="AN17" s="59">
        <f ca="1">AVERAGE(OFFSET($AM$3,0,0,'Données projet'!$E$10+1,1))-AVERAGE(OFFSET($H$3,0,0,'Données projet'!$E$10+1,1))</f>
        <v>691.79662395689525</v>
      </c>
      <c r="AO17" s="59">
        <f t="shared" si="36"/>
        <v>213.38682325741539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7.333333333333333</v>
      </c>
      <c r="BD17" s="12">
        <f>IF('Données projet'!$A$88&gt;35,BD16+BC17-BL16,IF(A17&lt;'Données projet'!$A$88,$BA$205^A17,IF(A17='Données projet'!$A$88,'Données projet'!$B$88,BD16+BC17-BL16)))</f>
        <v>80.408107292525273</v>
      </c>
      <c r="BE17" s="13">
        <f>BD17*VLOOKUP('Données projet'!$B$11,Paramètres!$A$1:$I$89,3,0)*VLOOKUP('Données projet'!$B$11,Paramètres!$A$1:$I$89,5,0)</f>
        <v>48.084048160930124</v>
      </c>
      <c r="BF17" s="13">
        <f t="shared" si="37"/>
        <v>14.11783718993377</v>
      </c>
      <c r="BG17" s="20">
        <f t="shared" si="7"/>
        <v>108.33495031942128</v>
      </c>
      <c r="BH17" s="59">
        <f t="shared" si="8"/>
        <v>318.85976534674626</v>
      </c>
      <c r="BI17" s="59">
        <f ca="1">AVERAGE(OFFSET($BH$3,0,0,'Données projet'!$E$11+1,1))-AVERAGE(OFFSET($H$3,0,0,'Données projet'!$E$11+1,1))</f>
        <v>525.88595000893986</v>
      </c>
      <c r="BJ17" s="59">
        <f t="shared" si="38"/>
        <v>458.67158147469263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52.749191977149238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4.4080000000000004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16.16266666666667</v>
      </c>
      <c r="H18" s="66">
        <f t="shared" si="1"/>
        <v>192.01600000000005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3.6141025633333332</v>
      </c>
      <c r="N18" s="13">
        <f>IF('Données projet'!$A$36&gt;35,N17+M18-V17,IF(A18&lt;'Données projet'!$A$36,$K$205^A18,IF(A18='Données projet'!$A$36,'Données projet'!$B$36,N17+M18-V17)))</f>
        <v>10.412640246354426</v>
      </c>
      <c r="O18" s="13">
        <f>N18*VLOOKUP('Données projet'!$B$9,Paramètres!$A$1:$I$89,3,0)*VLOOKUP('Données projet'!$B$9,Paramètres!$A$1:$I$89,5,0)</f>
        <v>9.4213568949014839</v>
      </c>
      <c r="P18" s="13">
        <f t="shared" si="33"/>
        <v>3.3440958310706095</v>
      </c>
      <c r="Q18" s="20">
        <f t="shared" si="2"/>
        <v>22.233163497734726</v>
      </c>
      <c r="R18" s="59">
        <f t="shared" si="0"/>
        <v>235.07749823856264</v>
      </c>
      <c r="S18" s="59">
        <f ca="1">AVERAGE(OFFSET($R$3,0,0,'Données projet'!$E$9+1,1))-AVERAGE(OFFSET($H$3,0,0,'Données projet'!$E$9+1,1))</f>
        <v>737.52606296329941</v>
      </c>
      <c r="T18" s="59">
        <f t="shared" si="34"/>
        <v>270.54143254083715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8.2600937672330694</v>
      </c>
      <c r="AK18" s="13">
        <f t="shared" si="35"/>
        <v>2.9771450252591833</v>
      </c>
      <c r="AL18" s="20">
        <f t="shared" si="4"/>
        <v>19.571524230257339</v>
      </c>
      <c r="AM18" s="59">
        <f t="shared" si="5"/>
        <v>232.41585897108524</v>
      </c>
      <c r="AN18" s="59">
        <f ca="1">AVERAGE(OFFSET($AM$3,0,0,'Données projet'!$E$10+1,1))-AVERAGE(OFFSET($H$3,0,0,'Données projet'!$E$10+1,1))</f>
        <v>691.79662395689525</v>
      </c>
      <c r="AO18" s="59">
        <f t="shared" si="36"/>
        <v>213.38682325741539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110</v>
      </c>
      <c r="BB18" s="12">
        <f>VLOOKUP(A18,'Données projet'!$A$87:$I$107,9,0)</f>
        <v>7.333333333333333</v>
      </c>
      <c r="BC18" s="12">
        <f t="array" ref="BC18">INDEX(BB:BB,MIN(IF(ISNUMBER(BB18:BB214),ROW(BB18:BB214),"")))</f>
        <v>7.333333333333333</v>
      </c>
      <c r="BD18" s="12">
        <f>IF('Données projet'!$A$88&gt;35,BD17+BC18-BL17,IF(A18&lt;'Données projet'!$A$88,$BA$205^A18,IF(A18='Données projet'!$A$88,'Données projet'!$B$88,BD17+BC18-BL17)))</f>
        <v>110</v>
      </c>
      <c r="BE18" s="13">
        <f>BD18*VLOOKUP('Données projet'!$B$11,Paramètres!$A$1:$I$89,3,0)*VLOOKUP('Données projet'!$B$11,Paramètres!$A$1:$I$89,5,0)</f>
        <v>65.78</v>
      </c>
      <c r="BF18" s="13">
        <f t="shared" si="37"/>
        <v>18.621720661480644</v>
      </c>
      <c r="BG18" s="20">
        <f t="shared" si="7"/>
        <v>146.99966348541213</v>
      </c>
      <c r="BH18" s="59">
        <f t="shared" si="8"/>
        <v>359.84399822624005</v>
      </c>
      <c r="BI18" s="59">
        <f ca="1">AVERAGE(OFFSET($BH$3,0,0,'Données projet'!$E$11+1,1))-AVERAGE(OFFSET($H$3,0,0,'Données projet'!$E$11+1,1))</f>
        <v>525.88595000893986</v>
      </c>
      <c r="BJ18" s="59">
        <f t="shared" si="38"/>
        <v>458.67158147469263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14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1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9.4790487948915736</v>
      </c>
      <c r="BS18" s="22">
        <f t="shared" si="9"/>
        <v>9.4790487948915736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53.048454929316705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4.4080000000000004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16.16266666666667</v>
      </c>
      <c r="H19" s="66">
        <f t="shared" si="1"/>
        <v>192.01600000000005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3.6141025633333332</v>
      </c>
      <c r="N19" s="13">
        <f>IF('Données projet'!$A$36&gt;35,N18+M19-V18,IF(A19&lt;'Données projet'!$A$36,$K$205^A19,IF(A19='Données projet'!$A$36,'Données projet'!$B$36,N18+M19-V18)))</f>
        <v>12.173017737393817</v>
      </c>
      <c r="O19" s="13">
        <f>N19*VLOOKUP('Données projet'!$B$9,Paramètres!$A$1:$I$89,3,0)*VLOOKUP('Données projet'!$B$9,Paramètres!$A$1:$I$89,5,0)</f>
        <v>11.014146448793925</v>
      </c>
      <c r="P19" s="13">
        <f t="shared" si="33"/>
        <v>3.8390152124853296</v>
      </c>
      <c r="Q19" s="20">
        <f t="shared" si="2"/>
        <v>25.86925656006137</v>
      </c>
      <c r="R19" s="59">
        <f t="shared" si="0"/>
        <v>241.01407535610821</v>
      </c>
      <c r="S19" s="59">
        <f ca="1">AVERAGE(OFFSET($R$3,0,0,'Données projet'!$E$9+1,1))-AVERAGE(OFFSET($H$3,0,0,'Données projet'!$E$9+1,1))</f>
        <v>737.52606296329941</v>
      </c>
      <c r="T19" s="59">
        <f t="shared" si="34"/>
        <v>270.54143254083715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9.540116547451067</v>
      </c>
      <c r="AK19" s="13">
        <f t="shared" si="35"/>
        <v>3.3813155115502744</v>
      </c>
      <c r="AL19" s="20">
        <f t="shared" si="4"/>
        <v>22.504827502760673</v>
      </c>
      <c r="AM19" s="59">
        <f t="shared" si="5"/>
        <v>237.64964629880751</v>
      </c>
      <c r="AN19" s="59">
        <f ca="1">AVERAGE(OFFSET($AM$3,0,0,'Données projet'!$E$10+1,1))-AVERAGE(OFFSET($H$3,0,0,'Données projet'!$E$10+1,1))</f>
        <v>691.79662395689525</v>
      </c>
      <c r="AO19" s="59">
        <f t="shared" si="36"/>
        <v>213.38682325741539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21.4</v>
      </c>
      <c r="BD19" s="12">
        <f>IF('Données projet'!$A$88&gt;35,BD18+BC19-BL18,IF(A19&lt;'Données projet'!$A$88,$BA$205^A19,IF(A19='Données projet'!$A$88,'Données projet'!$B$88,BD18+BC19-BL18)))</f>
        <v>117.4</v>
      </c>
      <c r="BE19" s="13">
        <f>BD19*VLOOKUP('Données projet'!$B$11,Paramètres!$A$1:$I$89,3,0)*VLOOKUP('Données projet'!$B$11,Paramètres!$A$1:$I$89,5,0)</f>
        <v>70.205200000000005</v>
      </c>
      <c r="BF19" s="13">
        <f t="shared" si="37"/>
        <v>19.724407279037784</v>
      </c>
      <c r="BG19" s="20">
        <f t="shared" si="7"/>
        <v>156.62739934432412</v>
      </c>
      <c r="BH19" s="59">
        <f t="shared" si="8"/>
        <v>371.77221814037097</v>
      </c>
      <c r="BI19" s="59">
        <f ca="1">AVERAGE(OFFSET($BH$3,0,0,'Données projet'!$E$11+1,1))-AVERAGE(OFFSET($H$3,0,0,'Données projet'!$E$11+1,1))</f>
        <v>525.88595000893986</v>
      </c>
      <c r="BJ19" s="59">
        <f t="shared" si="38"/>
        <v>458.67158147469263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6.7026996820660036</v>
      </c>
      <c r="BS19" s="22">
        <f t="shared" si="9"/>
        <v>6.7026996820660036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53.342526338315807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4.4080000000000004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16.16266666666667</v>
      </c>
      <c r="H20" s="66">
        <f t="shared" si="1"/>
        <v>192.01600000000005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3.6141025633333332</v>
      </c>
      <c r="N20" s="13">
        <f>IF('Données projet'!$A$36&gt;35,N19+M20-V19,IF(A20&lt;'Données projet'!$A$36,$K$205^A20,IF(A20='Données projet'!$A$36,'Données projet'!$B$36,N19+M20-V19)))</f>
        <v>14.231007441823861</v>
      </c>
      <c r="O20" s="13">
        <f>N20*VLOOKUP('Données projet'!$B$9,Paramètres!$A$1:$I$89,3,0)*VLOOKUP('Données projet'!$B$9,Paramètres!$A$1:$I$89,5,0)</f>
        <v>12.876215533362229</v>
      </c>
      <c r="P20" s="13">
        <f t="shared" si="33"/>
        <v>4.4071816557288699</v>
      </c>
      <c r="Q20" s="20">
        <f t="shared" si="2"/>
        <v>30.101916771000322</v>
      </c>
      <c r="R20" s="59">
        <f t="shared" si="0"/>
        <v>247.52851419009596</v>
      </c>
      <c r="S20" s="59">
        <f ca="1">AVERAGE(OFFSET($R$3,0,0,'Données projet'!$E$9+1,1))-AVERAGE(OFFSET($H$3,0,0,'Données projet'!$E$9+1,1))</f>
        <v>737.52606296329941</v>
      </c>
      <c r="T20" s="59">
        <f t="shared" si="34"/>
        <v>270.54143254083715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11.01849764708386</v>
      </c>
      <c r="AK20" s="13">
        <f t="shared" si="35"/>
        <v>3.8403552704508019</v>
      </c>
      <c r="AL20" s="20">
        <f t="shared" si="4"/>
        <v>25.879168831372866</v>
      </c>
      <c r="AM20" s="59">
        <f t="shared" si="5"/>
        <v>243.30576625046848</v>
      </c>
      <c r="AN20" s="59">
        <f ca="1">AVERAGE(OFFSET($AM$3,0,0,'Données projet'!$E$10+1,1))-AVERAGE(OFFSET($H$3,0,0,'Données projet'!$E$10+1,1))</f>
        <v>691.79662395689525</v>
      </c>
      <c r="AO20" s="59">
        <f t="shared" si="36"/>
        <v>213.38682325741539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21.4</v>
      </c>
      <c r="BD20" s="12">
        <f>IF('Données projet'!$A$88&gt;35,BD19+BC20-BL19,IF(A20&lt;'Données projet'!$A$88,$BA$205^A20,IF(A20='Données projet'!$A$88,'Données projet'!$B$88,BD19+BC20-BL19)))</f>
        <v>138.80000000000001</v>
      </c>
      <c r="BE20" s="13">
        <f>BD20*VLOOKUP('Données projet'!$B$11,Paramètres!$A$1:$I$89,3,0)*VLOOKUP('Données projet'!$B$11,Paramètres!$A$1:$I$89,5,0)</f>
        <v>83.002400000000009</v>
      </c>
      <c r="BF20" s="13">
        <f t="shared" si="37"/>
        <v>22.869705036637765</v>
      </c>
      <c r="BG20" s="20">
        <f t="shared" si="7"/>
        <v>184.39391627214411</v>
      </c>
      <c r="BH20" s="59">
        <f t="shared" si="8"/>
        <v>401.82051369123974</v>
      </c>
      <c r="BI20" s="59">
        <f ca="1">AVERAGE(OFFSET($BH$3,0,0,'Données projet'!$E$11+1,1))-AVERAGE(OFFSET($H$3,0,0,'Données projet'!$E$11+1,1))</f>
        <v>525.88595000893986</v>
      </c>
      <c r="BJ20" s="59">
        <f t="shared" si="38"/>
        <v>458.67158147469263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4.7395243974457877</v>
      </c>
      <c r="BS20" s="22">
        <f t="shared" si="9"/>
        <v>4.7395243974457877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53.631496265813965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4.4080000000000004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16.16266666666667</v>
      </c>
      <c r="H21" s="66">
        <f t="shared" si="1"/>
        <v>192.01600000000005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3.6141025633333332</v>
      </c>
      <c r="N21" s="13">
        <f>IF('Données projet'!$A$36&gt;35,N20+M21-V20,IF(A21&lt;'Données projet'!$A$36,$K$205^A21,IF(A21='Données projet'!$A$36,'Données projet'!$B$36,N20+M21-V20)))</f>
        <v>16.636924152926191</v>
      </c>
      <c r="O21" s="13">
        <f>N21*VLOOKUP('Données projet'!$B$9,Paramètres!$A$1:$I$89,3,0)*VLOOKUP('Données projet'!$B$9,Paramètres!$A$1:$I$89,5,0)</f>
        <v>15.053088973567618</v>
      </c>
      <c r="P21" s="13">
        <f t="shared" si="33"/>
        <v>5.0594355769741002</v>
      </c>
      <c r="Q21" s="20">
        <f t="shared" si="2"/>
        <v>35.029313592193489</v>
      </c>
      <c r="R21" s="59">
        <f t="shared" si="0"/>
        <v>254.71930869959681</v>
      </c>
      <c r="S21" s="59">
        <f ca="1">AVERAGE(OFFSET($R$3,0,0,'Données projet'!$E$9+1,1))-AVERAGE(OFFSET($H$3,0,0,'Données projet'!$E$9+1,1))</f>
        <v>737.52606296329941</v>
      </c>
      <c r="T21" s="59">
        <f t="shared" si="34"/>
        <v>270.54143254083715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12.725975599452209</v>
      </c>
      <c r="AK21" s="13">
        <f t="shared" si="35"/>
        <v>4.3617132305164237</v>
      </c>
      <c r="AL21" s="20">
        <f t="shared" si="4"/>
        <v>29.761058045528703</v>
      </c>
      <c r="AM21" s="59">
        <f t="shared" si="5"/>
        <v>249.45105315293202</v>
      </c>
      <c r="AN21" s="59">
        <f ca="1">AVERAGE(OFFSET($AM$3,0,0,'Données projet'!$E$10+1,1))-AVERAGE(OFFSET($H$3,0,0,'Données projet'!$E$10+1,1))</f>
        <v>691.79662395689525</v>
      </c>
      <c r="AO21" s="59">
        <f t="shared" si="36"/>
        <v>213.38682325741539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21.4</v>
      </c>
      <c r="BD21" s="12">
        <f>IF('Données projet'!$A$88&gt;35,BD20+BC21-BL20,IF(A21&lt;'Données projet'!$A$88,$BA$205^A21,IF(A21='Données projet'!$A$88,'Données projet'!$B$88,BD20+BC21-BL20)))</f>
        <v>160.20000000000002</v>
      </c>
      <c r="BE21" s="13">
        <f>BD21*VLOOKUP('Données projet'!$B$11,Paramètres!$A$1:$I$89,3,0)*VLOOKUP('Données projet'!$B$11,Paramètres!$A$1:$I$89,5,0)</f>
        <v>95.799600000000012</v>
      </c>
      <c r="BF21" s="13">
        <f t="shared" si="37"/>
        <v>25.958824745990441</v>
      </c>
      <c r="BG21" s="20">
        <f t="shared" si="7"/>
        <v>212.06258976593335</v>
      </c>
      <c r="BH21" s="59">
        <f t="shared" si="8"/>
        <v>431.75258487333667</v>
      </c>
      <c r="BI21" s="59">
        <f ca="1">AVERAGE(OFFSET($BH$3,0,0,'Données projet'!$E$11+1,1))-AVERAGE(OFFSET($H$3,0,0,'Données projet'!$E$11+1,1))</f>
        <v>525.88595000893986</v>
      </c>
      <c r="BJ21" s="59">
        <f t="shared" si="38"/>
        <v>458.67158147469263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3.3513498410330023</v>
      </c>
      <c r="BS21" s="22">
        <f t="shared" si="9"/>
        <v>3.3513498410330023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53.915453211109991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4.4080000000000004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16.16266666666667</v>
      </c>
      <c r="H22" s="66">
        <f t="shared" si="1"/>
        <v>192.01600000000005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3.6141025633333332</v>
      </c>
      <c r="N22" s="13">
        <f>IF('Données projet'!$A$36&gt;35,N21+M22-V21,IF(A22&lt;'Données projet'!$A$36,$K$205^A22,IF(A22='Données projet'!$A$36,'Données projet'!$B$36,N21+M22-V21)))</f>
        <v>19.449588962813831</v>
      </c>
      <c r="O22" s="13">
        <f>N22*VLOOKUP('Données projet'!$B$9,Paramètres!$A$1:$I$89,3,0)*VLOOKUP('Données projet'!$B$9,Paramètres!$A$1:$I$89,5,0)</f>
        <v>17.597988093553951</v>
      </c>
      <c r="P22" s="13">
        <f t="shared" si="33"/>
        <v>5.80822175193906</v>
      </c>
      <c r="Q22" s="20">
        <f t="shared" si="2"/>
        <v>40.765815480900322</v>
      </c>
      <c r="R22" s="59">
        <f t="shared" si="0"/>
        <v>262.70114620999431</v>
      </c>
      <c r="S22" s="59">
        <f ca="1">AVERAGE(OFFSET($R$3,0,0,'Données projet'!$E$9+1,1))-AVERAGE(OFFSET($H$3,0,0,'Données projet'!$E$9+1,1))</f>
        <v>737.52606296329941</v>
      </c>
      <c r="T22" s="59">
        <f t="shared" si="34"/>
        <v>270.54143254083715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14.698052324829844</v>
      </c>
      <c r="AK22" s="13">
        <f t="shared" si="35"/>
        <v>4.9538495700239826</v>
      </c>
      <c r="AL22" s="20">
        <f t="shared" si="4"/>
        <v>34.227062466870414</v>
      </c>
      <c r="AM22" s="59">
        <f t="shared" si="5"/>
        <v>256.1623931959644</v>
      </c>
      <c r="AN22" s="59">
        <f ca="1">AVERAGE(OFFSET($AM$3,0,0,'Données projet'!$E$10+1,1))-AVERAGE(OFFSET($H$3,0,0,'Données projet'!$E$10+1,1))</f>
        <v>691.79662395689525</v>
      </c>
      <c r="AO22" s="59">
        <f t="shared" si="36"/>
        <v>213.38682325741539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21.4</v>
      </c>
      <c r="BD22" s="12">
        <f>IF('Données projet'!$A$88&gt;35,BD21+BC22-BL21,IF(A22&lt;'Données projet'!$A$88,$BA$205^A22,IF(A22='Données projet'!$A$88,'Données projet'!$B$88,BD21+BC22-BL21)))</f>
        <v>181.60000000000002</v>
      </c>
      <c r="BE22" s="13">
        <f>BD22*VLOOKUP('Données projet'!$B$11,Paramètres!$A$1:$I$89,3,0)*VLOOKUP('Données projet'!$B$11,Paramètres!$A$1:$I$89,5,0)</f>
        <v>108.59680000000003</v>
      </c>
      <c r="BF22" s="13">
        <f t="shared" si="37"/>
        <v>29.000133087134955</v>
      </c>
      <c r="BG22" s="20">
        <f t="shared" si="7"/>
        <v>239.64799179342674</v>
      </c>
      <c r="BH22" s="59">
        <f t="shared" si="8"/>
        <v>461.58332252252069</v>
      </c>
      <c r="BI22" s="59">
        <f ca="1">AVERAGE(OFFSET($BH$3,0,0,'Données projet'!$E$11+1,1))-AVERAGE(OFFSET($H$3,0,0,'Données projet'!$E$11+1,1))</f>
        <v>525.88595000893986</v>
      </c>
      <c r="BJ22" s="59">
        <f t="shared" si="38"/>
        <v>458.67158147469263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2.3697621987228943</v>
      </c>
      <c r="BS22" s="22">
        <f t="shared" si="9"/>
        <v>2.3697621987228943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54.194484138237755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4.4080000000000004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16.16266666666667</v>
      </c>
      <c r="H23" s="66">
        <f t="shared" si="1"/>
        <v>192.01600000000005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3.6141025633333332</v>
      </c>
      <c r="N23" s="13">
        <f>IF('Données projet'!$A$36&gt;35,N22+M23-V22,IF(A23&lt;'Données projet'!$A$36,$K$205^A23,IF(A23='Données projet'!$A$36,'Données projet'!$B$36,N22+M23-V22)))</f>
        <v>22.737767350816139</v>
      </c>
      <c r="O23" s="13">
        <f>N23*VLOOKUP('Données projet'!$B$9,Paramètres!$A$1:$I$89,3,0)*VLOOKUP('Données projet'!$B$9,Paramètres!$A$1:$I$89,5,0)</f>
        <v>20.573131899018442</v>
      </c>
      <c r="P23" s="13">
        <f t="shared" si="33"/>
        <v>6.6678267578365462</v>
      </c>
      <c r="Q23" s="20">
        <f t="shared" si="2"/>
        <v>47.444669660689108</v>
      </c>
      <c r="R23" s="59">
        <f t="shared" si="0"/>
        <v>271.60758728133192</v>
      </c>
      <c r="S23" s="59">
        <f ca="1">AVERAGE(OFFSET($R$3,0,0,'Données projet'!$E$9+1,1))-AVERAGE(OFFSET($H$3,0,0,'Données projet'!$E$9+1,1))</f>
        <v>737.52606296329941</v>
      </c>
      <c r="T23" s="59">
        <f t="shared" si="34"/>
        <v>270.54143254083715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16.975731287174167</v>
      </c>
      <c r="AK23" s="13">
        <f t="shared" si="35"/>
        <v>5.6263730019502409</v>
      </c>
      <c r="AL23" s="20">
        <f t="shared" si="4"/>
        <v>39.365331636891675</v>
      </c>
      <c r="AM23" s="59">
        <f t="shared" si="5"/>
        <v>263.52824925753447</v>
      </c>
      <c r="AN23" s="59">
        <f ca="1">AVERAGE(OFFSET($AM$3,0,0,'Données projet'!$E$10+1,1))-AVERAGE(OFFSET($H$3,0,0,'Données projet'!$E$10+1,1))</f>
        <v>691.79662395689525</v>
      </c>
      <c r="AO23" s="59">
        <f t="shared" si="36"/>
        <v>213.38682325741539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203</v>
      </c>
      <c r="BB23" s="12">
        <f>VLOOKUP(A23,'Données projet'!$A$87:$I$107,9,0)</f>
        <v>21.4</v>
      </c>
      <c r="BC23" s="12">
        <f t="array" ref="BC23">INDEX(BB:BB,MIN(IF(ISNUMBER(BB23:BB219),ROW(BB23:BB219),"")))</f>
        <v>21.4</v>
      </c>
      <c r="BD23" s="12">
        <f>IF('Données projet'!$A$88&gt;35,BD22+BC23-BL22,IF(A23&lt;'Données projet'!$A$88,$BA$205^A23,IF(A23='Données projet'!$A$88,'Données projet'!$B$88,BD22+BC23-BL22)))</f>
        <v>203.00000000000003</v>
      </c>
      <c r="BE23" s="13">
        <f>BD23*VLOOKUP('Données projet'!$B$11,Paramètres!$A$1:$I$89,3,0)*VLOOKUP('Données projet'!$B$11,Paramètres!$A$1:$I$89,5,0)</f>
        <v>121.39400000000003</v>
      </c>
      <c r="BF23" s="13">
        <f t="shared" si="37"/>
        <v>31.999908030972463</v>
      </c>
      <c r="BG23" s="20">
        <f t="shared" si="7"/>
        <v>267.16105648727711</v>
      </c>
      <c r="BH23" s="59">
        <f t="shared" si="8"/>
        <v>491.32397410791992</v>
      </c>
      <c r="BI23" s="59">
        <f ca="1">AVERAGE(OFFSET($BH$3,0,0,'Données projet'!$E$11+1,1))-AVERAGE(OFFSET($H$3,0,0,'Données projet'!$E$11+1,1))</f>
        <v>525.88595000893986</v>
      </c>
      <c r="BJ23" s="59">
        <f t="shared" si="38"/>
        <v>458.67158147469263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22.401094880093407</v>
      </c>
      <c r="BR23" s="21">
        <f>EXP(-LN(2)/2)*BR22+(1-EXP(-LN(2)/2))/(LN(2)/2)*BL23*BO23*VLOOKUP('Données projet'!$B$11,Paramètres!$A$1:$I$89,3,0)*0.475*44/12</f>
        <v>1.6756749205165016</v>
      </c>
      <c r="BS23" s="22">
        <f t="shared" si="9"/>
        <v>24.07676980060991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54.468674502599555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4.4080000000000004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16.16266666666667</v>
      </c>
      <c r="H24" s="66">
        <f t="shared" si="1"/>
        <v>192.01600000000005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3.6141025633333332</v>
      </c>
      <c r="N24" s="13">
        <f>IF('Données projet'!$A$36&gt;35,N23+M24-V23,IF(A24&lt;'Données projet'!$A$36,$K$205^A24,IF(A24='Données projet'!$A$36,'Données projet'!$B$36,N23+M24-V23)))</f>
        <v>26.581850397369195</v>
      </c>
      <c r="O24" s="13">
        <f>N24*VLOOKUP('Données projet'!$B$9,Paramètres!$A$1:$I$89,3,0)*VLOOKUP('Données projet'!$B$9,Paramètres!$A$1:$I$89,5,0)</f>
        <v>24.051258239539646</v>
      </c>
      <c r="P24" s="13">
        <f t="shared" si="33"/>
        <v>7.6546515562492337</v>
      </c>
      <c r="Q24" s="20">
        <f t="shared" si="2"/>
        <v>55.221126227665629</v>
      </c>
      <c r="R24" s="59">
        <f t="shared" si="0"/>
        <v>281.59418991050313</v>
      </c>
      <c r="S24" s="59">
        <f ca="1">AVERAGE(OFFSET($R$3,0,0,'Données projet'!$E$9+1,1))-AVERAGE(OFFSET($H$3,0,0,'Données projet'!$E$9+1,1))</f>
        <v>737.52606296329941</v>
      </c>
      <c r="T24" s="59">
        <f t="shared" si="34"/>
        <v>270.54143254083715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19.606370039077952</v>
      </c>
      <c r="AK24" s="13">
        <f t="shared" si="35"/>
        <v>6.390196696449407</v>
      </c>
      <c r="AL24" s="20">
        <f t="shared" si="4"/>
        <v>45.277353731043483</v>
      </c>
      <c r="AM24" s="59">
        <f t="shared" si="5"/>
        <v>271.65041741388097</v>
      </c>
      <c r="AN24" s="59">
        <f ca="1">AVERAGE(OFFSET($AM$3,0,0,'Données projet'!$E$10+1,1))-AVERAGE(OFFSET($H$3,0,0,'Données projet'!$E$10+1,1))</f>
        <v>691.79662395689525</v>
      </c>
      <c r="AO24" s="59">
        <f t="shared" si="36"/>
        <v>213.38682325741539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22.8</v>
      </c>
      <c r="BD24" s="12">
        <f>IF('Données projet'!$A$88&gt;35,BD23+BC24-BL23,IF(A24&lt;'Données projet'!$A$88,$BA$205^A24,IF(A24='Données projet'!$A$88,'Données projet'!$B$88,BD23+BC24-BL23)))</f>
        <v>162.80000000000004</v>
      </c>
      <c r="BE24" s="13">
        <f>BD24*VLOOKUP('Données projet'!$B$11,Paramètres!$A$1:$I$89,3,0)*VLOOKUP('Données projet'!$B$11,Paramètres!$A$1:$I$89,5,0)</f>
        <v>97.354400000000027</v>
      </c>
      <c r="BF24" s="13">
        <f t="shared" si="37"/>
        <v>26.330739676620471</v>
      </c>
      <c r="BG24" s="20">
        <f t="shared" si="7"/>
        <v>215.41828493678068</v>
      </c>
      <c r="BH24" s="59">
        <f t="shared" si="8"/>
        <v>441.79134861961813</v>
      </c>
      <c r="BI24" s="59">
        <f ca="1">AVERAGE(OFFSET($BH$3,0,0,'Données projet'!$E$11+1,1))-AVERAGE(OFFSET($H$3,0,0,'Données projet'!$E$11+1,1))</f>
        <v>525.88595000893986</v>
      </c>
      <c r="BJ24" s="59">
        <f t="shared" si="38"/>
        <v>458.67158147469263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21.78853576257487</v>
      </c>
      <c r="BR24" s="21">
        <f>EXP(-LN(2)/2)*BR23+(1-EXP(-LN(2)/2))/(LN(2)/2)*BL24*BO24*VLOOKUP('Données projet'!$B$11,Paramètres!$A$1:$I$89,3,0)*0.475*44/12</f>
        <v>1.1848810993614474</v>
      </c>
      <c r="BS24" s="22">
        <f t="shared" si="9"/>
        <v>22.973416861936318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54.738108277137499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4.4080000000000004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16.16266666666667</v>
      </c>
      <c r="H25" s="66">
        <f t="shared" si="1"/>
        <v>192.01600000000005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3.6141025633333332</v>
      </c>
      <c r="N25" s="13">
        <f>IF('Données projet'!$A$36&gt;35,N24+M25-V24,IF(A25&lt;'Données projet'!$A$36,$K$205^A25,IF(A25='Données projet'!$A$36,'Données projet'!$B$36,N24+M25-V24)))</f>
        <v>31.075820226595585</v>
      </c>
      <c r="O25" s="13">
        <f>N25*VLOOKUP('Données projet'!$B$9,Paramètres!$A$1:$I$89,3,0)*VLOOKUP('Données projet'!$B$9,Paramètres!$A$1:$I$89,5,0)</f>
        <v>28.117402141023685</v>
      </c>
      <c r="P25" s="13">
        <f t="shared" si="33"/>
        <v>8.7875244177160141</v>
      </c>
      <c r="Q25" s="20">
        <f t="shared" si="2"/>
        <v>64.27608042313831</v>
      </c>
      <c r="R25" s="59">
        <f t="shared" si="0"/>
        <v>292.84215189821379</v>
      </c>
      <c r="S25" s="59">
        <f ca="1">AVERAGE(OFFSET($R$3,0,0,'Données projet'!$E$9+1,1))-AVERAGE(OFFSET($H$3,0,0,'Données projet'!$E$9+1,1))</f>
        <v>737.52606296329941</v>
      </c>
      <c r="T25" s="59">
        <f t="shared" si="34"/>
        <v>270.54143254083715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22.644664881075869</v>
      </c>
      <c r="AK25" s="13">
        <f t="shared" si="35"/>
        <v>7.2577153710140871</v>
      </c>
      <c r="AL25" s="20">
        <f t="shared" si="4"/>
        <v>52.079978939056673</v>
      </c>
      <c r="AM25" s="59">
        <f t="shared" si="5"/>
        <v>280.64605041413211</v>
      </c>
      <c r="AN25" s="59">
        <f ca="1">AVERAGE(OFFSET($AM$3,0,0,'Données projet'!$E$10+1,1))-AVERAGE(OFFSET($H$3,0,0,'Données projet'!$E$10+1,1))</f>
        <v>691.79662395689525</v>
      </c>
      <c r="AO25" s="59">
        <f t="shared" si="36"/>
        <v>213.38682325741539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22.8</v>
      </c>
      <c r="BD25" s="12">
        <f>IF('Données projet'!$A$88&gt;35,BD24+BC25-BL24,IF(A25&lt;'Données projet'!$A$88,$BA$205^A25,IF(A25='Données projet'!$A$88,'Données projet'!$B$88,BD24+BC25-BL24)))</f>
        <v>185.60000000000005</v>
      </c>
      <c r="BE25" s="13">
        <f>BD25*VLOOKUP('Données projet'!$B$11,Paramètres!$A$1:$I$89,3,0)*VLOOKUP('Données projet'!$B$11,Paramètres!$A$1:$I$89,5,0)</f>
        <v>110.98880000000004</v>
      </c>
      <c r="BF25" s="13">
        <f t="shared" si="37"/>
        <v>29.56383208945169</v>
      </c>
      <c r="BG25" s="20">
        <f t="shared" si="7"/>
        <v>244.79583422246174</v>
      </c>
      <c r="BH25" s="59">
        <f t="shared" si="8"/>
        <v>473.36190569753717</v>
      </c>
      <c r="BI25" s="59">
        <f ca="1">AVERAGE(OFFSET($BH$3,0,0,'Données projet'!$E$11+1,1))-AVERAGE(OFFSET($H$3,0,0,'Données projet'!$E$11+1,1))</f>
        <v>525.88595000893986</v>
      </c>
      <c r="BJ25" s="59">
        <f t="shared" si="38"/>
        <v>458.67158147469263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21.192727106337962</v>
      </c>
      <c r="BR25" s="21">
        <f>EXP(-LN(2)/2)*BR24+(1-EXP(-LN(2)/2))/(LN(2)/2)*BL25*BO25*VLOOKUP('Données projet'!$B$11,Paramètres!$A$1:$I$89,3,0)*0.475*44/12</f>
        <v>0.8378374602582509</v>
      </c>
      <c r="BS25" s="22">
        <f t="shared" si="9"/>
        <v>22.030564566596212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55.002867978050887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4.4080000000000004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16.16266666666667</v>
      </c>
      <c r="H26" s="66">
        <f t="shared" si="1"/>
        <v>192.01600000000005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3.6141025633333332</v>
      </c>
      <c r="N26" s="13">
        <f>IF('Données projet'!$A$36&gt;35,N25+M26-V25,IF(A26&lt;'Données projet'!$A$36,$K$205^A26,IF(A26='Données projet'!$A$36,'Données projet'!$B$36,N25+M26-V25)))</f>
        <v>36.329547729727011</v>
      </c>
      <c r="O26" s="13">
        <f>N26*VLOOKUP('Données projet'!$B$9,Paramètres!$A$1:$I$89,3,0)*VLOOKUP('Données projet'!$B$9,Paramètres!$A$1:$I$89,5,0)</f>
        <v>32.870974785857001</v>
      </c>
      <c r="P26" s="13">
        <f t="shared" si="33"/>
        <v>10.088060158520545</v>
      </c>
      <c r="Q26" s="20">
        <f t="shared" si="2"/>
        <v>74.820319194790898</v>
      </c>
      <c r="R26" s="59">
        <f t="shared" si="0"/>
        <v>305.56255750281599</v>
      </c>
      <c r="S26" s="59">
        <f ca="1">AVERAGE(OFFSET($R$3,0,0,'Données projet'!$E$9+1,1))-AVERAGE(OFFSET($H$3,0,0,'Données projet'!$E$9+1,1))</f>
        <v>737.52606296329941</v>
      </c>
      <c r="T26" s="59">
        <f t="shared" si="34"/>
        <v>270.54143254083715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26.153788108364488</v>
      </c>
      <c r="AK26" s="13">
        <f t="shared" si="35"/>
        <v>8.2430064219966361</v>
      </c>
      <c r="AL26" s="20">
        <f t="shared" si="4"/>
        <v>59.907750473712277</v>
      </c>
      <c r="AM26" s="59">
        <f t="shared" si="5"/>
        <v>290.64998878173736</v>
      </c>
      <c r="AN26" s="59">
        <f ca="1">AVERAGE(OFFSET($AM$3,0,0,'Données projet'!$E$10+1,1))-AVERAGE(OFFSET($H$3,0,0,'Données projet'!$E$10+1,1))</f>
        <v>691.79662395689525</v>
      </c>
      <c r="AO26" s="59">
        <f t="shared" si="36"/>
        <v>213.38682325741539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22.8</v>
      </c>
      <c r="BD26" s="12">
        <f>IF('Données projet'!$A$88&gt;35,BD25+BC26-BL25,IF(A26&lt;'Données projet'!$A$88,$BA$205^A26,IF(A26='Données projet'!$A$88,'Données projet'!$B$88,BD25+BC26-BL25)))</f>
        <v>208.40000000000006</v>
      </c>
      <c r="BE26" s="13">
        <f>BD26*VLOOKUP('Données projet'!$B$11,Paramètres!$A$1:$I$89,3,0)*VLOOKUP('Données projet'!$B$11,Paramètres!$A$1:$I$89,5,0)</f>
        <v>124.62320000000004</v>
      </c>
      <c r="BF26" s="13">
        <f t="shared" si="37"/>
        <v>32.750900958675722</v>
      </c>
      <c r="BG26" s="20">
        <f t="shared" si="7"/>
        <v>274.09322583636032</v>
      </c>
      <c r="BH26" s="59">
        <f t="shared" si="8"/>
        <v>504.83546414438541</v>
      </c>
      <c r="BI26" s="59">
        <f ca="1">AVERAGE(OFFSET($BH$3,0,0,'Données projet'!$E$11+1,1))-AVERAGE(OFFSET($H$3,0,0,'Données projet'!$E$11+1,1))</f>
        <v>525.88595000893986</v>
      </c>
      <c r="BJ26" s="59">
        <f t="shared" si="38"/>
        <v>458.67158147469263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20.613210869138069</v>
      </c>
      <c r="BR26" s="21">
        <f>EXP(-LN(2)/2)*BR25+(1-EXP(-LN(2)/2))/(LN(2)/2)*BL26*BO26*VLOOKUP('Données projet'!$B$11,Paramètres!$A$1:$I$89,3,0)*0.475*44/12</f>
        <v>0.59244054968072379</v>
      </c>
      <c r="BS26" s="22">
        <f t="shared" si="9"/>
        <v>21.205651418818793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55.263034690067457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4.4080000000000004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16.16266666666667</v>
      </c>
      <c r="H27" s="66">
        <f t="shared" si="1"/>
        <v>192.01600000000005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3.6141025633333332</v>
      </c>
      <c r="N27" s="13">
        <f>IF('Données projet'!$A$36&gt;35,N26+M27-V26,IF(A27&lt;'Données projet'!$A$36,$K$205^A27,IF(A27='Données projet'!$A$36,'Données projet'!$B$36,N26+M27-V26)))</f>
        <v>42.471478745296629</v>
      </c>
      <c r="O27" s="13">
        <f>N27*VLOOKUP('Données projet'!$B$9,Paramètres!$A$1:$I$89,3,0)*VLOOKUP('Données projet'!$B$9,Paramètres!$A$1:$I$89,5,0)</f>
        <v>38.428193968744388</v>
      </c>
      <c r="P27" s="13">
        <f t="shared" si="33"/>
        <v>11.581072543793917</v>
      </c>
      <c r="Q27" s="20">
        <f t="shared" si="2"/>
        <v>87.099472509337545</v>
      </c>
      <c r="R27" s="59">
        <f t="shared" si="0"/>
        <v>320.00132884401677</v>
      </c>
      <c r="S27" s="59">
        <f ca="1">AVERAGE(OFFSET($R$3,0,0,'Données projet'!$E$9+1,1))-AVERAGE(OFFSET($H$3,0,0,'Données projet'!$E$9+1,1))</f>
        <v>737.52606296329941</v>
      </c>
      <c r="T27" s="59">
        <f t="shared" si="34"/>
        <v>270.54143254083715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30.206701490595396</v>
      </c>
      <c r="AK27" s="13">
        <f t="shared" si="35"/>
        <v>9.3620583612917034</v>
      </c>
      <c r="AL27" s="20">
        <f t="shared" si="4"/>
        <v>68.915590075370019</v>
      </c>
      <c r="AM27" s="59">
        <f t="shared" si="5"/>
        <v>301.81744641004923</v>
      </c>
      <c r="AN27" s="59">
        <f ca="1">AVERAGE(OFFSET($AM$3,0,0,'Données projet'!$E$10+1,1))-AVERAGE(OFFSET($H$3,0,0,'Données projet'!$E$10+1,1))</f>
        <v>691.79662395689525</v>
      </c>
      <c r="AO27" s="59">
        <f t="shared" si="36"/>
        <v>213.38682325741539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22.8</v>
      </c>
      <c r="BD27" s="12">
        <f>IF('Données projet'!$A$88&gt;35,BD26+BC27-BL26,IF(A27&lt;'Données projet'!$A$88,$BA$205^A27,IF(A27='Données projet'!$A$88,'Données projet'!$B$88,BD26+BC27-BL26)))</f>
        <v>231.20000000000007</v>
      </c>
      <c r="BE27" s="13">
        <f>BD27*VLOOKUP('Données projet'!$B$11,Paramètres!$A$1:$I$89,3,0)*VLOOKUP('Données projet'!$B$11,Paramètres!$A$1:$I$89,5,0)</f>
        <v>138.25760000000005</v>
      </c>
      <c r="BF27" s="13">
        <f t="shared" si="37"/>
        <v>35.897555647294986</v>
      </c>
      <c r="BG27" s="20">
        <f t="shared" si="7"/>
        <v>303.32022941903887</v>
      </c>
      <c r="BH27" s="59">
        <f t="shared" si="8"/>
        <v>536.22208575371815</v>
      </c>
      <c r="BI27" s="59">
        <f ca="1">AVERAGE(OFFSET($BH$3,0,0,'Données projet'!$E$11+1,1))-AVERAGE(OFFSET($H$3,0,0,'Données projet'!$E$11+1,1))</f>
        <v>525.88595000893986</v>
      </c>
      <c r="BJ27" s="59">
        <f t="shared" si="38"/>
        <v>458.67158147469263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20.04954153391984</v>
      </c>
      <c r="BR27" s="21">
        <f>EXP(-LN(2)/2)*BR26+(1-EXP(-LN(2)/2))/(LN(2)/2)*BL27*BO27*VLOOKUP('Données projet'!$B$11,Paramètres!$A$1:$I$89,3,0)*0.475*44/12</f>
        <v>0.41891873012912551</v>
      </c>
      <c r="BS27" s="22">
        <f t="shared" si="9"/>
        <v>20.468460264048964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55.518688091276147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4.4080000000000004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16.16266666666667</v>
      </c>
      <c r="H28" s="66">
        <f t="shared" si="1"/>
        <v>192.01600000000005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3.6141025633333332</v>
      </c>
      <c r="N28" s="13">
        <f>IF('Données projet'!$A$36&gt;35,N27+M28-V27,IF(A28&lt;'Données projet'!$A$36,$K$205^A28,IF(A28='Données projet'!$A$36,'Données projet'!$B$36,N27+M28-V27)))</f>
        <v>49.65177436921914</v>
      </c>
      <c r="O28" s="13">
        <f>N28*VLOOKUP('Données projet'!$B$9,Paramètres!$A$1:$I$89,3,0)*VLOOKUP('Données projet'!$B$9,Paramètres!$A$1:$I$89,5,0)</f>
        <v>44.92492544926948</v>
      </c>
      <c r="P28" s="13">
        <f t="shared" si="33"/>
        <v>13.295047725437698</v>
      </c>
      <c r="Q28" s="20">
        <f t="shared" si="2"/>
        <v>101.399786612615</v>
      </c>
      <c r="R28" s="59">
        <f t="shared" si="0"/>
        <v>336.44499925244452</v>
      </c>
      <c r="S28" s="59">
        <f ca="1">AVERAGE(OFFSET($R$3,0,0,'Données projet'!$E$9+1,1))-AVERAGE(OFFSET($H$3,0,0,'Données projet'!$E$9+1,1))</f>
        <v>737.52606296329941</v>
      </c>
      <c r="T28" s="59">
        <f t="shared" si="34"/>
        <v>270.54143254083715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34.887673294642951</v>
      </c>
      <c r="AK28" s="13">
        <f t="shared" si="35"/>
        <v>10.633030265067006</v>
      </c>
      <c r="AL28" s="20">
        <f t="shared" si="4"/>
        <v>79.281892033161512</v>
      </c>
      <c r="AM28" s="59">
        <f t="shared" si="5"/>
        <v>314.32710467299103</v>
      </c>
      <c r="AN28" s="59">
        <f ca="1">AVERAGE(OFFSET($AM$3,0,0,'Données projet'!$E$10+1,1))-AVERAGE(OFFSET($H$3,0,0,'Données projet'!$E$10+1,1))</f>
        <v>691.79662395689525</v>
      </c>
      <c r="AO28" s="59">
        <f t="shared" si="36"/>
        <v>213.38682325741539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254</v>
      </c>
      <c r="BB28" s="12">
        <f>VLOOKUP(A28,'Données projet'!$A$87:$I$107,9,0)</f>
        <v>22.8</v>
      </c>
      <c r="BC28" s="12">
        <f t="array" ref="BC28">INDEX(BB:BB,MIN(IF(ISNUMBER(BB28:BB224),ROW(BB28:BB224),"")))</f>
        <v>22.8</v>
      </c>
      <c r="BD28" s="12">
        <f>IF('Données projet'!$A$88&gt;35,BD27+BC28-BL27,IF(A28&lt;'Données projet'!$A$88,$BA$205^A28,IF(A28='Données projet'!$A$88,'Données projet'!$B$88,BD27+BC28-BL27)))</f>
        <v>254.00000000000009</v>
      </c>
      <c r="BE28" s="13">
        <f>BD28*VLOOKUP('Données projet'!$B$11,Paramètres!$A$1:$I$89,3,0)*VLOOKUP('Données projet'!$B$11,Paramètres!$A$1:$I$89,5,0)</f>
        <v>151.89200000000005</v>
      </c>
      <c r="BF28" s="13">
        <f t="shared" si="37"/>
        <v>39.008235247069457</v>
      </c>
      <c r="BG28" s="20">
        <f t="shared" si="7"/>
        <v>332.48457638864602</v>
      </c>
      <c r="BH28" s="59">
        <f t="shared" si="8"/>
        <v>567.52978902847553</v>
      </c>
      <c r="BI28" s="59">
        <f ca="1">AVERAGE(OFFSET($BH$3,0,0,'Données projet'!$E$11+1,1))-AVERAGE(OFFSET($H$3,0,0,'Données projet'!$E$11+1,1))</f>
        <v>525.88595000893986</v>
      </c>
      <c r="BJ28" s="59">
        <f t="shared" si="38"/>
        <v>458.67158147469263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63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0.45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41.902380646408645</v>
      </c>
      <c r="BR28" s="21">
        <f>EXP(-LN(2)/2)*BR27+(1-EXP(-LN(2)/2))/(LN(2)/2)*BL28*BO28*VLOOKUP('Données projet'!$B$11,Paramètres!$A$1:$I$89,3,0)*0.475*44/12</f>
        <v>0.2962202748403619</v>
      </c>
      <c r="BS28" s="22">
        <f t="shared" si="9"/>
        <v>42.198600921249003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55.769906477529261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4.4080000000000004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16.16266666666667</v>
      </c>
      <c r="H29" s="66">
        <f t="shared" si="1"/>
        <v>192.01600000000005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3.6141025633333332</v>
      </c>
      <c r="N29" s="13">
        <f>IF('Données projet'!$A$36&gt;35,N28+M29-V28,IF(A29&lt;'Données projet'!$A$36,$K$205^A29,IF(A29='Données projet'!$A$36,'Données projet'!$B$36,N28+M29-V28)))</f>
        <v>58.045982170678677</v>
      </c>
      <c r="O29" s="13">
        <f>N29*VLOOKUP('Données projet'!$B$9,Paramètres!$A$1:$I$89,3,0)*VLOOKUP('Données projet'!$B$9,Paramètres!$A$1:$I$89,5,0)</f>
        <v>52.520004668030069</v>
      </c>
      <c r="P29" s="13">
        <f t="shared" si="33"/>
        <v>15.262687747896692</v>
      </c>
      <c r="Q29" s="20">
        <f t="shared" si="2"/>
        <v>118.05485595773911</v>
      </c>
      <c r="R29" s="59">
        <f t="shared" si="0"/>
        <v>355.22744528572747</v>
      </c>
      <c r="S29" s="59">
        <f ca="1">AVERAGE(OFFSET($R$3,0,0,'Données projet'!$E$9+1,1))-AVERAGE(OFFSET($H$3,0,0,'Données projet'!$E$9+1,1))</f>
        <v>737.52606296329941</v>
      </c>
      <c r="T29" s="59">
        <f t="shared" si="34"/>
        <v>270.54143254083715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40.294030392318483</v>
      </c>
      <c r="AK29" s="13">
        <f t="shared" si="35"/>
        <v>12.076546444667922</v>
      </c>
      <c r="AL29" s="20">
        <f t="shared" si="4"/>
        <v>91.21208799108463</v>
      </c>
      <c r="AM29" s="59">
        <f t="shared" si="5"/>
        <v>328.38467731907298</v>
      </c>
      <c r="AN29" s="59">
        <f ca="1">AVERAGE(OFFSET($AM$3,0,0,'Données projet'!$E$10+1,1))-AVERAGE(OFFSET($H$3,0,0,'Données projet'!$E$10+1,1))</f>
        <v>691.79662395689525</v>
      </c>
      <c r="AO29" s="59">
        <f t="shared" si="36"/>
        <v>213.38682325741539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</v>
      </c>
      <c r="BD29" s="12">
        <f>IF('Données projet'!$A$88&gt;35,BD28+BC29-BL28,IF(A29&lt;'Données projet'!$A$88,$BA$205^A29,IF(A29='Données projet'!$A$88,'Données projet'!$B$88,BD28+BC29-BL28)))</f>
        <v>215.00000000000011</v>
      </c>
      <c r="BE29" s="13">
        <f>BD29*VLOOKUP('Données projet'!$B$11,Paramètres!$A$1:$I$89,3,0)*VLOOKUP('Données projet'!$B$11,Paramètres!$A$1:$I$89,5,0)</f>
        <v>128.57000000000008</v>
      </c>
      <c r="BF29" s="13">
        <f t="shared" si="37"/>
        <v>33.665715905233277</v>
      </c>
      <c r="BG29" s="20">
        <f t="shared" si="7"/>
        <v>282.56053853494808</v>
      </c>
      <c r="BH29" s="59">
        <f t="shared" si="8"/>
        <v>519.7331278629365</v>
      </c>
      <c r="BI29" s="59">
        <f ca="1">AVERAGE(OFFSET($BH$3,0,0,'Données projet'!$E$11+1,1))-AVERAGE(OFFSET($H$3,0,0,'Données projet'!$E$11+1,1))</f>
        <v>525.88595000893986</v>
      </c>
      <c r="BJ29" s="59">
        <f t="shared" si="38"/>
        <v>458.67158147469263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40.756557844082174</v>
      </c>
      <c r="BR29" s="21">
        <f>EXP(-LN(2)/2)*BR28+(1-EXP(-LN(2)/2))/(LN(2)/2)*BL29*BO29*VLOOKUP('Données projet'!$B$11,Paramètres!$A$1:$I$89,3,0)*0.475*44/12</f>
        <v>0.20945936506456275</v>
      </c>
      <c r="BS29" s="22">
        <f t="shared" si="9"/>
        <v>40.966017209146735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56.016766786421059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4.4080000000000004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16.16266666666667</v>
      </c>
      <c r="H30" s="66">
        <f t="shared" si="1"/>
        <v>192.01600000000005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3.6141025633333332</v>
      </c>
      <c r="N30" s="13">
        <f>IF('Données projet'!$A$36&gt;35,N29+M30-V29,IF(A30&lt;'Données projet'!$A$36,$K$205^A30,IF(A30='Données projet'!$A$36,'Données projet'!$B$36,N29+M30-V29)))</f>
        <v>67.859328069602995</v>
      </c>
      <c r="O30" s="13">
        <f>N30*VLOOKUP('Données projet'!$B$9,Paramètres!$A$1:$I$89,3,0)*VLOOKUP('Données projet'!$B$9,Paramètres!$A$1:$I$89,5,0)</f>
        <v>61.399120037376782</v>
      </c>
      <c r="P30" s="13">
        <f t="shared" si="33"/>
        <v>17.521534491680562</v>
      </c>
      <c r="Q30" s="20">
        <f t="shared" si="2"/>
        <v>137.45347330477486</v>
      </c>
      <c r="R30" s="59">
        <f t="shared" si="0"/>
        <v>376.73773691456017</v>
      </c>
      <c r="S30" s="59">
        <f ca="1">AVERAGE(OFFSET($R$3,0,0,'Données projet'!$E$9+1,1))-AVERAGE(OFFSET($H$3,0,0,'Données projet'!$E$9+1,1))</f>
        <v>737.52606296329941</v>
      </c>
      <c r="T30" s="59">
        <f t="shared" si="34"/>
        <v>270.54143254083715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46.538181882894236</v>
      </c>
      <c r="AK30" s="13">
        <f t="shared" si="35"/>
        <v>13.716031121378769</v>
      </c>
      <c r="AL30" s="20">
        <f t="shared" si="4"/>
        <v>104.94275431577547</v>
      </c>
      <c r="AM30" s="59">
        <f t="shared" si="5"/>
        <v>344.2270179255608</v>
      </c>
      <c r="AN30" s="59">
        <f ca="1">AVERAGE(OFFSET($AM$3,0,0,'Données projet'!$E$10+1,1))-AVERAGE(OFFSET($H$3,0,0,'Données projet'!$E$10+1,1))</f>
        <v>691.79662395689525</v>
      </c>
      <c r="AO30" s="59">
        <f t="shared" si="36"/>
        <v>213.38682325741539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</v>
      </c>
      <c r="BD30" s="12">
        <f>IF('Données projet'!$A$88&gt;35,BD29+BC30-BL29,IF(A30&lt;'Données projet'!$A$88,$BA$205^A30,IF(A30='Données projet'!$A$88,'Données projet'!$B$88,BD29+BC30-BL29)))</f>
        <v>239.00000000000011</v>
      </c>
      <c r="BE30" s="13">
        <f>BD30*VLOOKUP('Données projet'!$B$11,Paramètres!$A$1:$I$89,3,0)*VLOOKUP('Données projet'!$B$11,Paramètres!$A$1:$I$89,5,0)</f>
        <v>142.92200000000008</v>
      </c>
      <c r="BF30" s="13">
        <f t="shared" si="37"/>
        <v>36.965587791044591</v>
      </c>
      <c r="BG30" s="20">
        <f t="shared" si="7"/>
        <v>313.30421540273613</v>
      </c>
      <c r="BH30" s="59">
        <f t="shared" si="8"/>
        <v>552.58847901252147</v>
      </c>
      <c r="BI30" s="59">
        <f ca="1">AVERAGE(OFFSET($BH$3,0,0,'Données projet'!$E$11+1,1))-AVERAGE(OFFSET($H$3,0,0,'Données projet'!$E$11+1,1))</f>
        <v>525.88595000893986</v>
      </c>
      <c r="BJ30" s="59">
        <f t="shared" si="38"/>
        <v>458.67158147469263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39.642067626541518</v>
      </c>
      <c r="BR30" s="21">
        <f>EXP(-LN(2)/2)*BR29+(1-EXP(-LN(2)/2))/(LN(2)/2)*BL30*BO30*VLOOKUP('Données projet'!$B$11,Paramètres!$A$1:$I$89,3,0)*0.475*44/12</f>
        <v>0.14811013742018095</v>
      </c>
      <c r="BS30" s="22">
        <f t="shared" si="9"/>
        <v>39.790177763961701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56.259344620850541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4.4080000000000004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16.16266666666667</v>
      </c>
      <c r="H31" s="66">
        <f t="shared" si="1"/>
        <v>192.01600000000005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3.6141025633333332</v>
      </c>
      <c r="N31" s="13">
        <f>IF('Données projet'!$A$36&gt;35,N30+M31-V30,IF(A31&lt;'Données projet'!$A$36,$K$205^A31,IF(A31='Données projet'!$A$36,'Données projet'!$B$36,N30+M31-V30)))</f>
        <v>79.33173380575721</v>
      </c>
      <c r="O31" s="13">
        <f>N31*VLOOKUP('Données projet'!$B$9,Paramètres!$A$1:$I$89,3,0)*VLOOKUP('Données projet'!$B$9,Paramètres!$A$1:$I$89,5,0)</f>
        <v>71.77935274744911</v>
      </c>
      <c r="P31" s="13">
        <f t="shared" si="33"/>
        <v>20.114685959257653</v>
      </c>
      <c r="Q31" s="20">
        <f t="shared" si="2"/>
        <v>160.04878408084764</v>
      </c>
      <c r="R31" s="59">
        <f t="shared" si="0"/>
        <v>401.42929196771325</v>
      </c>
      <c r="S31" s="59">
        <f ca="1">AVERAGE(OFFSET($R$3,0,0,'Données projet'!$E$9+1,1))-AVERAGE(OFFSET($H$3,0,0,'Données projet'!$E$9+1,1))</f>
        <v>737.52606296329941</v>
      </c>
      <c r="T31" s="59">
        <f t="shared" si="34"/>
        <v>270.54143254083715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53.749956305642392</v>
      </c>
      <c r="AK31" s="13">
        <f t="shared" si="35"/>
        <v>15.57808853587397</v>
      </c>
      <c r="AL31" s="20">
        <f t="shared" si="4"/>
        <v>120.74634476564098</v>
      </c>
      <c r="AM31" s="59">
        <f t="shared" si="5"/>
        <v>362.12685265250661</v>
      </c>
      <c r="AN31" s="59">
        <f ca="1">AVERAGE(OFFSET($AM$3,0,0,'Données projet'!$E$10+1,1))-AVERAGE(OFFSET($H$3,0,0,'Données projet'!$E$10+1,1))</f>
        <v>691.79662395689525</v>
      </c>
      <c r="AO31" s="59">
        <f t="shared" si="36"/>
        <v>213.38682325741539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</v>
      </c>
      <c r="BD31" s="12">
        <f>IF('Données projet'!$A$88&gt;35,BD30+BC31-BL30,IF(A31&lt;'Données projet'!$A$88,$BA$205^A31,IF(A31='Données projet'!$A$88,'Données projet'!$B$88,BD30+BC31-BL30)))</f>
        <v>263.00000000000011</v>
      </c>
      <c r="BE31" s="13">
        <f>BD31*VLOOKUP('Données projet'!$B$11,Paramètres!$A$1:$I$89,3,0)*VLOOKUP('Données projet'!$B$11,Paramètres!$A$1:$I$89,5,0)</f>
        <v>157.27400000000009</v>
      </c>
      <c r="BF31" s="13">
        <f t="shared" si="37"/>
        <v>40.22704491543449</v>
      </c>
      <c r="BG31" s="20">
        <f t="shared" si="7"/>
        <v>343.98098656104861</v>
      </c>
      <c r="BH31" s="59">
        <f t="shared" si="8"/>
        <v>585.3614944479142</v>
      </c>
      <c r="BI31" s="59">
        <f ca="1">AVERAGE(OFFSET($BH$3,0,0,'Données projet'!$E$11+1,1))-AVERAGE(OFFSET($H$3,0,0,'Données projet'!$E$11+1,1))</f>
        <v>525.88595000893986</v>
      </c>
      <c r="BJ31" s="59">
        <f t="shared" si="38"/>
        <v>458.67158147469263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38.558053202608008</v>
      </c>
      <c r="BR31" s="21">
        <f>EXP(-LN(2)/2)*BR30+(1-EXP(-LN(2)/2))/(LN(2)/2)*BL31*BO31*VLOOKUP('Données projet'!$B$11,Paramètres!$A$1:$I$89,3,0)*0.475*44/12</f>
        <v>0.10472968253228138</v>
      </c>
      <c r="BS31" s="22">
        <f t="shared" si="9"/>
        <v>38.662782885140288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56.497714272175472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4.4080000000000004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16.16266666666667</v>
      </c>
      <c r="H32" s="66">
        <f t="shared" si="1"/>
        <v>192.01600000000005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3.6141025633333332</v>
      </c>
      <c r="N32" s="13">
        <f>IF('Données projet'!$A$36&gt;35,N31+M32-V31,IF(A32&lt;'Données projet'!$A$36,$K$205^A32,IF(A32='Données projet'!$A$36,'Données projet'!$B$36,N31+M32-V31)))</f>
        <v>92.743682669128148</v>
      </c>
      <c r="O32" s="13">
        <f>N32*VLOOKUP('Données projet'!$B$9,Paramètres!$A$1:$I$89,3,0)*VLOOKUP('Données projet'!$B$9,Paramètres!$A$1:$I$89,5,0)</f>
        <v>83.914484079027147</v>
      </c>
      <c r="P32" s="13">
        <f t="shared" si="33"/>
        <v>23.09161856980429</v>
      </c>
      <c r="Q32" s="20">
        <f t="shared" si="2"/>
        <v>186.3689621133814</v>
      </c>
      <c r="R32" s="59">
        <f t="shared" si="0"/>
        <v>429.8305519486961</v>
      </c>
      <c r="S32" s="59">
        <f ca="1">AVERAGE(OFFSET($R$3,0,0,'Données projet'!$E$9+1,1))-AVERAGE(OFFSET($H$3,0,0,'Données projet'!$E$9+1,1))</f>
        <v>737.52606296329941</v>
      </c>
      <c r="T32" s="59">
        <f t="shared" si="34"/>
        <v>270.54143254083715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62.079301037765298</v>
      </c>
      <c r="AK32" s="13">
        <f t="shared" si="35"/>
        <v>17.692934660470044</v>
      </c>
      <c r="AL32" s="20">
        <f t="shared" si="4"/>
        <v>138.9366438410932</v>
      </c>
      <c r="AM32" s="59">
        <f t="shared" si="5"/>
        <v>382.39823367640793</v>
      </c>
      <c r="AN32" s="59">
        <f ca="1">AVERAGE(OFFSET($AM$3,0,0,'Données projet'!$E$10+1,1))-AVERAGE(OFFSET($H$3,0,0,'Données projet'!$E$10+1,1))</f>
        <v>691.79662395689525</v>
      </c>
      <c r="AO32" s="59">
        <f t="shared" si="36"/>
        <v>213.38682325741539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</v>
      </c>
      <c r="BD32" s="12">
        <f>IF('Données projet'!$A$88&gt;35,BD31+BC32-BL31,IF(A32&lt;'Données projet'!$A$88,$BA$205^A32,IF(A32='Données projet'!$A$88,'Données projet'!$B$88,BD31+BC32-BL31)))</f>
        <v>287.00000000000011</v>
      </c>
      <c r="BE32" s="13">
        <f>BD32*VLOOKUP('Données projet'!$B$11,Paramètres!$A$1:$I$89,3,0)*VLOOKUP('Données projet'!$B$11,Paramètres!$A$1:$I$89,5,0)</f>
        <v>171.62600000000009</v>
      </c>
      <c r="BF32" s="13">
        <f t="shared" si="37"/>
        <v>43.453991492329642</v>
      </c>
      <c r="BG32" s="20">
        <f t="shared" si="7"/>
        <v>374.5976518491409</v>
      </c>
      <c r="BH32" s="59">
        <f t="shared" si="8"/>
        <v>618.05924168445563</v>
      </c>
      <c r="BI32" s="59">
        <f ca="1">AVERAGE(OFFSET($BH$3,0,0,'Données projet'!$E$11+1,1))-AVERAGE(OFFSET($H$3,0,0,'Données projet'!$E$11+1,1))</f>
        <v>525.88595000893986</v>
      </c>
      <c r="BJ32" s="59">
        <f t="shared" si="38"/>
        <v>458.67158147469263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37.503681210102798</v>
      </c>
      <c r="BR32" s="21">
        <f>EXP(-LN(2)/2)*BR31+(1-EXP(-LN(2)/2))/(LN(2)/2)*BL32*BO32*VLOOKUP('Données projet'!$B$11,Paramètres!$A$1:$I$89,3,0)*0.475*44/12</f>
        <v>7.4055068710090474E-2</v>
      </c>
      <c r="BS32" s="22">
        <f t="shared" si="9"/>
        <v>37.577736278812885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56.731948742964619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4.4080000000000004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16.16266666666667</v>
      </c>
      <c r="H33" s="66">
        <f t="shared" si="1"/>
        <v>192.01600000000005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</v>
      </c>
      <c r="L33" s="12">
        <f>VLOOKUP(A33,'Données projet'!$A$35:$I$55,9,0)</f>
        <v>3.6141025633333332</v>
      </c>
      <c r="M33" s="12">
        <f t="array" ref="M33">INDEX(L:L,MIN(IF(ISNUMBER(L33:L229),ROW(L33:L229),"")))</f>
        <v>3.6141025633333332</v>
      </c>
      <c r="N33" s="13">
        <f>IF('Données projet'!$A$36&gt;35,N32+M33-V32,IF(A33&lt;'Données projet'!$A$36,$K$205^A33,IF(A33='Données projet'!$A$36,'Données projet'!$B$36,N32+M33-V32)))</f>
        <v>108.4230769</v>
      </c>
      <c r="O33" s="13">
        <f>N33*VLOOKUP('Données projet'!$B$9,Paramètres!$A$1:$I$89,3,0)*VLOOKUP('Données projet'!$B$9,Paramètres!$A$1:$I$89,5,0)</f>
        <v>98.101199979119997</v>
      </c>
      <c r="P33" s="13">
        <f t="shared" si="33"/>
        <v>26.509131151904384</v>
      </c>
      <c r="Q33" s="20">
        <f t="shared" si="2"/>
        <v>217.02966005320079</v>
      </c>
      <c r="R33" s="59">
        <f t="shared" si="0"/>
        <v>462.55743254083723</v>
      </c>
      <c r="S33" s="59">
        <f ca="1">AVERAGE(OFFSET($R$3,0,0,'Données projet'!$E$9+1,1))-AVERAGE(OFFSET($H$3,0,0,'Données projet'!$E$9+1,1))</f>
        <v>737.52606296329941</v>
      </c>
      <c r="T33" s="59">
        <f t="shared" si="34"/>
        <v>270.54143254083715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71.699400003660003</v>
      </c>
      <c r="AK33" s="13">
        <f t="shared" si="35"/>
        <v>20.094887519658094</v>
      </c>
      <c r="AL33" s="20">
        <f t="shared" si="4"/>
        <v>159.87505076977902</v>
      </c>
      <c r="AM33" s="59">
        <f t="shared" si="5"/>
        <v>405.40282325741543</v>
      </c>
      <c r="AN33" s="59">
        <f ca="1">AVERAGE(OFFSET($AM$3,0,0,'Données projet'!$E$10+1,1))-AVERAGE(OFFSET($H$3,0,0,'Données projet'!$E$10+1,1))</f>
        <v>691.79662395689525</v>
      </c>
      <c r="AO33" s="59">
        <f t="shared" si="36"/>
        <v>213.38682325741539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311</v>
      </c>
      <c r="BB33" s="12">
        <f>VLOOKUP(A33,'Données projet'!$A$87:$I$107,9,0)</f>
        <v>24</v>
      </c>
      <c r="BC33" s="12">
        <f t="array" ref="BC33">INDEX(BB:BB,MIN(IF(ISNUMBER(BB33:BB229),ROW(BB33:BB229),"")))</f>
        <v>24</v>
      </c>
      <c r="BD33" s="12">
        <f>IF('Données projet'!$A$88&gt;35,BD32+BC33-BL32,IF(A33&lt;'Données projet'!$A$88,$BA$205^A33,IF(A33='Données projet'!$A$88,'Données projet'!$B$88,BD32+BC33-BL32)))</f>
        <v>311.00000000000011</v>
      </c>
      <c r="BE33" s="13">
        <f>BD33*VLOOKUP('Données projet'!$B$11,Paramètres!$A$1:$I$89,3,0)*VLOOKUP('Données projet'!$B$11,Paramètres!$A$1:$I$89,5,0)</f>
        <v>185.97800000000009</v>
      </c>
      <c r="BF33" s="13">
        <f t="shared" si="37"/>
        <v>46.649641523668613</v>
      </c>
      <c r="BG33" s="20">
        <f t="shared" si="7"/>
        <v>405.15980898705629</v>
      </c>
      <c r="BH33" s="59">
        <f t="shared" si="8"/>
        <v>650.68758147469271</v>
      </c>
      <c r="BI33" s="59">
        <f ca="1">AVERAGE(OFFSET($BH$3,0,0,'Données projet'!$E$11+1,1))-AVERAGE(OFFSET($H$3,0,0,'Données projet'!$E$11+1,1))</f>
        <v>525.88595000893986</v>
      </c>
      <c r="BJ33" s="59">
        <f t="shared" si="38"/>
        <v>458.67158147469263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63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58.87923595527306</v>
      </c>
      <c r="BR33" s="21">
        <f>EXP(-LN(2)/2)*BR32+(1-EXP(-LN(2)/2))/(LN(2)/2)*BL33*BO33*VLOOKUP('Données projet'!$B$11,Paramètres!$A$1:$I$89,3,0)*0.475*44/12</f>
        <v>5.2364841266140688E-2</v>
      </c>
      <c r="BS33" s="22">
        <f t="shared" si="9"/>
        <v>58.9316007965392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56.962119769355397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4.4080000000000004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16.16266666666667</v>
      </c>
      <c r="H34" s="66">
        <f t="shared" si="1"/>
        <v>192.01600000000005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16.154230774999998</v>
      </c>
      <c r="N34" s="13">
        <f>IF('Données projet'!$A$36&gt;35,N33+M34-V33,IF(A34&lt;'Données projet'!$A$36,$K$205^A34,IF(A34='Données projet'!$A$36,'Données projet'!$B$36,N33+M34-V33)))</f>
        <v>124.577307675</v>
      </c>
      <c r="O34" s="13">
        <f>N34*VLOOKUP('Données projet'!$B$9,Paramètres!$A$1:$I$89,3,0)*VLOOKUP('Données projet'!$B$9,Paramètres!$A$1:$I$89,5,0)</f>
        <v>112.71754798433999</v>
      </c>
      <c r="P34" s="13">
        <f t="shared" si="33"/>
        <v>29.97034782116954</v>
      </c>
      <c r="Q34" s="20">
        <f t="shared" si="2"/>
        <v>248.51475186126243</v>
      </c>
      <c r="R34" s="59">
        <f t="shared" si="0"/>
        <v>494.87184395234908</v>
      </c>
      <c r="S34" s="59">
        <f ca="1">AVERAGE(OFFSET($R$3,0,0,'Données projet'!$E$9+1,1))-AVERAGE(OFFSET($H$3,0,0,'Données projet'!$E$9+1,1))</f>
        <v>737.52606296329941</v>
      </c>
      <c r="T34" s="59">
        <f t="shared" si="34"/>
        <v>270.54143254083715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79.360878003354998</v>
      </c>
      <c r="AK34" s="13">
        <f t="shared" si="35"/>
        <v>21.980842602078628</v>
      </c>
      <c r="AL34" s="20">
        <f t="shared" si="4"/>
        <v>176.5034967211302</v>
      </c>
      <c r="AM34" s="59">
        <f t="shared" si="5"/>
        <v>422.86058881221686</v>
      </c>
      <c r="AN34" s="59">
        <f ca="1">AVERAGE(OFFSET($AM$3,0,0,'Données projet'!$E$10+1,1))-AVERAGE(OFFSET($H$3,0,0,'Données projet'!$E$10+1,1))</f>
        <v>691.79662395689525</v>
      </c>
      <c r="AO34" s="59">
        <f t="shared" si="36"/>
        <v>213.38682325741539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24.2</v>
      </c>
      <c r="BD34" s="12">
        <f>IF('Données projet'!$A$88&gt;35,BD33+BC34-BL33,IF(A34&lt;'Données projet'!$A$88,$BA$205^A34,IF(A34='Données projet'!$A$88,'Données projet'!$B$88,BD33+BC34-BL33)))</f>
        <v>272.2000000000001</v>
      </c>
      <c r="BE34" s="13">
        <f>BD34*VLOOKUP('Données projet'!$B$11,Paramètres!$A$1:$I$89,3,0)*VLOOKUP('Données projet'!$B$11,Paramètres!$A$1:$I$89,5,0)</f>
        <v>162.77560000000005</v>
      </c>
      <c r="BF34" s="13">
        <f t="shared" si="37"/>
        <v>41.467931707956311</v>
      </c>
      <c r="BG34" s="20">
        <f t="shared" si="7"/>
        <v>355.72415105802401</v>
      </c>
      <c r="BH34" s="59">
        <f t="shared" si="8"/>
        <v>602.08124314911061</v>
      </c>
      <c r="BI34" s="59">
        <f ca="1">AVERAGE(OFFSET($BH$3,0,0,'Données projet'!$E$11+1,1))-AVERAGE(OFFSET($H$3,0,0,'Données projet'!$E$11+1,1))</f>
        <v>525.88595000893986</v>
      </c>
      <c r="BJ34" s="59">
        <f t="shared" si="38"/>
        <v>458.67158147469263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57.269180151751669</v>
      </c>
      <c r="BR34" s="21">
        <f>EXP(-LN(2)/2)*BR33+(1-EXP(-LN(2)/2))/(LN(2)/2)*BL34*BO34*VLOOKUP('Données projet'!$B$11,Paramètres!$A$1:$I$89,3,0)*0.475*44/12</f>
        <v>3.7027534355045237E-2</v>
      </c>
      <c r="BS34" s="22">
        <f t="shared" si="9"/>
        <v>57.306207686106717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57.188297843023619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4.4080000000000004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16.16266666666667</v>
      </c>
      <c r="H35" s="66">
        <f t="shared" si="1"/>
        <v>192.01600000000005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16.154230774999998</v>
      </c>
      <c r="N35" s="13">
        <f>IF('Données projet'!$A$36&gt;35,N34+M35-V34,IF(A35&lt;'Données projet'!$A$36,$K$205^A35,IF(A35='Données projet'!$A$36,'Données projet'!$B$36,N34+M35-V34)))</f>
        <v>140.73153844999999</v>
      </c>
      <c r="O35" s="13">
        <f>N35*VLOOKUP('Données projet'!$B$9,Paramètres!$A$1:$I$89,3,0)*VLOOKUP('Données projet'!$B$9,Paramètres!$A$1:$I$89,5,0)</f>
        <v>127.33389598955998</v>
      </c>
      <c r="P35" s="13">
        <f t="shared" si="33"/>
        <v>33.379559976962113</v>
      </c>
      <c r="Q35" s="20">
        <f t="shared" ref="Q35:Q66" si="53">(O35+P35)*0.475*44/12</f>
        <v>279.90926914169262</v>
      </c>
      <c r="R35" s="59">
        <f t="shared" si="0"/>
        <v>527.08129399519044</v>
      </c>
      <c r="S35" s="59">
        <f ca="1">AVERAGE(OFFSET($R$3,0,0,'Données projet'!$E$9+1,1))-AVERAGE(OFFSET($H$3,0,0,'Données projet'!$E$9+1,1))</f>
        <v>737.52606296329941</v>
      </c>
      <c r="T35" s="59">
        <f t="shared" si="34"/>
        <v>270.54143254083715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87.022356003050007</v>
      </c>
      <c r="AK35" s="13">
        <f t="shared" si="35"/>
        <v>23.845688832085941</v>
      </c>
      <c r="AL35" s="20">
        <f t="shared" si="4"/>
        <v>193.09517808786177</v>
      </c>
      <c r="AM35" s="59">
        <f t="shared" si="5"/>
        <v>440.26720294135953</v>
      </c>
      <c r="AN35" s="59">
        <f ca="1">AVERAGE(OFFSET($AM$3,0,0,'Données projet'!$E$10+1,1))-AVERAGE(OFFSET($H$3,0,0,'Données projet'!$E$10+1,1))</f>
        <v>691.79662395689525</v>
      </c>
      <c r="AO35" s="59">
        <f t="shared" si="36"/>
        <v>213.38682325741539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24.2</v>
      </c>
      <c r="BD35" s="12">
        <f>IF('Données projet'!$A$88&gt;35,BD34+BC35-BL34,IF(A35&lt;'Données projet'!$A$88,$BA$205^A35,IF(A35='Données projet'!$A$88,'Données projet'!$B$88,BD34+BC35-BL34)))</f>
        <v>296.40000000000009</v>
      </c>
      <c r="BE35" s="13">
        <f>BD35*VLOOKUP('Données projet'!$B$11,Paramètres!$A$1:$I$89,3,0)*VLOOKUP('Données projet'!$B$11,Paramètres!$A$1:$I$89,5,0)</f>
        <v>177.24720000000008</v>
      </c>
      <c r="BF35" s="13">
        <f t="shared" si="37"/>
        <v>44.709190633994517</v>
      </c>
      <c r="BG35" s="20">
        <f t="shared" si="7"/>
        <v>386.57404702087388</v>
      </c>
      <c r="BH35" s="59">
        <f t="shared" si="8"/>
        <v>633.74607187437164</v>
      </c>
      <c r="BI35" s="59">
        <f ca="1">AVERAGE(OFFSET($BH$3,0,0,'Données projet'!$E$11+1,1))-AVERAGE(OFFSET($H$3,0,0,'Données projet'!$E$11+1,1))</f>
        <v>525.88595000893986</v>
      </c>
      <c r="BJ35" s="59">
        <f t="shared" si="38"/>
        <v>458.67158147469263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55.703151408846729</v>
      </c>
      <c r="BR35" s="21">
        <f>EXP(-LN(2)/2)*BR34+(1-EXP(-LN(2)/2))/(LN(2)/2)*BL35*BO35*VLOOKUP('Données projet'!$B$11,Paramètres!$A$1:$I$89,3,0)*0.475*44/12</f>
        <v>2.6182420633070344E-2</v>
      </c>
      <c r="BS35" s="22">
        <f t="shared" si="9"/>
        <v>55.729333829479799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57.410552232772119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4.4080000000000004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16.16266666666667</v>
      </c>
      <c r="H36" s="66">
        <f t="shared" si="1"/>
        <v>192.01600000000005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16.154230774999998</v>
      </c>
      <c r="N36" s="13">
        <f>IF('Données projet'!$A$36&gt;35,N35+M36-V35,IF(A36&lt;'Données projet'!$A$36,$K$205^A36,IF(A36='Données projet'!$A$36,'Données projet'!$B$36,N35+M36-V35)))</f>
        <v>156.88576922499999</v>
      </c>
      <c r="O36" s="13">
        <f>N36*VLOOKUP('Données projet'!$B$9,Paramètres!$A$1:$I$89,3,0)*VLOOKUP('Données projet'!$B$9,Paramètres!$A$1:$I$89,5,0)</f>
        <v>141.95024399477998</v>
      </c>
      <c r="P36" s="13">
        <f t="shared" si="33"/>
        <v>36.743418652910712</v>
      </c>
      <c r="Q36" s="20">
        <f t="shared" si="53"/>
        <v>311.22479577806126</v>
      </c>
      <c r="R36" s="59">
        <f t="shared" si="0"/>
        <v>559.19761613245907</v>
      </c>
      <c r="S36" s="59">
        <f ca="1">AVERAGE(OFFSET($R$3,0,0,'Données projet'!$E$9+1,1))-AVERAGE(OFFSET($H$3,0,0,'Données projet'!$E$9+1,1))</f>
        <v>737.52606296329941</v>
      </c>
      <c r="T36" s="59">
        <f t="shared" si="34"/>
        <v>270.54143254083715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94.683834002745016</v>
      </c>
      <c r="AK36" s="13">
        <f t="shared" si="35"/>
        <v>25.691495958197862</v>
      </c>
      <c r="AL36" s="20">
        <f t="shared" si="4"/>
        <v>209.6536996819755</v>
      </c>
      <c r="AM36" s="59">
        <f t="shared" si="5"/>
        <v>457.62652003637334</v>
      </c>
      <c r="AN36" s="59">
        <f ca="1">AVERAGE(OFFSET($AM$3,0,0,'Données projet'!$E$10+1,1))-AVERAGE(OFFSET($H$3,0,0,'Données projet'!$E$10+1,1))</f>
        <v>691.79662395689525</v>
      </c>
      <c r="AO36" s="59">
        <f t="shared" si="36"/>
        <v>213.38682325741539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24.2</v>
      </c>
      <c r="BD36" s="12">
        <f>IF('Données projet'!$A$88&gt;35,BD35+BC36-BL35,IF(A36&lt;'Données projet'!$A$88,$BA$205^A36,IF(A36='Données projet'!$A$88,'Données projet'!$B$88,BD35+BC36-BL35)))</f>
        <v>320.60000000000008</v>
      </c>
      <c r="BE36" s="13">
        <f>BD36*VLOOKUP('Données projet'!$B$11,Paramètres!$A$1:$I$89,3,0)*VLOOKUP('Données projet'!$B$11,Paramètres!$A$1:$I$89,5,0)</f>
        <v>191.71880000000007</v>
      </c>
      <c r="BF36" s="13">
        <f t="shared" si="37"/>
        <v>47.919755728134994</v>
      </c>
      <c r="BG36" s="20">
        <f t="shared" si="7"/>
        <v>417.37048455983518</v>
      </c>
      <c r="BH36" s="59">
        <f t="shared" si="8"/>
        <v>665.34330491423304</v>
      </c>
      <c r="BI36" s="59">
        <f ca="1">AVERAGE(OFFSET($BH$3,0,0,'Données projet'!$E$11+1,1))-AVERAGE(OFFSET($H$3,0,0,'Données projet'!$E$11+1,1))</f>
        <v>525.88595000893986</v>
      </c>
      <c r="BJ36" s="59">
        <f t="shared" si="38"/>
        <v>458.67158147469263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54.179945804270396</v>
      </c>
      <c r="BR36" s="21">
        <f>EXP(-LN(2)/2)*BR35+(1-EXP(-LN(2)/2))/(LN(2)/2)*BL36*BO36*VLOOKUP('Données projet'!$B$11,Paramètres!$A$1:$I$89,3,0)*0.475*44/12</f>
        <v>1.8513767177522619E-2</v>
      </c>
      <c r="BS36" s="22">
        <f t="shared" si="9"/>
        <v>54.19845957144792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57.628951005744867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4.4080000000000004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16.16266666666667</v>
      </c>
      <c r="H37" s="66">
        <f t="shared" si="1"/>
        <v>192.01600000000005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173.04</v>
      </c>
      <c r="L37" s="12">
        <f>VLOOKUP(A37,'Données projet'!$A$35:$I$55,9,0)</f>
        <v>16.154230774999998</v>
      </c>
      <c r="M37" s="12">
        <f t="array" ref="M37">INDEX(L:L,MIN(IF(ISNUMBER(L37:L233),ROW(L37:L233),"")))</f>
        <v>16.154230774999998</v>
      </c>
      <c r="N37" s="13">
        <f>IF('Données projet'!$A$36&gt;35,N36+M37-V36,IF(A37&lt;'Données projet'!$A$36,$K$205^A37,IF(A37='Données projet'!$A$36,'Données projet'!$B$36,N36+M37-V36)))</f>
        <v>173.04</v>
      </c>
      <c r="O37" s="13">
        <f>N37*VLOOKUP('Données projet'!$B$9,Paramètres!$A$1:$I$89,3,0)*VLOOKUP('Données projet'!$B$9,Paramètres!$A$1:$I$89,5,0)</f>
        <v>156.56659199999999</v>
      </c>
      <c r="P37" s="13">
        <f t="shared" si="33"/>
        <v>40.067125668008877</v>
      </c>
      <c r="Q37" s="20">
        <f t="shared" si="53"/>
        <v>342.47039160511548</v>
      </c>
      <c r="R37" s="59">
        <f t="shared" si="0"/>
        <v>591.23011544878329</v>
      </c>
      <c r="S37" s="59">
        <f ca="1">AVERAGE(OFFSET($R$3,0,0,'Données projet'!$E$9+1,1))-AVERAGE(OFFSET($H$3,0,0,'Données projet'!$E$9+1,1))</f>
        <v>737.52606296329941</v>
      </c>
      <c r="T37" s="59">
        <f t="shared" si="34"/>
        <v>270.54143254083715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35.450000000000003</v>
      </c>
      <c r="W37" s="16">
        <f>IF(ISNA(VLOOKUP(A37,'Données projet'!$A$35:$I$55,5,0)),0%,VLOOKUP(A37,'Données projet'!$A$35:$I$55,5,0)*VLOOKUP('Données projet'!$B$9,Paramètres!$A$1:$I$89,7,0))</f>
        <v>0.43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15.246999898475442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15.246999898475442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102.34531200244002</v>
      </c>
      <c r="AK37" s="13">
        <f t="shared" si="35"/>
        <v>27.519979704909193</v>
      </c>
      <c r="AL37" s="20">
        <f t="shared" si="4"/>
        <v>226.18204972363321</v>
      </c>
      <c r="AM37" s="59">
        <f t="shared" si="5"/>
        <v>474.94177356730097</v>
      </c>
      <c r="AN37" s="59">
        <f ca="1">AVERAGE(OFFSET($AM$3,0,0,'Données projet'!$E$10+1,1))-AVERAGE(OFFSET($H$3,0,0,'Données projet'!$E$10+1,1))</f>
        <v>691.79662395689525</v>
      </c>
      <c r="AO37" s="59">
        <f t="shared" si="36"/>
        <v>213.38682325741539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24.2</v>
      </c>
      <c r="BD37" s="12">
        <f>IF('Données projet'!$A$88&gt;35,BD36+BC37-BL36,IF(A37&lt;'Données projet'!$A$88,$BA$205^A37,IF(A37='Données projet'!$A$88,'Données projet'!$B$88,BD36+BC37-BL36)))</f>
        <v>344.80000000000007</v>
      </c>
      <c r="BE37" s="13">
        <f>BD37*VLOOKUP('Données projet'!$B$11,Paramètres!$A$1:$I$89,3,0)*VLOOKUP('Données projet'!$B$11,Paramètres!$A$1:$I$89,5,0)</f>
        <v>206.19040000000004</v>
      </c>
      <c r="BF37" s="13">
        <f t="shared" si="37"/>
        <v>51.102207309460546</v>
      </c>
      <c r="BG37" s="20">
        <f t="shared" si="7"/>
        <v>448.11795773064387</v>
      </c>
      <c r="BH37" s="59">
        <f t="shared" si="8"/>
        <v>696.87768157431162</v>
      </c>
      <c r="BI37" s="59">
        <f ca="1">AVERAGE(OFFSET($BH$3,0,0,'Données projet'!$E$11+1,1))-AVERAGE(OFFSET($H$3,0,0,'Données projet'!$E$11+1,1))</f>
        <v>525.88595000893986</v>
      </c>
      <c r="BJ37" s="59">
        <f t="shared" si="38"/>
        <v>458.67158147469263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52.6983923370531</v>
      </c>
      <c r="BR37" s="21">
        <f>EXP(-LN(2)/2)*BR36+(1-EXP(-LN(2)/2))/(LN(2)/2)*BL37*BO37*VLOOKUP('Données projet'!$B$11,Paramètres!$A$1:$I$89,3,0)*0.475*44/12</f>
        <v>1.3091210316535172E-2</v>
      </c>
      <c r="BS37" s="22">
        <f t="shared" si="9"/>
        <v>52.711483547369639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57.843561048273031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4.4080000000000004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16.16266666666667</v>
      </c>
      <c r="H38" s="66">
        <f t="shared" si="1"/>
        <v>192.01600000000005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13.802500000000002</v>
      </c>
      <c r="N38" s="13">
        <f>IF('Données projet'!$A$36&gt;35,N37+M38-V37,IF(A38&lt;'Données projet'!$A$36,$K$205^A38,IF(A38='Données projet'!$A$36,'Données projet'!$B$36,N37+M38-V37)))</f>
        <v>151.39249999999998</v>
      </c>
      <c r="O38" s="13">
        <f>N38*VLOOKUP('Données projet'!$B$9,Paramètres!$A$1:$I$89,3,0)*VLOOKUP('Données projet'!$B$9,Paramètres!$A$1:$I$89,5,0)</f>
        <v>136.97993399999999</v>
      </c>
      <c r="P38" s="13">
        <f t="shared" si="33"/>
        <v>35.604275117076945</v>
      </c>
      <c r="Q38" s="20">
        <f t="shared" si="53"/>
        <v>300.58416421224229</v>
      </c>
      <c r="R38" s="59">
        <f t="shared" si="0"/>
        <v>550.11714052889386</v>
      </c>
      <c r="S38" s="59">
        <f ca="1">AVERAGE(OFFSET($R$3,0,0,'Données projet'!$E$9+1,1))-AVERAGE(OFFSET($H$3,0,0,'Données projet'!$E$9+1,1))</f>
        <v>737.52606296329941</v>
      </c>
      <c r="T38" s="59">
        <f t="shared" si="34"/>
        <v>270.54143254083715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14.948015530218003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14.948015530218003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110.00679000213502</v>
      </c>
      <c r="AK38" s="13">
        <f t="shared" si="35"/>
        <v>29.332584344274991</v>
      </c>
      <c r="AL38" s="20">
        <f t="shared" si="4"/>
        <v>242.68274365333079</v>
      </c>
      <c r="AM38" s="59">
        <f t="shared" si="5"/>
        <v>492.21571996998233</v>
      </c>
      <c r="AN38" s="59">
        <f ca="1">AVERAGE(OFFSET($AM$3,0,0,'Données projet'!$E$10+1,1))-AVERAGE(OFFSET($H$3,0,0,'Données projet'!$E$10+1,1))</f>
        <v>691.79662395689525</v>
      </c>
      <c r="AO38" s="59">
        <f t="shared" si="36"/>
        <v>213.38682325741539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369</v>
      </c>
      <c r="BB38" s="12">
        <f>VLOOKUP(A38,'Données projet'!$A$87:$I$107,9,0)</f>
        <v>24.2</v>
      </c>
      <c r="BC38" s="12">
        <f t="array" ref="BC38">INDEX(BB:BB,MIN(IF(ISNUMBER(BB38:BB234),ROW(BB38:BB234),"")))</f>
        <v>24.2</v>
      </c>
      <c r="BD38" s="12">
        <f>IF('Données projet'!$A$88&gt;35,BD37+BC38-BL37,IF(A38&lt;'Données projet'!$A$88,$BA$205^A38,IF(A38='Données projet'!$A$88,'Données projet'!$B$88,BD37+BC38-BL37)))</f>
        <v>369.00000000000006</v>
      </c>
      <c r="BE38" s="13">
        <f>BD38*VLOOKUP('Données projet'!$B$11,Paramètres!$A$1:$I$89,3,0)*VLOOKUP('Données projet'!$B$11,Paramètres!$A$1:$I$89,5,0)</f>
        <v>220.66200000000006</v>
      </c>
      <c r="BF38" s="13">
        <f t="shared" si="37"/>
        <v>54.258742979955002</v>
      </c>
      <c r="BG38" s="20">
        <f t="shared" si="7"/>
        <v>478.82029402342181</v>
      </c>
      <c r="BH38" s="59">
        <f t="shared" si="8"/>
        <v>728.35327034007332</v>
      </c>
      <c r="BI38" s="59">
        <f ca="1">AVERAGE(OFFSET($BH$3,0,0,'Données projet'!$E$11+1,1))-AVERAGE(OFFSET($H$3,0,0,'Données projet'!$E$11+1,1))</f>
        <v>525.88595000893986</v>
      </c>
      <c r="BJ38" s="59">
        <f t="shared" si="38"/>
        <v>458.67158147469263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63</v>
      </c>
      <c r="BM38" s="16">
        <f>IF(ISNA(VLOOKUP(A38,'Données projet'!$A$87:$I$107,5,0)),0%,VLOOKUP(A38,'Données projet'!$A$87:$I$107,5,0)*VLOOKUP('Données projet'!$B$11,Paramètres!$A$1:$I$89,7,0))</f>
        <v>0.45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22.489645182403162</v>
      </c>
      <c r="BQ38" s="21">
        <f>EXP(-LN(2)/25)*BQ37+(1-EXP(-LN(2)/25))/(LN(2)/25)*Calculateur!BL38*Calculateur!BN38*VLOOKUP('Données projet'!$B$11,Paramètres!$A$1:$I$89,3,0)*0.475*44/12</f>
        <v>51.257352027308372</v>
      </c>
      <c r="BR38" s="21">
        <f>EXP(-LN(2)/2)*BR37+(1-EXP(-LN(2)/2))/(LN(2)/2)*BL38*BO38*VLOOKUP('Données projet'!$B$11,Paramètres!$A$1:$I$89,3,0)*0.475*44/12</f>
        <v>9.2568835887613093E-3</v>
      </c>
      <c r="BS38" s="22">
        <f t="shared" si="9"/>
        <v>73.756254093300299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58.054448086359514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4.4080000000000004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16.16266666666667</v>
      </c>
      <c r="H39" s="66">
        <f t="shared" si="1"/>
        <v>192.01600000000005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13.802500000000002</v>
      </c>
      <c r="N39" s="13">
        <f>IF('Données projet'!$A$36&gt;35,N38+M39-V38,IF(A39&lt;'Données projet'!$A$36,$K$205^A39,IF(A39='Données projet'!$A$36,'Données projet'!$B$36,N38+M39-V38)))</f>
        <v>165.19499999999999</v>
      </c>
      <c r="O39" s="13">
        <f>N39*VLOOKUP('Données projet'!$B$9,Paramètres!$A$1:$I$89,3,0)*VLOOKUP('Données projet'!$B$9,Paramètres!$A$1:$I$89,5,0)</f>
        <v>149.468436</v>
      </c>
      <c r="P39" s="13">
        <f t="shared" si="33"/>
        <v>38.457760846909196</v>
      </c>
      <c r="Q39" s="20">
        <f t="shared" si="53"/>
        <v>327.30479284170019</v>
      </c>
      <c r="R39" s="59">
        <f t="shared" si="0"/>
        <v>577.59760742966284</v>
      </c>
      <c r="S39" s="59">
        <f ca="1">AVERAGE(OFFSET($R$3,0,0,'Données projet'!$E$9+1,1))-AVERAGE(OFFSET($H$3,0,0,'Données projet'!$E$9+1,1))</f>
        <v>737.52606296329941</v>
      </c>
      <c r="T39" s="59">
        <f t="shared" si="34"/>
        <v>270.54143254083715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14.654894063059634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14.654894063059634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117.66826800183003</v>
      </c>
      <c r="AK39" s="13">
        <f t="shared" si="35"/>
        <v>31.130541582270677</v>
      </c>
      <c r="AL39" s="20">
        <f t="shared" si="4"/>
        <v>259.15792669230871</v>
      </c>
      <c r="AM39" s="59">
        <f t="shared" si="5"/>
        <v>509.45074128027136</v>
      </c>
      <c r="AN39" s="59">
        <f ca="1">AVERAGE(OFFSET($AM$3,0,0,'Données projet'!$E$10+1,1))-AVERAGE(OFFSET($H$3,0,0,'Données projet'!$E$10+1,1))</f>
        <v>691.79662395689525</v>
      </c>
      <c r="AO39" s="59">
        <f t="shared" si="36"/>
        <v>213.38682325741539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23.6</v>
      </c>
      <c r="BD39" s="12">
        <f>IF('Données projet'!$A$88&gt;35,BD38+BC39-BL38,IF(A39&lt;'Données projet'!$A$88,$BA$205^A39,IF(A39='Données projet'!$A$88,'Données projet'!$B$88,BD38+BC39-BL38)))</f>
        <v>329.60000000000008</v>
      </c>
      <c r="BE39" s="13">
        <f>BD39*VLOOKUP('Données projet'!$B$11,Paramètres!$A$1:$I$89,3,0)*VLOOKUP('Données projet'!$B$11,Paramètres!$A$1:$I$89,5,0)</f>
        <v>197.10080000000005</v>
      </c>
      <c r="BF39" s="13">
        <f t="shared" si="37"/>
        <v>49.10647084525754</v>
      </c>
      <c r="BG39" s="20">
        <f t="shared" si="7"/>
        <v>428.81099672215697</v>
      </c>
      <c r="BH39" s="59">
        <f t="shared" si="8"/>
        <v>679.10381131011957</v>
      </c>
      <c r="BI39" s="59">
        <f ca="1">AVERAGE(OFFSET($BH$3,0,0,'Données projet'!$E$11+1,1))-AVERAGE(OFFSET($H$3,0,0,'Données projet'!$E$11+1,1))</f>
        <v>525.88595000893986</v>
      </c>
      <c r="BJ39" s="59">
        <f t="shared" si="38"/>
        <v>458.67158147469263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22.048636957705323</v>
      </c>
      <c r="BQ39" s="21">
        <f>EXP(-LN(2)/25)*BQ38+(1-EXP(-LN(2)/25))/(LN(2)/25)*Calculateur!BL39*Calculateur!BN39*VLOOKUP('Données projet'!$B$11,Paramètres!$A$1:$I$89,3,0)*0.475*44/12</f>
        <v>49.855717040614628</v>
      </c>
      <c r="BR39" s="21">
        <f>EXP(-LN(2)/2)*BR38+(1-EXP(-LN(2)/2))/(LN(2)/2)*BL39*BO39*VLOOKUP('Données projet'!$B$11,Paramètres!$A$1:$I$89,3,0)*0.475*44/12</f>
        <v>6.545605158267586E-3</v>
      </c>
      <c r="BS39" s="22">
        <f t="shared" si="9"/>
        <v>71.910899603478214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58.261676705807986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4.4080000000000004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16.16266666666667</v>
      </c>
      <c r="H40" s="66">
        <f t="shared" si="1"/>
        <v>192.01600000000005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13.802500000000002</v>
      </c>
      <c r="N40" s="13">
        <f>IF('Données projet'!$A$36&gt;35,N39+M40-V39,IF(A40&lt;'Données projet'!$A$36,$K$205^A40,IF(A40='Données projet'!$A$36,'Données projet'!$B$36,N39+M40-V39)))</f>
        <v>178.9975</v>
      </c>
      <c r="O40" s="13">
        <f>N40*VLOOKUP('Données projet'!$B$9,Paramètres!$A$1:$I$89,3,0)*VLOOKUP('Données projet'!$B$9,Paramètres!$A$1:$I$89,5,0)</f>
        <v>161.95693799999998</v>
      </c>
      <c r="P40" s="13">
        <f t="shared" si="33"/>
        <v>41.283595456567447</v>
      </c>
      <c r="Q40" s="20">
        <f t="shared" si="53"/>
        <v>353.97726243685491</v>
      </c>
      <c r="R40" s="59">
        <f t="shared" si="0"/>
        <v>605.01673380086527</v>
      </c>
      <c r="S40" s="59">
        <f ca="1">AVERAGE(OFFSET($R$3,0,0,'Données projet'!$E$9+1,1))-AVERAGE(OFFSET($H$3,0,0,'Données projet'!$E$9+1,1))</f>
        <v>737.52606296329941</v>
      </c>
      <c r="T40" s="59">
        <f t="shared" si="34"/>
        <v>270.54143254083715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14.3675205290858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14.3675205290858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125.32974600152502</v>
      </c>
      <c r="AK40" s="13">
        <f t="shared" si="35"/>
        <v>32.9149136594975</v>
      </c>
      <c r="AL40" s="20">
        <f t="shared" si="4"/>
        <v>275.60944890961423</v>
      </c>
      <c r="AM40" s="59">
        <f t="shared" si="5"/>
        <v>526.64892027362453</v>
      </c>
      <c r="AN40" s="59">
        <f ca="1">AVERAGE(OFFSET($AM$3,0,0,'Données projet'!$E$10+1,1))-AVERAGE(OFFSET($H$3,0,0,'Données projet'!$E$10+1,1))</f>
        <v>691.79662395689525</v>
      </c>
      <c r="AO40" s="59">
        <f t="shared" si="36"/>
        <v>213.38682325741539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23.6</v>
      </c>
      <c r="BD40" s="12">
        <f>IF('Données projet'!$A$88&gt;35,BD39+BC40-BL39,IF(A40&lt;'Données projet'!$A$88,$BA$205^A40,IF(A40='Données projet'!$A$88,'Données projet'!$B$88,BD39+BC40-BL39)))</f>
        <v>353.2000000000001</v>
      </c>
      <c r="BE40" s="13">
        <f>BD40*VLOOKUP('Données projet'!$B$11,Paramètres!$A$1:$I$89,3,0)*VLOOKUP('Données projet'!$B$11,Paramètres!$A$1:$I$89,5,0)</f>
        <v>211.2136000000001</v>
      </c>
      <c r="BF40" s="13">
        <f t="shared" si="37"/>
        <v>52.20069882503806</v>
      </c>
      <c r="BG40" s="20">
        <f t="shared" si="7"/>
        <v>458.77990378694136</v>
      </c>
      <c r="BH40" s="59">
        <f t="shared" si="8"/>
        <v>709.81937515095171</v>
      </c>
      <c r="BI40" s="59">
        <f ca="1">AVERAGE(OFFSET($BH$3,0,0,'Données projet'!$E$11+1,1))-AVERAGE(OFFSET($H$3,0,0,'Données projet'!$E$11+1,1))</f>
        <v>525.88595000893986</v>
      </c>
      <c r="BJ40" s="59">
        <f t="shared" si="38"/>
        <v>458.67158147469263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21.616276635305354</v>
      </c>
      <c r="BQ40" s="21">
        <f>EXP(-LN(2)/25)*BQ39+(1-EXP(-LN(2)/25))/(LN(2)/25)*Calculateur!BL40*Calculateur!BN40*VLOOKUP('Données projet'!$B$11,Paramètres!$A$1:$I$89,3,0)*0.475*44/12</f>
        <v>48.492409836340812</v>
      </c>
      <c r="BR40" s="21">
        <f>EXP(-LN(2)/2)*BR39+(1-EXP(-LN(2)/2))/(LN(2)/2)*BL40*BO40*VLOOKUP('Données projet'!$B$11,Paramètres!$A$1:$I$89,3,0)*0.475*44/12</f>
        <v>4.6284417943806546E-3</v>
      </c>
      <c r="BS40" s="22">
        <f t="shared" si="9"/>
        <v>70.113314913440547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58.465310372002818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4.4080000000000004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16.16266666666667</v>
      </c>
      <c r="H41" s="66">
        <f t="shared" si="1"/>
        <v>192.01600000000005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13.802500000000002</v>
      </c>
      <c r="N41" s="13">
        <f>IF('Données projet'!$A$36&gt;35,N40+M41-V40,IF(A41&lt;'Données projet'!$A$36,$K$205^A41,IF(A41='Données projet'!$A$36,'Données projet'!$B$36,N40+M41-V40)))</f>
        <v>192.8</v>
      </c>
      <c r="O41" s="13">
        <f>N41*VLOOKUP('Données projet'!$B$9,Paramètres!$A$1:$I$89,3,0)*VLOOKUP('Données projet'!$B$9,Paramètres!$A$1:$I$89,5,0)</f>
        <v>174.44543999999999</v>
      </c>
      <c r="P41" s="13">
        <f t="shared" si="33"/>
        <v>44.08415354960767</v>
      </c>
      <c r="Q41" s="20">
        <f t="shared" si="53"/>
        <v>380.6057087655667</v>
      </c>
      <c r="R41" s="59">
        <f t="shared" si="0"/>
        <v>632.37888407983473</v>
      </c>
      <c r="S41" s="59">
        <f ca="1">AVERAGE(OFFSET($R$3,0,0,'Données projet'!$E$9+1,1))-AVERAGE(OFFSET($H$3,0,0,'Données projet'!$E$9+1,1))</f>
        <v>737.52606296329941</v>
      </c>
      <c r="T41" s="59">
        <f t="shared" si="34"/>
        <v>270.54143254083715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14.085782214832644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14.085782214832644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132.99122400122002</v>
      </c>
      <c r="AK41" s="13">
        <f t="shared" si="35"/>
        <v>34.686625607193186</v>
      </c>
      <c r="AL41" s="20">
        <f t="shared" si="4"/>
        <v>292.03892140131967</v>
      </c>
      <c r="AM41" s="59">
        <f t="shared" si="5"/>
        <v>543.81209671558781</v>
      </c>
      <c r="AN41" s="59">
        <f ca="1">AVERAGE(OFFSET($AM$3,0,0,'Données projet'!$E$10+1,1))-AVERAGE(OFFSET($H$3,0,0,'Données projet'!$E$10+1,1))</f>
        <v>691.79662395689525</v>
      </c>
      <c r="AO41" s="59">
        <f t="shared" si="36"/>
        <v>213.38682325741539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23.6</v>
      </c>
      <c r="BD41" s="12">
        <f>IF('Données projet'!$A$88&gt;35,BD40+BC41-BL40,IF(A41&lt;'Données projet'!$A$88,$BA$205^A41,IF(A41='Données projet'!$A$88,'Données projet'!$B$88,BD40+BC41-BL40)))</f>
        <v>376.80000000000013</v>
      </c>
      <c r="BE41" s="13">
        <f>BD41*VLOOKUP('Données projet'!$B$11,Paramètres!$A$1:$I$89,3,0)*VLOOKUP('Données projet'!$B$11,Paramètres!$A$1:$I$89,5,0)</f>
        <v>225.32640000000009</v>
      </c>
      <c r="BF41" s="13">
        <f t="shared" si="37"/>
        <v>55.270935716234675</v>
      </c>
      <c r="BG41" s="20">
        <f t="shared" si="7"/>
        <v>488.70702637244216</v>
      </c>
      <c r="BH41" s="59">
        <f t="shared" si="8"/>
        <v>740.48020168671019</v>
      </c>
      <c r="BI41" s="59">
        <f ca="1">AVERAGE(OFFSET($BH$3,0,0,'Données projet'!$E$11+1,1))-AVERAGE(OFFSET($H$3,0,0,'Données projet'!$E$11+1,1))</f>
        <v>525.88595000893986</v>
      </c>
      <c r="BJ41" s="59">
        <f t="shared" si="38"/>
        <v>458.67158147469263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21.192394635113889</v>
      </c>
      <c r="BQ41" s="21">
        <f>EXP(-LN(2)/25)*BQ40+(1-EXP(-LN(2)/25))/(LN(2)/25)*Calculateur!BL41*Calculateur!BN41*VLOOKUP('Données projet'!$B$11,Paramètres!$A$1:$I$89,3,0)*0.475*44/12</f>
        <v>47.166382339261069</v>
      </c>
      <c r="BR41" s="21">
        <f>EXP(-LN(2)/2)*BR40+(1-EXP(-LN(2)/2))/(LN(2)/2)*BL41*BO41*VLOOKUP('Données projet'!$B$11,Paramètres!$A$1:$I$89,3,0)*0.475*44/12</f>
        <v>3.272802579133793E-3</v>
      </c>
      <c r="BS41" s="22">
        <f t="shared" si="9"/>
        <v>68.362049776954095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58.665411449345839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4.4080000000000004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16.16266666666667</v>
      </c>
      <c r="H42" s="66">
        <f t="shared" si="1"/>
        <v>192.01600000000005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13.802500000000002</v>
      </c>
      <c r="N42" s="13">
        <f>IF('Données projet'!$A$36&gt;35,N41+M42-V41,IF(A42&lt;'Données projet'!$A$36,$K$205^A42,IF(A42='Données projet'!$A$36,'Données projet'!$B$36,N41+M42-V41)))</f>
        <v>206.60250000000002</v>
      </c>
      <c r="O42" s="13">
        <f>N42*VLOOKUP('Données projet'!$B$9,Paramètres!$A$1:$I$89,3,0)*VLOOKUP('Données projet'!$B$9,Paramètres!$A$1:$I$89,5,0)</f>
        <v>186.93394200000003</v>
      </c>
      <c r="P42" s="13">
        <f t="shared" si="33"/>
        <v>46.86145046822454</v>
      </c>
      <c r="Q42" s="20">
        <f t="shared" si="53"/>
        <v>407.19364188215781</v>
      </c>
      <c r="R42" s="59">
        <f t="shared" si="0"/>
        <v>659.68779302346297</v>
      </c>
      <c r="S42" s="59">
        <f ca="1">AVERAGE(OFFSET($R$3,0,0,'Données projet'!$E$9+1,1))-AVERAGE(OFFSET($H$3,0,0,'Données projet'!$E$9+1,1))</f>
        <v>737.52606296329941</v>
      </c>
      <c r="T42" s="59">
        <f t="shared" si="34"/>
        <v>270.54143254083715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13.80956861707859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13.80956861707859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140.65270200091504</v>
      </c>
      <c r="AK42" s="13">
        <f t="shared" si="35"/>
        <v>36.446489856382073</v>
      </c>
      <c r="AL42" s="20">
        <f t="shared" si="4"/>
        <v>308.44775915145914</v>
      </c>
      <c r="AM42" s="59">
        <f t="shared" si="5"/>
        <v>560.94191029276431</v>
      </c>
      <c r="AN42" s="59">
        <f ca="1">AVERAGE(OFFSET($AM$3,0,0,'Données projet'!$E$10+1,1))-AVERAGE(OFFSET($H$3,0,0,'Données projet'!$E$10+1,1))</f>
        <v>691.79662395689525</v>
      </c>
      <c r="AO42" s="59">
        <f t="shared" si="36"/>
        <v>213.38682325741539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23.6</v>
      </c>
      <c r="BD42" s="12">
        <f>IF('Données projet'!$A$88&gt;35,BD41+BC42-BL41,IF(A42&lt;'Données projet'!$A$88,$BA$205^A42,IF(A42='Données projet'!$A$88,'Données projet'!$B$88,BD41+BC42-BL41)))</f>
        <v>400.40000000000015</v>
      </c>
      <c r="BE42" s="13">
        <f>BD42*VLOOKUP('Données projet'!$B$11,Paramètres!$A$1:$I$89,3,0)*VLOOKUP('Données projet'!$B$11,Paramètres!$A$1:$I$89,5,0)</f>
        <v>239.43920000000011</v>
      </c>
      <c r="BF42" s="13">
        <f t="shared" si="37"/>
        <v>58.318855207171957</v>
      </c>
      <c r="BG42" s="20">
        <f t="shared" si="7"/>
        <v>518.59527948582468</v>
      </c>
      <c r="BH42" s="59">
        <f t="shared" si="8"/>
        <v>771.08943062712979</v>
      </c>
      <c r="BI42" s="59">
        <f ca="1">AVERAGE(OFFSET($BH$3,0,0,'Données projet'!$E$11+1,1))-AVERAGE(OFFSET($H$3,0,0,'Données projet'!$E$11+1,1))</f>
        <v>525.88595000893986</v>
      </c>
      <c r="BJ42" s="59">
        <f t="shared" si="38"/>
        <v>458.67158147469263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20.776824702403687</v>
      </c>
      <c r="BQ42" s="21">
        <f>EXP(-LN(2)/25)*BQ41+(1-EXP(-LN(2)/25))/(LN(2)/25)*Calculateur!BL42*Calculateur!BN42*VLOOKUP('Données projet'!$B$11,Paramètres!$A$1:$I$89,3,0)*0.475*44/12</f>
        <v>45.87661513382173</v>
      </c>
      <c r="BR42" s="21">
        <f>EXP(-LN(2)/2)*BR41+(1-EXP(-LN(2)/2))/(LN(2)/2)*BL42*BO42*VLOOKUP('Données projet'!$B$11,Paramètres!$A$1:$I$89,3,0)*0.475*44/12</f>
        <v>2.3142208971903273E-3</v>
      </c>
      <c r="BS42" s="22">
        <f t="shared" si="9"/>
        <v>66.655754057122607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58.862041220355948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4.4080000000000004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16.16266666666667</v>
      </c>
      <c r="H43" s="66">
        <f t="shared" si="1"/>
        <v>192.01600000000005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13.802500000000002</v>
      </c>
      <c r="N43" s="13">
        <f>IF('Données projet'!$A$36&gt;35,N42+M43-V42,IF(A43&lt;'Données projet'!$A$36,$K$205^A43,IF(A43='Données projet'!$A$36,'Données projet'!$B$36,N42+M43-V42)))</f>
        <v>220.40500000000003</v>
      </c>
      <c r="O43" s="13">
        <f>N43*VLOOKUP('Données projet'!$B$9,Paramètres!$A$1:$I$89,3,0)*VLOOKUP('Données projet'!$B$9,Paramètres!$A$1:$I$89,5,0)</f>
        <v>199.42244400000001</v>
      </c>
      <c r="P43" s="13">
        <f t="shared" si="33"/>
        <v>49.617217041644913</v>
      </c>
      <c r="Q43" s="20">
        <f t="shared" si="53"/>
        <v>433.74407631419825</v>
      </c>
      <c r="R43" s="59">
        <f t="shared" si="0"/>
        <v>686.94669596380186</v>
      </c>
      <c r="S43" s="59">
        <f ca="1">AVERAGE(OFFSET($R$3,0,0,'Données projet'!$E$9+1,1))-AVERAGE(OFFSET($H$3,0,0,'Données projet'!$E$9+1,1))</f>
        <v>737.52606296329941</v>
      </c>
      <c r="T43" s="59">
        <f t="shared" si="34"/>
        <v>270.54143254083715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13.538771399502831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13.538771399502831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148.31418000061007</v>
      </c>
      <c r="AK43" s="13">
        <f t="shared" si="35"/>
        <v>38.195225331667984</v>
      </c>
      <c r="AL43" s="20">
        <f t="shared" si="4"/>
        <v>324.83721428705093</v>
      </c>
      <c r="AM43" s="59">
        <f t="shared" si="5"/>
        <v>578.03983393665453</v>
      </c>
      <c r="AN43" s="59">
        <f ca="1">AVERAGE(OFFSET($AM$3,0,0,'Données projet'!$E$10+1,1))-AVERAGE(OFFSET($H$3,0,0,'Données projet'!$E$10+1,1))</f>
        <v>691.79662395689525</v>
      </c>
      <c r="AO43" s="59">
        <f t="shared" si="36"/>
        <v>213.38682325741539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424</v>
      </c>
      <c r="BB43" s="12">
        <f>VLOOKUP(A43,'Données projet'!$A$87:$I$107,9,0)</f>
        <v>23.6</v>
      </c>
      <c r="BC43" s="12">
        <f t="array" ref="BC43">INDEX(BB:BB,MIN(IF(ISNUMBER(BB43:BB239),ROW(BB43:BB239),"")))</f>
        <v>23.6</v>
      </c>
      <c r="BD43" s="12">
        <f>IF('Données projet'!$A$88&gt;35,BD42+BC43-BL42,IF(A43&lt;'Données projet'!$A$88,$BA$205^A43,IF(A43='Données projet'!$A$88,'Données projet'!$B$88,BD42+BC43-BL42)))</f>
        <v>424.00000000000017</v>
      </c>
      <c r="BE43" s="13">
        <f>BD43*VLOOKUP('Données projet'!$B$11,Paramètres!$A$1:$I$89,3,0)*VLOOKUP('Données projet'!$B$11,Paramètres!$A$1:$I$89,5,0)</f>
        <v>253.55200000000011</v>
      </c>
      <c r="BF43" s="13">
        <f t="shared" si="37"/>
        <v>61.345922542613536</v>
      </c>
      <c r="BG43" s="20">
        <f t="shared" si="7"/>
        <v>548.447215095052</v>
      </c>
      <c r="BH43" s="59">
        <f t="shared" si="8"/>
        <v>801.64983474465566</v>
      </c>
      <c r="BI43" s="59">
        <f ca="1">AVERAGE(OFFSET($BH$3,0,0,'Données projet'!$E$11+1,1))-AVERAGE(OFFSET($H$3,0,0,'Données projet'!$E$11+1,1))</f>
        <v>525.88595000893986</v>
      </c>
      <c r="BJ43" s="59">
        <f t="shared" si="38"/>
        <v>458.67158147469263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63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42.859049025004467</v>
      </c>
      <c r="BQ43" s="21">
        <f>EXP(-LN(2)/25)*BQ42+(1-EXP(-LN(2)/25))/(LN(2)/25)*Calculateur!BL43*Calculateur!BN43*VLOOKUP('Données projet'!$B$11,Paramètres!$A$1:$I$89,3,0)*0.475*44/12</f>
        <v>44.622116680441039</v>
      </c>
      <c r="BR43" s="21">
        <f>EXP(-LN(2)/2)*BR42+(1-EXP(-LN(2)/2))/(LN(2)/2)*BL43*BO43*VLOOKUP('Données projet'!$B$11,Paramètres!$A$1:$I$89,3,0)*0.475*44/12</f>
        <v>1.6364012895668965E-3</v>
      </c>
      <c r="BS43" s="22">
        <f t="shared" si="9"/>
        <v>87.482802106735079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59.055259904437349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4.4080000000000004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16.16266666666667</v>
      </c>
      <c r="H44" s="66">
        <f t="shared" si="1"/>
        <v>192.01600000000005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13.802500000000002</v>
      </c>
      <c r="N44" s="13">
        <f>IF('Données projet'!$A$36&gt;35,N43+M44-V43,IF(A44&lt;'Données projet'!$A$36,$K$205^A44,IF(A44='Données projet'!$A$36,'Données projet'!$B$36,N43+M44-V43)))</f>
        <v>234.20750000000004</v>
      </c>
      <c r="O44" s="13">
        <f>N44*VLOOKUP('Données projet'!$B$9,Paramètres!$A$1:$I$89,3,0)*VLOOKUP('Données projet'!$B$9,Paramètres!$A$1:$I$89,5,0)</f>
        <v>211.910946</v>
      </c>
      <c r="P44" s="13">
        <f t="shared" si="33"/>
        <v>52.352955065676788</v>
      </c>
      <c r="Q44" s="20">
        <f t="shared" si="53"/>
        <v>460.25962768938712</v>
      </c>
      <c r="R44" s="59">
        <f t="shared" si="0"/>
        <v>714.15842550256843</v>
      </c>
      <c r="S44" s="59">
        <f ca="1">AVERAGE(OFFSET($R$3,0,0,'Données projet'!$E$9+1,1))-AVERAGE(OFFSET($H$3,0,0,'Données projet'!$E$9+1,1))</f>
        <v>737.52606296329941</v>
      </c>
      <c r="T44" s="59">
        <f t="shared" si="34"/>
        <v>270.54143254083715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13.273284350193741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13.273284350193741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155.97565800030506</v>
      </c>
      <c r="AK44" s="13">
        <f t="shared" si="35"/>
        <v>39.933472487325616</v>
      </c>
      <c r="AL44" s="20">
        <f t="shared" si="4"/>
        <v>341.20840226595675</v>
      </c>
      <c r="AM44" s="59">
        <f t="shared" si="5"/>
        <v>595.10720007913812</v>
      </c>
      <c r="AN44" s="59">
        <f ca="1">AVERAGE(OFFSET($AM$3,0,0,'Données projet'!$E$10+1,1))-AVERAGE(OFFSET($H$3,0,0,'Données projet'!$E$10+1,1))</f>
        <v>691.79662395689525</v>
      </c>
      <c r="AO44" s="59">
        <f t="shared" si="36"/>
        <v>213.38682325741539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21.6</v>
      </c>
      <c r="BD44" s="12">
        <f>IF('Données projet'!$A$88&gt;35,BD43+BC44-BL43,IF(A44&lt;'Données projet'!$A$88,$BA$205^A44,IF(A44='Données projet'!$A$88,'Données projet'!$B$88,BD43+BC44-BL43)))</f>
        <v>382.60000000000019</v>
      </c>
      <c r="BE44" s="13">
        <f>BD44*VLOOKUP('Données projet'!$B$11,Paramètres!$A$1:$I$89,3,0)*VLOOKUP('Données projet'!$B$11,Paramètres!$A$1:$I$89,5,0)</f>
        <v>228.79480000000012</v>
      </c>
      <c r="BF44" s="13">
        <f t="shared" si="37"/>
        <v>56.022009485811381</v>
      </c>
      <c r="BG44" s="20">
        <f t="shared" si="7"/>
        <v>496.05594318778844</v>
      </c>
      <c r="BH44" s="59">
        <f t="shared" si="8"/>
        <v>749.95474100096976</v>
      </c>
      <c r="BI44" s="59">
        <f ca="1">AVERAGE(OFFSET($BH$3,0,0,'Données projet'!$E$11+1,1))-AVERAGE(OFFSET($H$3,0,0,'Données projet'!$E$11+1,1))</f>
        <v>525.88595000893986</v>
      </c>
      <c r="BJ44" s="59">
        <f t="shared" si="38"/>
        <v>458.67158147469263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42.018609215062781</v>
      </c>
      <c r="BQ44" s="21">
        <f>EXP(-LN(2)/25)*BQ43+(1-EXP(-LN(2)/25))/(LN(2)/25)*Calculateur!BL44*Calculateur!BN44*VLOOKUP('Données projet'!$B$11,Paramètres!$A$1:$I$89,3,0)*0.475*44/12</f>
        <v>43.401922553239245</v>
      </c>
      <c r="BR44" s="21">
        <f>EXP(-LN(2)/2)*BR43+(1-EXP(-LN(2)/2))/(LN(2)/2)*BL44*BO44*VLOOKUP('Données projet'!$B$11,Paramètres!$A$1:$I$89,3,0)*0.475*44/12</f>
        <v>1.1571104485951637E-3</v>
      </c>
      <c r="BS44" s="22">
        <f t="shared" si="9"/>
        <v>85.421688878750615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59.245126676322187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4.4080000000000004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16.16266666666667</v>
      </c>
      <c r="H45" s="66">
        <f t="shared" si="1"/>
        <v>192.01600000000005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248.01</v>
      </c>
      <c r="L45" s="12">
        <f>VLOOKUP(A45,'Données projet'!$A$35:$I$55,9,0)</f>
        <v>13.802500000000002</v>
      </c>
      <c r="M45" s="12">
        <f t="array" ref="M45">INDEX(L:L,MIN(IF(ISNUMBER(L45:L241),ROW(L45:L241),"")))</f>
        <v>13.802500000000002</v>
      </c>
      <c r="N45" s="13">
        <f>IF('Données projet'!$A$36&gt;35,N44+M45-V44,IF(A45&lt;'Données projet'!$A$36,$K$205^A45,IF(A45='Données projet'!$A$36,'Données projet'!$B$36,N44+M45-V44)))</f>
        <v>248.01000000000005</v>
      </c>
      <c r="O45" s="13">
        <f>N45*VLOOKUP('Données projet'!$B$9,Paramètres!$A$1:$I$89,3,0)*VLOOKUP('Données projet'!$B$9,Paramètres!$A$1:$I$89,5,0)</f>
        <v>224.39944800000004</v>
      </c>
      <c r="P45" s="13">
        <f t="shared" si="33"/>
        <v>55.06997932657665</v>
      </c>
      <c r="Q45" s="20">
        <f t="shared" si="53"/>
        <v>486.74258592712107</v>
      </c>
      <c r="R45" s="59">
        <f t="shared" si="0"/>
        <v>741.32548476916327</v>
      </c>
      <c r="S45" s="59">
        <f ca="1">AVERAGE(OFFSET($R$3,0,0,'Données projet'!$E$9+1,1))-AVERAGE(OFFSET($H$3,0,0,'Données projet'!$E$9+1,1))</f>
        <v>737.52606296329941</v>
      </c>
      <c r="T45" s="59">
        <f t="shared" si="34"/>
        <v>270.54143254083715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55.41</v>
      </c>
      <c r="W45" s="16">
        <f>IF(ISNA(VLOOKUP(A45,'Données projet'!$A$35:$I$55,5,0)),0%,VLOOKUP(A45,'Données projet'!$A$35:$I$55,5,0)*VLOOKUP('Données projet'!$B$9,Paramètres!$A$1:$I$89,7,0))</f>
        <v>0.43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36.844773844208383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36.844773844208383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163.63713600000005</v>
      </c>
      <c r="AK45" s="13">
        <f t="shared" si="35"/>
        <v>41.661805305260039</v>
      </c>
      <c r="AL45" s="20">
        <f t="shared" si="4"/>
        <v>357.56232277332794</v>
      </c>
      <c r="AM45" s="59">
        <f t="shared" si="5"/>
        <v>612.14522161537013</v>
      </c>
      <c r="AN45" s="59">
        <f ca="1">AVERAGE(OFFSET($AM$3,0,0,'Données projet'!$E$10+1,1))-AVERAGE(OFFSET($H$3,0,0,'Données projet'!$E$10+1,1))</f>
        <v>691.79662395689525</v>
      </c>
      <c r="AO45" s="59">
        <f t="shared" si="36"/>
        <v>213.38682325741539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19.545836682262806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19.545836682262806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21.6</v>
      </c>
      <c r="BD45" s="12">
        <f>IF('Données projet'!$A$88&gt;35,BD44+BC45-BL44,IF(A45&lt;'Données projet'!$A$88,$BA$205^A45,IF(A45='Données projet'!$A$88,'Données projet'!$B$88,BD44+BC45-BL44)))</f>
        <v>404.20000000000022</v>
      </c>
      <c r="BE45" s="13">
        <f>BD45*VLOOKUP('Données projet'!$B$11,Paramètres!$A$1:$I$89,3,0)*VLOOKUP('Données projet'!$B$11,Paramètres!$A$1:$I$89,5,0)</f>
        <v>241.71160000000015</v>
      </c>
      <c r="BF45" s="13">
        <f t="shared" si="37"/>
        <v>58.807637113502857</v>
      </c>
      <c r="BG45" s="20">
        <f t="shared" si="7"/>
        <v>523.40433797268429</v>
      </c>
      <c r="BH45" s="59">
        <f t="shared" si="8"/>
        <v>777.98723681472654</v>
      </c>
      <c r="BI45" s="59">
        <f ca="1">AVERAGE(OFFSET($BH$3,0,0,'Données projet'!$E$11+1,1))-AVERAGE(OFFSET($H$3,0,0,'Données projet'!$E$11+1,1))</f>
        <v>525.88595000893986</v>
      </c>
      <c r="BJ45" s="59">
        <f t="shared" si="38"/>
        <v>458.67158147469263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41.194649917176385</v>
      </c>
      <c r="BQ45" s="21">
        <f>EXP(-LN(2)/25)*BQ44+(1-EXP(-LN(2)/25))/(LN(2)/25)*Calculateur!BL45*Calculateur!BN45*VLOOKUP('Données projet'!$B$11,Paramètres!$A$1:$I$89,3,0)*0.475*44/12</f>
        <v>42.215094698613008</v>
      </c>
      <c r="BR45" s="21">
        <f>EXP(-LN(2)/2)*BR44+(1-EXP(-LN(2)/2))/(LN(2)/2)*BL45*BO45*VLOOKUP('Données projet'!$B$11,Paramètres!$A$1:$I$89,3,0)*0.475*44/12</f>
        <v>8.1820064478344825E-4</v>
      </c>
      <c r="BS45" s="22">
        <f t="shared" si="9"/>
        <v>83.410562816434179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59.431699684193333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4.4080000000000004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16.16266666666667</v>
      </c>
      <c r="H46" s="66">
        <f t="shared" si="1"/>
        <v>192.01600000000005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14.015000000000004</v>
      </c>
      <c r="N46" s="13">
        <f>IF('Données projet'!$A$36&gt;35,N45+M46-V45,IF(A46&lt;'Données projet'!$A$36,$K$205^A46,IF(A46='Données projet'!$A$36,'Données projet'!$B$36,N45+M46-V45)))</f>
        <v>206.61500000000004</v>
      </c>
      <c r="O46" s="13">
        <f>N46*VLOOKUP('Données projet'!$B$9,Paramètres!$A$1:$I$89,3,0)*VLOOKUP('Données projet'!$B$9,Paramètres!$A$1:$I$89,5,0)</f>
        <v>186.94525200000001</v>
      </c>
      <c r="P46" s="13">
        <f t="shared" si="33"/>
        <v>46.863955679429196</v>
      </c>
      <c r="Q46" s="20">
        <f t="shared" si="53"/>
        <v>407.21770337500584</v>
      </c>
      <c r="R46" s="59">
        <f t="shared" si="0"/>
        <v>662.47283562247901</v>
      </c>
      <c r="S46" s="59">
        <f ca="1">AVERAGE(OFFSET($R$3,0,0,'Données projet'!$E$9+1,1))-AVERAGE(OFFSET($H$3,0,0,'Données projet'!$E$9+1,1))</f>
        <v>737.52606296329941</v>
      </c>
      <c r="T46" s="59">
        <f t="shared" si="34"/>
        <v>270.54143254083715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36.122270302216471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36.122270302216471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131.98454100000004</v>
      </c>
      <c r="AK46" s="13">
        <f t="shared" si="35"/>
        <v>34.454523363818936</v>
      </c>
      <c r="AL46" s="20">
        <f t="shared" si="4"/>
        <v>289.88137043365134</v>
      </c>
      <c r="AM46" s="59">
        <f t="shared" si="5"/>
        <v>545.13650268112451</v>
      </c>
      <c r="AN46" s="59">
        <f ca="1">AVERAGE(OFFSET($AM$3,0,0,'Données projet'!$E$10+1,1))-AVERAGE(OFFSET($H$3,0,0,'Données projet'!$E$10+1,1))</f>
        <v>691.79662395689525</v>
      </c>
      <c r="AO46" s="59">
        <f t="shared" si="36"/>
        <v>213.38682325741539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19.162554746706832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19.162554746706832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</v>
      </c>
      <c r="BD46" s="12">
        <f>IF('Données projet'!$A$88&gt;35,BD45+BC46-BL45,IF(A46&lt;'Données projet'!$A$88,$BA$205^A46,IF(A46='Données projet'!$A$88,'Données projet'!$B$88,BD45+BC46-BL45)))</f>
        <v>425.80000000000024</v>
      </c>
      <c r="BE46" s="13">
        <f>BD46*VLOOKUP('Données projet'!$B$11,Paramètres!$A$1:$I$89,3,0)*VLOOKUP('Données projet'!$B$11,Paramètres!$A$1:$I$89,5,0)</f>
        <v>254.62840000000014</v>
      </c>
      <c r="BF46" s="13">
        <f t="shared" si="37"/>
        <v>61.575982433801578</v>
      </c>
      <c r="BG46" s="20">
        <f t="shared" si="7"/>
        <v>550.7226327388712</v>
      </c>
      <c r="BH46" s="59">
        <f t="shared" si="8"/>
        <v>805.97776498634437</v>
      </c>
      <c r="BI46" s="59">
        <f ca="1">AVERAGE(OFFSET($BH$3,0,0,'Données projet'!$E$11+1,1))-AVERAGE(OFFSET($H$3,0,0,'Données projet'!$E$11+1,1))</f>
        <v>525.88595000893986</v>
      </c>
      <c r="BJ46" s="59">
        <f t="shared" si="38"/>
        <v>458.67158147469263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40.386847958555997</v>
      </c>
      <c r="BQ46" s="21">
        <f>EXP(-LN(2)/25)*BQ45+(1-EXP(-LN(2)/25))/(LN(2)/25)*Calculateur!BL46*Calculateur!BN46*VLOOKUP('Données projet'!$B$11,Paramètres!$A$1:$I$89,3,0)*0.475*44/12</f>
        <v>41.060720714084091</v>
      </c>
      <c r="BR46" s="21">
        <f>EXP(-LN(2)/2)*BR45+(1-EXP(-LN(2)/2))/(LN(2)/2)*BL46*BO46*VLOOKUP('Données projet'!$B$11,Paramètres!$A$1:$I$89,3,0)*0.475*44/12</f>
        <v>5.7855522429758183E-4</v>
      </c>
      <c r="BS46" s="22">
        <f t="shared" si="9"/>
        <v>81.448147227864382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59.615036067492682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4.4080000000000004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16.16266666666667</v>
      </c>
      <c r="H47" s="66">
        <f t="shared" si="1"/>
        <v>192.01600000000005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14.015000000000004</v>
      </c>
      <c r="N47" s="13">
        <f>IF('Données projet'!$A$36&gt;35,N46+M47-V46,IF(A47&lt;'Données projet'!$A$36,$K$205^A47,IF(A47='Données projet'!$A$36,'Données projet'!$B$36,N46+M47-V46)))</f>
        <v>220.63000000000005</v>
      </c>
      <c r="O47" s="13">
        <f>N47*VLOOKUP('Données projet'!$B$9,Paramètres!$A$1:$I$89,3,0)*VLOOKUP('Données projet'!$B$9,Paramètres!$A$1:$I$89,5,0)</f>
        <v>199.62602400000003</v>
      </c>
      <c r="P47" s="13">
        <f t="shared" si="33"/>
        <v>49.661970169140027</v>
      </c>
      <c r="Q47" s="20">
        <f t="shared" si="53"/>
        <v>434.17658984458558</v>
      </c>
      <c r="R47" s="59">
        <f t="shared" si="0"/>
        <v>690.09229375079417</v>
      </c>
      <c r="S47" s="59">
        <f ca="1">AVERAGE(OFFSET($R$3,0,0,'Données projet'!$E$9+1,1))-AVERAGE(OFFSET($H$3,0,0,'Données projet'!$E$9+1,1))</f>
        <v>737.52606296329941</v>
      </c>
      <c r="T47" s="59">
        <f t="shared" si="34"/>
        <v>270.54143254083715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35.413934613999373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35.413934613999373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141.45058200000003</v>
      </c>
      <c r="AK47" s="13">
        <f t="shared" si="35"/>
        <v>36.629113839026211</v>
      </c>
      <c r="AL47" s="20">
        <f t="shared" si="4"/>
        <v>310.1554702529707</v>
      </c>
      <c r="AM47" s="59">
        <f t="shared" si="5"/>
        <v>566.07117415917935</v>
      </c>
      <c r="AN47" s="59">
        <f ca="1">AVERAGE(OFFSET($AM$3,0,0,'Données projet'!$E$10+1,1))-AVERAGE(OFFSET($H$3,0,0,'Données projet'!$E$10+1,1))</f>
        <v>691.79662395689525</v>
      </c>
      <c r="AO47" s="59">
        <f t="shared" si="36"/>
        <v>213.38682325741539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18.786788736128212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18.786788736128212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</v>
      </c>
      <c r="BD47" s="12">
        <f>IF('Données projet'!$A$88&gt;35,BD46+BC47-BL46,IF(A47&lt;'Données projet'!$A$88,$BA$205^A47,IF(A47='Données projet'!$A$88,'Données projet'!$B$88,BD46+BC47-BL46)))</f>
        <v>447.40000000000026</v>
      </c>
      <c r="BE47" s="13">
        <f>BD47*VLOOKUP('Données projet'!$B$11,Paramètres!$A$1:$I$89,3,0)*VLOOKUP('Données projet'!$B$11,Paramètres!$A$1:$I$89,5,0)</f>
        <v>267.54520000000014</v>
      </c>
      <c r="BF47" s="13">
        <f t="shared" si="37"/>
        <v>64.328022166288974</v>
      </c>
      <c r="BG47" s="20">
        <f t="shared" si="7"/>
        <v>578.01252860628688</v>
      </c>
      <c r="BH47" s="59">
        <f t="shared" si="8"/>
        <v>833.92823251249547</v>
      </c>
      <c r="BI47" s="59">
        <f ca="1">AVERAGE(OFFSET($BH$3,0,0,'Données projet'!$E$11+1,1))-AVERAGE(OFFSET($H$3,0,0,'Données projet'!$E$11+1,1))</f>
        <v>525.88595000893986</v>
      </c>
      <c r="BJ47" s="59">
        <f t="shared" si="38"/>
        <v>458.67158147469263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39.59488650363361</v>
      </c>
      <c r="BQ47" s="21">
        <f>EXP(-LN(2)/25)*BQ46+(1-EXP(-LN(2)/25))/(LN(2)/25)*Calculateur!BL47*Calculateur!BN47*VLOOKUP('Données projet'!$B$11,Paramètres!$A$1:$I$89,3,0)*0.475*44/12</f>
        <v>39.937913146868006</v>
      </c>
      <c r="BR47" s="21">
        <f>EXP(-LN(2)/2)*BR46+(1-EXP(-LN(2)/2))/(LN(2)/2)*BL47*BO47*VLOOKUP('Données projet'!$B$11,Paramètres!$A$1:$I$89,3,0)*0.475*44/12</f>
        <v>4.0910032239172413E-4</v>
      </c>
      <c r="BS47" s="22">
        <f t="shared" si="9"/>
        <v>79.533208750824002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59.795191974420533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4.4080000000000004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16.16266666666667</v>
      </c>
      <c r="H48" s="66">
        <f t="shared" si="1"/>
        <v>192.01600000000005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14.015000000000004</v>
      </c>
      <c r="N48" s="13">
        <f>IF('Données projet'!$A$36&gt;35,N47+M48-V47,IF(A48&lt;'Données projet'!$A$36,$K$205^A48,IF(A48='Données projet'!$A$36,'Données projet'!$B$36,N47+M48-V47)))</f>
        <v>234.64500000000007</v>
      </c>
      <c r="O48" s="13">
        <f>N48*VLOOKUP('Données projet'!$B$9,Paramètres!$A$1:$I$89,3,0)*VLOOKUP('Données projet'!$B$9,Paramètres!$A$1:$I$89,5,0)</f>
        <v>212.30679600000005</v>
      </c>
      <c r="P48" s="13">
        <f t="shared" si="33"/>
        <v>52.439357699522503</v>
      </c>
      <c r="Q48" s="20">
        <f t="shared" si="53"/>
        <v>461.09955102666845</v>
      </c>
      <c r="R48" s="59">
        <f t="shared" si="0"/>
        <v>717.66436715015038</v>
      </c>
      <c r="S48" s="59">
        <f ca="1">AVERAGE(OFFSET($R$3,0,0,'Données projet'!$E$9+1,1))-AVERAGE(OFFSET($H$3,0,0,'Données projet'!$E$9+1,1))</f>
        <v>737.52606296329941</v>
      </c>
      <c r="T48" s="59">
        <f t="shared" si="34"/>
        <v>270.54143254083715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34.719488956586098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34.719488956586098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150.91662300000004</v>
      </c>
      <c r="AK48" s="13">
        <f t="shared" si="35"/>
        <v>38.786817570784009</v>
      </c>
      <c r="AL48" s="20">
        <f t="shared" si="4"/>
        <v>330.40015899411554</v>
      </c>
      <c r="AM48" s="59">
        <f t="shared" si="5"/>
        <v>586.96497511759753</v>
      </c>
      <c r="AN48" s="59">
        <f ca="1">AVERAGE(OFFSET($AM$3,0,0,'Données projet'!$E$10+1,1))-AVERAGE(OFFSET($H$3,0,0,'Données projet'!$E$10+1,1))</f>
        <v>691.79662395689525</v>
      </c>
      <c r="AO48" s="59">
        <f t="shared" si="36"/>
        <v>213.38682325741539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18.418391267822404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18.418391267822404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469</v>
      </c>
      <c r="BB48" s="12">
        <f>VLOOKUP(A48,'Données projet'!$A$87:$I$107,9,0)</f>
        <v>21.6</v>
      </c>
      <c r="BC48" s="12">
        <f t="array" ref="BC48">INDEX(BB:BB,MIN(IF(ISNUMBER(BB48:BB244),ROW(BB48:BB244),"")))</f>
        <v>21.6</v>
      </c>
      <c r="BD48" s="12">
        <f>IF('Données projet'!$A$88&gt;35,BD47+BC48-BL47,IF(A48&lt;'Données projet'!$A$88,$BA$205^A48,IF(A48='Données projet'!$A$88,'Données projet'!$B$88,BD47+BC48-BL47)))</f>
        <v>469.00000000000028</v>
      </c>
      <c r="BE48" s="13">
        <f>BD48*VLOOKUP('Données projet'!$B$11,Paramètres!$A$1:$I$89,3,0)*VLOOKUP('Données projet'!$B$11,Paramètres!$A$1:$I$89,5,0)</f>
        <v>280.46200000000022</v>
      </c>
      <c r="BF48" s="13">
        <f t="shared" si="37"/>
        <v>67.064633392006456</v>
      </c>
      <c r="BG48" s="20">
        <f t="shared" si="7"/>
        <v>605.27555315774487</v>
      </c>
      <c r="BH48" s="59">
        <f t="shared" si="8"/>
        <v>861.84036928122691</v>
      </c>
      <c r="BI48" s="59">
        <f ca="1">AVERAGE(OFFSET($BH$3,0,0,'Données projet'!$E$11+1,1))-AVERAGE(OFFSET($H$3,0,0,'Données projet'!$E$11+1,1))</f>
        <v>525.88595000893986</v>
      </c>
      <c r="BJ48" s="59">
        <f t="shared" si="38"/>
        <v>458.67158147469263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60</v>
      </c>
      <c r="BM48" s="16">
        <f>IF(ISNA(VLOOKUP(A48,'Données projet'!$A$87:$I$107,5,0)),0%,VLOOKUP(A48,'Données projet'!$A$87:$I$107,5,0)*VLOOKUP('Données projet'!$B$11,Paramètres!$A$1:$I$89,7,0))</f>
        <v>0.45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60.237164627320283</v>
      </c>
      <c r="BQ48" s="21">
        <f>EXP(-LN(2)/25)*BQ47+(1-EXP(-LN(2)/25))/(LN(2)/25)*Calculateur!BL48*Calculateur!BN48*VLOOKUP('Données projet'!$B$11,Paramètres!$A$1:$I$89,3,0)*0.475*44/12</f>
        <v>38.845808811623328</v>
      </c>
      <c r="BR48" s="21">
        <f>EXP(-LN(2)/2)*BR47+(1-EXP(-LN(2)/2))/(LN(2)/2)*BL48*BO48*VLOOKUP('Données projet'!$B$11,Paramètres!$A$1:$I$89,3,0)*0.475*44/12</f>
        <v>2.8927761214879091E-4</v>
      </c>
      <c r="BS48" s="22">
        <f t="shared" si="9"/>
        <v>99.083262716555765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59.972222579131454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4.4080000000000004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16.16266666666667</v>
      </c>
      <c r="H49" s="66">
        <f t="shared" si="1"/>
        <v>192.01600000000005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14.015000000000004</v>
      </c>
      <c r="N49" s="13">
        <f>IF('Données projet'!$A$36&gt;35,N48+M49-V48,IF(A49&lt;'Données projet'!$A$36,$K$205^A49,IF(A49='Données projet'!$A$36,'Données projet'!$B$36,N48+M49-V48)))</f>
        <v>248.66000000000008</v>
      </c>
      <c r="O49" s="13">
        <f>N49*VLOOKUP('Données projet'!$B$9,Paramètres!$A$1:$I$89,3,0)*VLOOKUP('Données projet'!$B$9,Paramètres!$A$1:$I$89,5,0)</f>
        <v>224.98756800000007</v>
      </c>
      <c r="P49" s="13">
        <f t="shared" si="33"/>
        <v>55.197490604905951</v>
      </c>
      <c r="Q49" s="20">
        <f t="shared" si="53"/>
        <v>487.98897707021132</v>
      </c>
      <c r="R49" s="59">
        <f t="shared" si="0"/>
        <v>745.1916447651945</v>
      </c>
      <c r="S49" s="59">
        <f ca="1">AVERAGE(OFFSET($R$3,0,0,'Données projet'!$E$9+1,1))-AVERAGE(OFFSET($H$3,0,0,'Données projet'!$E$9+1,1))</f>
        <v>737.52606296329941</v>
      </c>
      <c r="T49" s="59">
        <f t="shared" si="34"/>
        <v>270.54143254083715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34.038660954944675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34.038660954944675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160.38266400000003</v>
      </c>
      <c r="AK49" s="13">
        <f t="shared" si="35"/>
        <v>40.928814336751095</v>
      </c>
      <c r="AL49" s="20">
        <f t="shared" si="4"/>
        <v>350.61749143650815</v>
      </c>
      <c r="AM49" s="59">
        <f t="shared" si="5"/>
        <v>607.82015913149132</v>
      </c>
      <c r="AN49" s="59">
        <f ca="1">AVERAGE(OFFSET($AM$3,0,0,'Données projet'!$E$10+1,1))-AVERAGE(OFFSET($H$3,0,0,'Données projet'!$E$10+1,1))</f>
        <v>691.79662395689525</v>
      </c>
      <c r="AO49" s="59">
        <f t="shared" si="36"/>
        <v>213.38682325741539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18.057217849169803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18.057217849169803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20</v>
      </c>
      <c r="BD49" s="12">
        <f>IF('Données projet'!$A$88&gt;35,BD48+BC49-BL48,IF(A49&lt;'Données projet'!$A$88,$BA$205^A49,IF(A49='Données projet'!$A$88,'Données projet'!$B$88,BD48+BC49-BL48)))</f>
        <v>429.00000000000028</v>
      </c>
      <c r="BE49" s="13">
        <f>BD49*VLOOKUP('Données projet'!$B$11,Paramètres!$A$1:$I$89,3,0)*VLOOKUP('Données projet'!$B$11,Paramètres!$A$1:$I$89,5,0)</f>
        <v>256.5420000000002</v>
      </c>
      <c r="BF49" s="13">
        <f t="shared" si="37"/>
        <v>61.984698688972557</v>
      </c>
      <c r="BG49" s="20">
        <f t="shared" si="7"/>
        <v>554.76733354996088</v>
      </c>
      <c r="BH49" s="59">
        <f t="shared" si="8"/>
        <v>811.97000124494411</v>
      </c>
      <c r="BI49" s="59">
        <f ca="1">AVERAGE(OFFSET($BH$3,0,0,'Données projet'!$E$11+1,1))-AVERAGE(OFFSET($H$3,0,0,'Données projet'!$E$11+1,1))</f>
        <v>525.88595000893986</v>
      </c>
      <c r="BJ49" s="59">
        <f t="shared" si="38"/>
        <v>458.67158147469263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59.055950570021075</v>
      </c>
      <c r="BQ49" s="21">
        <f>EXP(-LN(2)/25)*BQ48+(1-EXP(-LN(2)/25))/(LN(2)/25)*Calculateur!BL49*Calculateur!BN49*VLOOKUP('Données projet'!$B$11,Paramètres!$A$1:$I$89,3,0)*0.475*44/12</f>
        <v>37.783568126857183</v>
      </c>
      <c r="BR49" s="21">
        <f>EXP(-LN(2)/2)*BR48+(1-EXP(-LN(2)/2))/(LN(2)/2)*BL49*BO49*VLOOKUP('Données projet'!$B$11,Paramètres!$A$1:$I$89,3,0)*0.475*44/12</f>
        <v>2.0455016119586206E-4</v>
      </c>
      <c r="BS49" s="22">
        <f t="shared" si="9"/>
        <v>96.839723247039458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60.146182098631783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4.4080000000000004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16.16266666666667</v>
      </c>
      <c r="H50" s="66">
        <f t="shared" si="1"/>
        <v>192.01600000000005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14.015000000000004</v>
      </c>
      <c r="N50" s="13">
        <f>IF('Données projet'!$A$36&gt;35,N49+M50-V49,IF(A50&lt;'Données projet'!$A$36,$K$205^A50,IF(A50='Données projet'!$A$36,'Données projet'!$B$36,N49+M50-V49)))</f>
        <v>262.67500000000007</v>
      </c>
      <c r="O50" s="13">
        <f>N50*VLOOKUP('Données projet'!$B$9,Paramètres!$A$1:$I$89,3,0)*VLOOKUP('Données projet'!$B$9,Paramètres!$A$1:$I$89,5,0)</f>
        <v>237.66834000000003</v>
      </c>
      <c r="P50" s="13">
        <f t="shared" si="33"/>
        <v>57.937577787044361</v>
      </c>
      <c r="Q50" s="20">
        <f t="shared" si="53"/>
        <v>514.8469734791023</v>
      </c>
      <c r="R50" s="59">
        <f t="shared" si="0"/>
        <v>772.67642744684372</v>
      </c>
      <c r="S50" s="59">
        <f ca="1">AVERAGE(OFFSET($R$3,0,0,'Données projet'!$E$9+1,1))-AVERAGE(OFFSET($H$3,0,0,'Données projet'!$E$9+1,1))</f>
        <v>737.52606296329941</v>
      </c>
      <c r="T50" s="59">
        <f t="shared" si="34"/>
        <v>270.54143254083715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33.371183575151363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33.371183575151363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169.848705</v>
      </c>
      <c r="AK50" s="13">
        <f t="shared" si="35"/>
        <v>43.056136782537017</v>
      </c>
      <c r="AL50" s="20">
        <f t="shared" si="4"/>
        <v>370.80926610458528</v>
      </c>
      <c r="AM50" s="59">
        <f t="shared" si="5"/>
        <v>628.63872007232658</v>
      </c>
      <c r="AN50" s="59">
        <f ca="1">AVERAGE(OFFSET($AM$3,0,0,'Données projet'!$E$10+1,1))-AVERAGE(OFFSET($H$3,0,0,'Données projet'!$E$10+1,1))</f>
        <v>691.79662395689525</v>
      </c>
      <c r="AO50" s="59">
        <f t="shared" si="36"/>
        <v>213.38682325741539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17.703126820962947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17.703126820962947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20</v>
      </c>
      <c r="BD50" s="12">
        <f>IF('Données projet'!$A$88&gt;35,BD49+BC50-BL49,IF(A50&lt;'Données projet'!$A$88,$BA$205^A50,IF(A50='Données projet'!$A$88,'Données projet'!$B$88,BD49+BC50-BL49)))</f>
        <v>449.00000000000028</v>
      </c>
      <c r="BE50" s="13">
        <f>BD50*VLOOKUP('Données projet'!$B$11,Paramètres!$A$1:$I$89,3,0)*VLOOKUP('Données projet'!$B$11,Paramètres!$A$1:$I$89,5,0)</f>
        <v>268.50200000000018</v>
      </c>
      <c r="BF50" s="13">
        <f t="shared" si="37"/>
        <v>64.531253013339224</v>
      </c>
      <c r="BG50" s="20">
        <f t="shared" si="7"/>
        <v>580.03291566489941</v>
      </c>
      <c r="BH50" s="59">
        <f t="shared" si="8"/>
        <v>837.86236963264082</v>
      </c>
      <c r="BI50" s="59">
        <f ca="1">AVERAGE(OFFSET($BH$3,0,0,'Données projet'!$E$11+1,1))-AVERAGE(OFFSET($H$3,0,0,'Données projet'!$E$11+1,1))</f>
        <v>525.88595000893986</v>
      </c>
      <c r="BJ50" s="59">
        <f t="shared" si="38"/>
        <v>458.67158147469263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57.897899399916071</v>
      </c>
      <c r="BQ50" s="21">
        <f>EXP(-LN(2)/25)*BQ49+(1-EXP(-LN(2)/25))/(LN(2)/25)*Calculateur!BL50*Calculateur!BN50*VLOOKUP('Données projet'!$B$11,Paramètres!$A$1:$I$89,3,0)*0.475*44/12</f>
        <v>36.750374469476782</v>
      </c>
      <c r="BR50" s="21">
        <f>EXP(-LN(2)/2)*BR49+(1-EXP(-LN(2)/2))/(LN(2)/2)*BL50*BO50*VLOOKUP('Données projet'!$B$11,Paramètres!$A$1:$I$89,3,0)*0.475*44/12</f>
        <v>1.4463880607439546E-4</v>
      </c>
      <c r="BS50" s="22">
        <f t="shared" si="9"/>
        <v>94.64841850819893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60.317123809384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4.4080000000000004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16.16266666666667</v>
      </c>
      <c r="H51" s="66">
        <f t="shared" si="1"/>
        <v>192.01600000000005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14.015000000000004</v>
      </c>
      <c r="N51" s="13">
        <f>IF('Données projet'!$A$36&gt;35,N50+M51-V50,IF(A51&lt;'Données projet'!$A$36,$K$205^A51,IF(A51='Données projet'!$A$36,'Données projet'!$B$36,N50+M51-V50)))</f>
        <v>276.69000000000005</v>
      </c>
      <c r="O51" s="13">
        <f>N51*VLOOKUP('Données projet'!$B$9,Paramètres!$A$1:$I$89,3,0)*VLOOKUP('Données projet'!$B$9,Paramètres!$A$1:$I$89,5,0)</f>
        <v>250.34911200000005</v>
      </c>
      <c r="P51" s="13">
        <f t="shared" si="33"/>
        <v>60.660691860184102</v>
      </c>
      <c r="Q51" s="20">
        <f t="shared" si="53"/>
        <v>541.67540838982075</v>
      </c>
      <c r="R51" s="59">
        <f t="shared" si="0"/>
        <v>800.12077528977215</v>
      </c>
      <c r="S51" s="59">
        <f ca="1">AVERAGE(OFFSET($R$3,0,0,'Données projet'!$E$9+1,1))-AVERAGE(OFFSET($H$3,0,0,'Données projet'!$E$9+1,1))</f>
        <v>737.52606296329941</v>
      </c>
      <c r="T51" s="59">
        <f t="shared" si="34"/>
        <v>270.54143254083715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32.716795019654796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32.716795019654796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179.31474600000001</v>
      </c>
      <c r="AK51" s="13">
        <f t="shared" si="35"/>
        <v>45.169695949598257</v>
      </c>
      <c r="AL51" s="20">
        <f t="shared" si="4"/>
        <v>390.97706972888363</v>
      </c>
      <c r="AM51" s="59">
        <f t="shared" si="5"/>
        <v>649.42243662883493</v>
      </c>
      <c r="AN51" s="59">
        <f ca="1">AVERAGE(OFFSET($AM$3,0,0,'Données projet'!$E$10+1,1))-AVERAGE(OFFSET($H$3,0,0,'Données projet'!$E$10+1,1))</f>
        <v>691.79662395689525</v>
      </c>
      <c r="AO51" s="59">
        <f t="shared" si="36"/>
        <v>213.38682325741539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17.355979301845025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17.355979301845025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20</v>
      </c>
      <c r="BD51" s="12">
        <f>IF('Données projet'!$A$88&gt;35,BD50+BC51-BL50,IF(A51&lt;'Données projet'!$A$88,$BA$205^A51,IF(A51='Données projet'!$A$88,'Données projet'!$B$88,BD50+BC51-BL50)))</f>
        <v>469.00000000000028</v>
      </c>
      <c r="BE51" s="13">
        <f>BD51*VLOOKUP('Données projet'!$B$11,Paramètres!$A$1:$I$89,3,0)*VLOOKUP('Données projet'!$B$11,Paramètres!$A$1:$I$89,5,0)</f>
        <v>280.46200000000022</v>
      </c>
      <c r="BF51" s="13">
        <f t="shared" si="37"/>
        <v>67.064633392006456</v>
      </c>
      <c r="BG51" s="20">
        <f t="shared" si="7"/>
        <v>605.27555315774487</v>
      </c>
      <c r="BH51" s="59">
        <f t="shared" si="8"/>
        <v>863.72092005769628</v>
      </c>
      <c r="BI51" s="59">
        <f ca="1">AVERAGE(OFFSET($BH$3,0,0,'Données projet'!$E$11+1,1))-AVERAGE(OFFSET($H$3,0,0,'Données projet'!$E$11+1,1))</f>
        <v>525.88595000893986</v>
      </c>
      <c r="BJ51" s="59">
        <f t="shared" si="38"/>
        <v>458.67158147469263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56.762556906915357</v>
      </c>
      <c r="BQ51" s="21">
        <f>EXP(-LN(2)/25)*BQ50+(1-EXP(-LN(2)/25))/(LN(2)/25)*Calculateur!BL51*Calculateur!BN51*VLOOKUP('Données projet'!$B$11,Paramètres!$A$1:$I$89,3,0)*0.475*44/12</f>
        <v>35.745433546990739</v>
      </c>
      <c r="BR51" s="21">
        <f>EXP(-LN(2)/2)*BR50+(1-EXP(-LN(2)/2))/(LN(2)/2)*BL51*BO51*VLOOKUP('Données projet'!$B$11,Paramètres!$A$1:$I$89,3,0)*0.475*44/12</f>
        <v>1.0227508059793103E-4</v>
      </c>
      <c r="BS51" s="22">
        <f t="shared" si="9"/>
        <v>92.508092728986696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60.485100063623094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4.4080000000000004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16.16266666666667</v>
      </c>
      <c r="H52" s="66">
        <f t="shared" si="1"/>
        <v>192.01600000000005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14.015000000000004</v>
      </c>
      <c r="N52" s="13">
        <f>IF('Données projet'!$A$36&gt;35,N51+M52-V51,IF(A52&lt;'Données projet'!$A$36,$K$205^A52,IF(A52='Données projet'!$A$36,'Données projet'!$B$36,N51+M52-V51)))</f>
        <v>290.70500000000004</v>
      </c>
      <c r="O52" s="13">
        <f>N52*VLOOKUP('Données projet'!$B$9,Paramètres!$A$1:$I$89,3,0)*VLOOKUP('Données projet'!$B$9,Paramètres!$A$1:$I$89,5,0)</f>
        <v>263.02988400000004</v>
      </c>
      <c r="P52" s="13">
        <f t="shared" si="33"/>
        <v>63.367790639848458</v>
      </c>
      <c r="Q52" s="20">
        <f t="shared" si="53"/>
        <v>568.47594999773617</v>
      </c>
      <c r="R52" s="59">
        <f t="shared" si="0"/>
        <v>827.52654511749859</v>
      </c>
      <c r="S52" s="59">
        <f ca="1">AVERAGE(OFFSET($R$3,0,0,'Données projet'!$E$9+1,1))-AVERAGE(OFFSET($H$3,0,0,'Données projet'!$E$9+1,1))</f>
        <v>737.52606296329941</v>
      </c>
      <c r="T52" s="59">
        <f t="shared" si="34"/>
        <v>270.54143254083715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32.075238624593908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32.075238624593908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188.780787</v>
      </c>
      <c r="AK52" s="13">
        <f t="shared" si="35"/>
        <v>47.270301258838543</v>
      </c>
      <c r="AL52" s="20">
        <f t="shared" si="4"/>
        <v>411.12231205081048</v>
      </c>
      <c r="AM52" s="59">
        <f t="shared" si="5"/>
        <v>670.1729071705729</v>
      </c>
      <c r="AN52" s="59">
        <f ca="1">AVERAGE(OFFSET($AM$3,0,0,'Données projet'!$E$10+1,1))-AVERAGE(OFFSET($H$3,0,0,'Données projet'!$E$10+1,1))</f>
        <v>691.79662395689525</v>
      </c>
      <c r="AO52" s="59">
        <f t="shared" si="36"/>
        <v>213.38682325741539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17.015639133837926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17.015639133837926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</v>
      </c>
      <c r="BD52" s="12">
        <f>IF('Données projet'!$A$88&gt;35,BD51+BC52-BL51,IF(A52&lt;'Données projet'!$A$88,$BA$205^A52,IF(A52='Données projet'!$A$88,'Données projet'!$B$88,BD51+BC52-BL51)))</f>
        <v>489.00000000000028</v>
      </c>
      <c r="BE52" s="13">
        <f>BD52*VLOOKUP('Données projet'!$B$11,Paramètres!$A$1:$I$89,3,0)*VLOOKUP('Données projet'!$B$11,Paramètres!$A$1:$I$89,5,0)</f>
        <v>292.4220000000002</v>
      </c>
      <c r="BF52" s="13">
        <f t="shared" si="37"/>
        <v>69.585465839061499</v>
      </c>
      <c r="BG52" s="20">
        <f t="shared" si="7"/>
        <v>630.49633633636574</v>
      </c>
      <c r="BH52" s="59">
        <f t="shared" si="8"/>
        <v>889.54693145612816</v>
      </c>
      <c r="BI52" s="59">
        <f ca="1">AVERAGE(OFFSET($BH$3,0,0,'Données projet'!$E$11+1,1))-AVERAGE(OFFSET($H$3,0,0,'Données projet'!$E$11+1,1))</f>
        <v>525.88595000893986</v>
      </c>
      <c r="BJ52" s="59">
        <f t="shared" si="38"/>
        <v>458.67158147469263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55.649477787711845</v>
      </c>
      <c r="BQ52" s="21">
        <f>EXP(-LN(2)/25)*BQ51+(1-EXP(-LN(2)/25))/(LN(2)/25)*Calculateur!BL52*Calculateur!BN52*VLOOKUP('Données projet'!$B$11,Paramètres!$A$1:$I$89,3,0)*0.475*44/12</f>
        <v>34.767972786877621</v>
      </c>
      <c r="BR52" s="21">
        <f>EXP(-LN(2)/2)*BR51+(1-EXP(-LN(2)/2))/(LN(2)/2)*BL52*BO52*VLOOKUP('Données projet'!$B$11,Paramètres!$A$1:$I$89,3,0)*0.475*44/12</f>
        <v>7.2319403037197729E-5</v>
      </c>
      <c r="BS52" s="22">
        <f t="shared" si="9"/>
        <v>90.417522893992498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60.650162305389756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4.4080000000000004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16.16266666666667</v>
      </c>
      <c r="H53" s="66">
        <f t="shared" si="1"/>
        <v>192.01600000000005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304.72000000000003</v>
      </c>
      <c r="L53" s="12">
        <f>VLOOKUP(A53,'Données projet'!$A$35:$I$55,9,0)</f>
        <v>14.015000000000004</v>
      </c>
      <c r="M53" s="12">
        <f t="array" ref="M53">INDEX(L:L,MIN(IF(ISNUMBER(L53:L249),ROW(L53:L249),"")))</f>
        <v>14.015000000000004</v>
      </c>
      <c r="N53" s="13">
        <f>IF('Données projet'!$A$36&gt;35,N52+M53-V52,IF(A53&lt;'Données projet'!$A$36,$K$205^A53,IF(A53='Données projet'!$A$36,'Données projet'!$B$36,N52+M53-V52)))</f>
        <v>304.72000000000003</v>
      </c>
      <c r="O53" s="13">
        <f>N53*VLOOKUP('Données projet'!$B$9,Paramètres!$A$1:$I$89,3,0)*VLOOKUP('Données projet'!$B$9,Paramètres!$A$1:$I$89,5,0)</f>
        <v>275.71065600000003</v>
      </c>
      <c r="P53" s="13">
        <f t="shared" si="33"/>
        <v>66.059734370197603</v>
      </c>
      <c r="Q53" s="20">
        <f t="shared" si="53"/>
        <v>595.25009656142754</v>
      </c>
      <c r="R53" s="59">
        <f t="shared" si="0"/>
        <v>854.89542054447497</v>
      </c>
      <c r="S53" s="59">
        <f ca="1">AVERAGE(OFFSET($R$3,0,0,'Données projet'!$E$9+1,1))-AVERAGE(OFFSET($H$3,0,0,'Données projet'!$E$9+1,1))</f>
        <v>737.52606296329941</v>
      </c>
      <c r="T53" s="59">
        <f t="shared" si="34"/>
        <v>270.54143254083715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66.62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60.099440001341925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60.099440001341925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198.24682799999999</v>
      </c>
      <c r="AK53" s="13">
        <f t="shared" si="35"/>
        <v>49.358676372128365</v>
      </c>
      <c r="AL53" s="20">
        <f t="shared" si="4"/>
        <v>431.24625344812353</v>
      </c>
      <c r="AM53" s="59">
        <f t="shared" si="5"/>
        <v>690.89157743117107</v>
      </c>
      <c r="AN53" s="59">
        <f ca="1">AVERAGE(OFFSET($AM$3,0,0,'Données projet'!$E$10+1,1))-AVERAGE(OFFSET($H$3,0,0,'Données projet'!$E$10+1,1))</f>
        <v>691.79662395689525</v>
      </c>
      <c r="AO53" s="59">
        <f t="shared" si="36"/>
        <v>213.38682325741539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32.77641553097294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32.77641553097294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20</v>
      </c>
      <c r="BC53" s="12">
        <f t="array" ref="BC53">INDEX(BB:BB,MIN(IF(ISNUMBER(BB53:BB249),ROW(BB53:BB249),"")))</f>
        <v>20</v>
      </c>
      <c r="BD53" s="12">
        <f>IF('Données projet'!$A$88&gt;35,BD52+BC53-BL52,IF(A53&lt;'Données projet'!$A$88,$BA$205^A53,IF(A53='Données projet'!$A$88,'Données projet'!$B$88,BD52+BC53-BL52)))</f>
        <v>509.00000000000028</v>
      </c>
      <c r="BE53" s="13">
        <f>BD53*VLOOKUP('Données projet'!$B$11,Paramètres!$A$1:$I$89,3,0)*VLOOKUP('Données projet'!$B$11,Paramètres!$A$1:$I$89,5,0)</f>
        <v>304.38200000000018</v>
      </c>
      <c r="BF53" s="13">
        <f t="shared" si="37"/>
        <v>72.094322263150417</v>
      </c>
      <c r="BG53" s="20">
        <f t="shared" si="7"/>
        <v>655.69626127498725</v>
      </c>
      <c r="BH53" s="59">
        <f t="shared" si="8"/>
        <v>915.34158525803468</v>
      </c>
      <c r="BI53" s="59">
        <f ca="1">AVERAGE(OFFSET($BH$3,0,0,'Données projet'!$E$11+1,1))-AVERAGE(OFFSET($H$3,0,0,'Données projet'!$E$11+1,1))</f>
        <v>525.88595000893986</v>
      </c>
      <c r="BJ53" s="59">
        <f t="shared" si="38"/>
        <v>458.67158147469263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53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73.478085703940053</v>
      </c>
      <c r="BQ53" s="21">
        <f>EXP(-LN(2)/25)*BQ52+(1-EXP(-LN(2)/25))/(LN(2)/25)*Calculateur!BL53*Calculateur!BN53*VLOOKUP('Données projet'!$B$11,Paramètres!$A$1:$I$89,3,0)*0.475*44/12</f>
        <v>33.817240742652224</v>
      </c>
      <c r="BR53" s="21">
        <f>EXP(-LN(2)/2)*BR52+(1-EXP(-LN(2)/2))/(LN(2)/2)*BL53*BO53*VLOOKUP('Données projet'!$B$11,Paramètres!$A$1:$I$89,3,0)*0.475*44/12</f>
        <v>5.1137540298965516E-5</v>
      </c>
      <c r="BS53" s="22">
        <f t="shared" si="9"/>
        <v>107.29537758413257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60.812361086285676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4.4080000000000004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16.16266666666667</v>
      </c>
      <c r="H54" s="66">
        <f t="shared" si="1"/>
        <v>192.01600000000005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13.559999999999995</v>
      </c>
      <c r="N54" s="13">
        <f>IF('Données projet'!$A$36&gt;35,N53+M54-V53,IF(A54&lt;'Données projet'!$A$36,$K$205^A54,IF(A54='Données projet'!$A$36,'Données projet'!$B$36,N53+M54-V53)))</f>
        <v>251.66000000000003</v>
      </c>
      <c r="O54" s="13">
        <f>N54*VLOOKUP('Données projet'!$B$9,Paramètres!$A$1:$I$89,3,0)*VLOOKUP('Données projet'!$B$9,Paramètres!$A$1:$I$89,5,0)</f>
        <v>227.70196800000002</v>
      </c>
      <c r="P54" s="13">
        <f t="shared" si="33"/>
        <v>55.785503263186797</v>
      </c>
      <c r="Q54" s="20">
        <f t="shared" si="53"/>
        <v>493.74067911671705</v>
      </c>
      <c r="R54" s="59">
        <f t="shared" si="0"/>
        <v>753.97041474688604</v>
      </c>
      <c r="S54" s="59">
        <f ca="1">AVERAGE(OFFSET($R$3,0,0,'Données projet'!$E$9+1,1))-AVERAGE(OFFSET($H$3,0,0,'Données projet'!$E$9+1,1))</f>
        <v>737.52606296329941</v>
      </c>
      <c r="T54" s="59">
        <f t="shared" si="34"/>
        <v>270.54143254083715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58.92092663995443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58.92092663995443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174.01790249999999</v>
      </c>
      <c r="AK54" s="13">
        <f t="shared" si="35"/>
        <v>43.988673023158164</v>
      </c>
      <c r="AL54" s="20">
        <f t="shared" si="4"/>
        <v>379.69478570283377</v>
      </c>
      <c r="AM54" s="59">
        <f t="shared" si="5"/>
        <v>639.92452133300276</v>
      </c>
      <c r="AN54" s="59">
        <f ca="1">AVERAGE(OFFSET($AM$3,0,0,'Données projet'!$E$10+1,1))-AVERAGE(OFFSET($H$3,0,0,'Données projet'!$E$10+1,1))</f>
        <v>691.79662395689525</v>
      </c>
      <c r="AO54" s="59">
        <f t="shared" si="36"/>
        <v>213.38682325741539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32.133690014050025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32.133690014050025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18.399999999999999</v>
      </c>
      <c r="BD54" s="12">
        <f>IF('Données projet'!$A$88&gt;35,BD53+BC54-BL53,IF(A54&lt;'Données projet'!$A$88,$BA$205^A54,IF(A54='Données projet'!$A$88,'Données projet'!$B$88,BD53+BC54-BL53)))</f>
        <v>474.40000000000032</v>
      </c>
      <c r="BE54" s="13">
        <f>BD54*VLOOKUP('Données projet'!$B$11,Paramètres!$A$1:$I$89,3,0)*VLOOKUP('Données projet'!$B$11,Paramètres!$A$1:$I$89,5,0)</f>
        <v>283.69120000000021</v>
      </c>
      <c r="BF54" s="13">
        <f t="shared" si="37"/>
        <v>67.746469973847553</v>
      </c>
      <c r="BG54" s="20">
        <f t="shared" si="7"/>
        <v>612.08727520445143</v>
      </c>
      <c r="BH54" s="59">
        <f t="shared" si="8"/>
        <v>872.31701083462053</v>
      </c>
      <c r="BI54" s="59">
        <f ca="1">AVERAGE(OFFSET($BH$3,0,0,'Données projet'!$E$11+1,1))-AVERAGE(OFFSET($H$3,0,0,'Données projet'!$E$11+1,1))</f>
        <v>525.88595000893986</v>
      </c>
      <c r="BJ54" s="59">
        <f t="shared" si="38"/>
        <v>458.67158147469263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72.037225260492733</v>
      </c>
      <c r="BQ54" s="21">
        <f>EXP(-LN(2)/25)*BQ53+(1-EXP(-LN(2)/25))/(LN(2)/25)*Calculateur!BL54*Calculateur!BN54*VLOOKUP('Données projet'!$B$11,Paramètres!$A$1:$I$89,3,0)*0.475*44/12</f>
        <v>32.892506516173</v>
      </c>
      <c r="BR54" s="21">
        <f>EXP(-LN(2)/2)*BR53+(1-EXP(-LN(2)/2))/(LN(2)/2)*BL54*BO54*VLOOKUP('Données projet'!$B$11,Paramètres!$A$1:$I$89,3,0)*0.475*44/12</f>
        <v>3.6159701518598864E-5</v>
      </c>
      <c r="BS54" s="22">
        <f t="shared" si="9"/>
        <v>104.92976793636726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60.971746080955199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4.4080000000000004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16.16266666666667</v>
      </c>
      <c r="H55" s="66">
        <f t="shared" si="1"/>
        <v>192.01600000000005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13.559999999999995</v>
      </c>
      <c r="N55" s="13">
        <f>IF('Données projet'!$A$36&gt;35,N54+M55-V54,IF(A55&lt;'Données projet'!$A$36,$K$205^A55,IF(A55='Données projet'!$A$36,'Données projet'!$B$36,N54+M55-V54)))</f>
        <v>265.22000000000003</v>
      </c>
      <c r="O55" s="13">
        <f>N55*VLOOKUP('Données projet'!$B$9,Paramètres!$A$1:$I$89,3,0)*VLOOKUP('Données projet'!$B$9,Paramètres!$A$1:$I$89,5,0)</f>
        <v>239.97105600000003</v>
      </c>
      <c r="P55" s="13">
        <f t="shared" si="33"/>
        <v>58.433302995905095</v>
      </c>
      <c r="Q55" s="20">
        <f t="shared" si="53"/>
        <v>519.72092525120149</v>
      </c>
      <c r="R55" s="59">
        <f t="shared" si="0"/>
        <v>780.52493429296328</v>
      </c>
      <c r="S55" s="59">
        <f ca="1">AVERAGE(OFFSET($R$3,0,0,'Données projet'!$E$9+1,1))-AVERAGE(OFFSET($H$3,0,0,'Données projet'!$E$9+1,1))</f>
        <v>737.52606296329941</v>
      </c>
      <c r="T55" s="59">
        <f t="shared" si="34"/>
        <v>270.54143254083715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57.765523206761571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57.765523206761571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183.64690499999998</v>
      </c>
      <c r="AK55" s="13">
        <f t="shared" si="35"/>
        <v>46.132605737026424</v>
      </c>
      <c r="AL55" s="20">
        <f t="shared" si="4"/>
        <v>400.19931453365422</v>
      </c>
      <c r="AM55" s="59">
        <f t="shared" si="5"/>
        <v>661.00332357541606</v>
      </c>
      <c r="AN55" s="59">
        <f ca="1">AVERAGE(OFFSET($AM$3,0,0,'Données projet'!$E$10+1,1))-AVERAGE(OFFSET($H$3,0,0,'Données projet'!$E$10+1,1))</f>
        <v>691.79662395689525</v>
      </c>
      <c r="AO55" s="59">
        <f t="shared" si="36"/>
        <v>213.38682325741539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31.503567952490112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31.503567952490112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18.399999999999999</v>
      </c>
      <c r="BD55" s="12">
        <f>IF('Données projet'!$A$88&gt;35,BD54+BC55-BL54,IF(A55&lt;'Données projet'!$A$88,$BA$205^A55,IF(A55='Données projet'!$A$88,'Données projet'!$B$88,BD54+BC55-BL54)))</f>
        <v>492.8000000000003</v>
      </c>
      <c r="BE55" s="13">
        <f>BD55*VLOOKUP('Données projet'!$B$11,Paramètres!$A$1:$I$89,3,0)*VLOOKUP('Données projet'!$B$11,Paramètres!$A$1:$I$89,5,0)</f>
        <v>294.6944000000002</v>
      </c>
      <c r="BF55" s="13">
        <f t="shared" si="37"/>
        <v>70.063053488002765</v>
      </c>
      <c r="BG55" s="20">
        <f t="shared" si="7"/>
        <v>635.28589815827183</v>
      </c>
      <c r="BH55" s="59">
        <f t="shared" si="8"/>
        <v>896.08990720003362</v>
      </c>
      <c r="BI55" s="59">
        <f ca="1">AVERAGE(OFFSET($BH$3,0,0,'Données projet'!$E$11+1,1))-AVERAGE(OFFSET($H$3,0,0,'Données projet'!$E$11+1,1))</f>
        <v>525.88595000893986</v>
      </c>
      <c r="BJ55" s="59">
        <f t="shared" si="38"/>
        <v>458.67158147469263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70.62461921150333</v>
      </c>
      <c r="BQ55" s="21">
        <f>EXP(-LN(2)/25)*BQ54+(1-EXP(-LN(2)/25))/(LN(2)/25)*Calculateur!BL55*Calculateur!BN55*VLOOKUP('Données projet'!$B$11,Paramètres!$A$1:$I$89,3,0)*0.475*44/12</f>
        <v>31.993059195746508</v>
      </c>
      <c r="BR55" s="21">
        <f>EXP(-LN(2)/2)*BR54+(1-EXP(-LN(2)/2))/(LN(2)/2)*BL55*BO55*VLOOKUP('Données projet'!$B$11,Paramètres!$A$1:$I$89,3,0)*0.475*44/12</f>
        <v>2.5568770149482758E-5</v>
      </c>
      <c r="BS55" s="22">
        <f t="shared" si="9"/>
        <v>102.61770397602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61.128366102298671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4.4080000000000004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16.16266666666667</v>
      </c>
      <c r="H56" s="66">
        <f t="shared" si="1"/>
        <v>192.01600000000005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13.559999999999995</v>
      </c>
      <c r="N56" s="13">
        <f>IF('Données projet'!$A$36&gt;35,N55+M56-V55,IF(A56&lt;'Données projet'!$A$36,$K$205^A56,IF(A56='Données projet'!$A$36,'Données projet'!$B$36,N55+M56-V55)))</f>
        <v>278.78000000000003</v>
      </c>
      <c r="O56" s="13">
        <f>N56*VLOOKUP('Données projet'!$B$9,Paramètres!$A$1:$I$89,3,0)*VLOOKUP('Données projet'!$B$9,Paramètres!$A$1:$I$89,5,0)</f>
        <v>252.24014399999999</v>
      </c>
      <c r="P56" s="13">
        <f t="shared" si="33"/>
        <v>61.065384641947205</v>
      </c>
      <c r="Q56" s="20">
        <f t="shared" si="53"/>
        <v>545.67379571805805</v>
      </c>
      <c r="R56" s="59">
        <f t="shared" si="0"/>
        <v>807.04211581160439</v>
      </c>
      <c r="S56" s="59">
        <f ca="1">AVERAGE(OFFSET($R$3,0,0,'Données projet'!$E$9+1,1))-AVERAGE(OFFSET($H$3,0,0,'Données projet'!$E$9+1,1))</f>
        <v>737.52606296329941</v>
      </c>
      <c r="T56" s="59">
        <f t="shared" si="34"/>
        <v>270.54143254083715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56.632776530167114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56.632776530167114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193.27590749999999</v>
      </c>
      <c r="AK56" s="13">
        <f t="shared" si="35"/>
        <v>48.263487344253761</v>
      </c>
      <c r="AL56" s="20">
        <f t="shared" si="4"/>
        <v>420.68111268707526</v>
      </c>
      <c r="AM56" s="59">
        <f t="shared" si="5"/>
        <v>682.0494327806216</v>
      </c>
      <c r="AN56" s="59">
        <f ca="1">AVERAGE(OFFSET($AM$3,0,0,'Données projet'!$E$10+1,1))-AVERAGE(OFFSET($H$3,0,0,'Données projet'!$E$10+1,1))</f>
        <v>691.79662395689525</v>
      </c>
      <c r="AO56" s="59">
        <f t="shared" si="36"/>
        <v>213.38682325741539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30.88580220022088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30.88580220022088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18.399999999999999</v>
      </c>
      <c r="BD56" s="12">
        <f>IF('Données projet'!$A$88&gt;35,BD55+BC56-BL55,IF(A56&lt;'Données projet'!$A$88,$BA$205^A56,IF(A56='Données projet'!$A$88,'Données projet'!$B$88,BD55+BC56-BL55)))</f>
        <v>511.20000000000027</v>
      </c>
      <c r="BE56" s="13">
        <f>BD56*VLOOKUP('Données projet'!$B$11,Paramètres!$A$1:$I$89,3,0)*VLOOKUP('Données projet'!$B$11,Paramètres!$A$1:$I$89,5,0)</f>
        <v>305.69760000000019</v>
      </c>
      <c r="BF56" s="13">
        <f t="shared" si="37"/>
        <v>72.369588270212418</v>
      </c>
      <c r="BG56" s="20">
        <f t="shared" si="7"/>
        <v>658.46701957062021</v>
      </c>
      <c r="BH56" s="59">
        <f t="shared" si="8"/>
        <v>919.83533966416667</v>
      </c>
      <c r="BI56" s="59">
        <f ca="1">AVERAGE(OFFSET($BH$3,0,0,'Données projet'!$E$11+1,1))-AVERAGE(OFFSET($H$3,0,0,'Données projet'!$E$11+1,1))</f>
        <v>525.88595000893986</v>
      </c>
      <c r="BJ56" s="59">
        <f t="shared" si="38"/>
        <v>458.67158147469263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69.239713505529991</v>
      </c>
      <c r="BQ56" s="21">
        <f>EXP(-LN(2)/25)*BQ55+(1-EXP(-LN(2)/25))/(LN(2)/25)*Calculateur!BL56*Calculateur!BN56*VLOOKUP('Données projet'!$B$11,Paramètres!$A$1:$I$89,3,0)*0.475*44/12</f>
        <v>31.118207309596958</v>
      </c>
      <c r="BR56" s="21">
        <f>EXP(-LN(2)/2)*BR55+(1-EXP(-LN(2)/2))/(LN(2)/2)*BL56*BO56*VLOOKUP('Données projet'!$B$11,Paramètres!$A$1:$I$89,3,0)*0.475*44/12</f>
        <v>1.8079850759299432E-5</v>
      </c>
      <c r="BS56" s="22">
        <f t="shared" si="9"/>
        <v>100.35793889497771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61.282269116421745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4.4080000000000004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16.16266666666667</v>
      </c>
      <c r="H57" s="66">
        <f t="shared" si="1"/>
        <v>192.01600000000005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13.559999999999995</v>
      </c>
      <c r="N57" s="13">
        <f>IF('Données projet'!$A$36&gt;35,N56+M57-V56,IF(A57&lt;'Données projet'!$A$36,$K$205^A57,IF(A57='Données projet'!$A$36,'Données projet'!$B$36,N56+M57-V56)))</f>
        <v>292.34000000000003</v>
      </c>
      <c r="O57" s="13">
        <f>N57*VLOOKUP('Données projet'!$B$9,Paramètres!$A$1:$I$89,3,0)*VLOOKUP('Données projet'!$B$9,Paramètres!$A$1:$I$89,5,0)</f>
        <v>264.509232</v>
      </c>
      <c r="P57" s="13">
        <f t="shared" si="33"/>
        <v>63.682600004728563</v>
      </c>
      <c r="Q57" s="20">
        <f t="shared" si="53"/>
        <v>571.60077407490223</v>
      </c>
      <c r="R57" s="59">
        <f t="shared" si="0"/>
        <v>833.52361568509514</v>
      </c>
      <c r="S57" s="59">
        <f ca="1">AVERAGE(OFFSET($R$3,0,0,'Données projet'!$E$9+1,1))-AVERAGE(OFFSET($H$3,0,0,'Données projet'!$E$9+1,1))</f>
        <v>737.52606296329941</v>
      </c>
      <c r="T57" s="59">
        <f t="shared" si="34"/>
        <v>270.54143254083715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55.522242324993421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55.522242324993421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202.90491</v>
      </c>
      <c r="AK57" s="13">
        <f t="shared" si="35"/>
        <v>50.382042247767416</v>
      </c>
      <c r="AL57" s="20">
        <f t="shared" si="4"/>
        <v>441.14144183152825</v>
      </c>
      <c r="AM57" s="59">
        <f t="shared" si="5"/>
        <v>703.06428344172127</v>
      </c>
      <c r="AN57" s="59">
        <f ca="1">AVERAGE(OFFSET($AM$3,0,0,'Données projet'!$E$10+1,1))-AVERAGE(OFFSET($H$3,0,0,'Données projet'!$E$10+1,1))</f>
        <v>691.79662395689525</v>
      </c>
      <c r="AO57" s="59">
        <f t="shared" si="36"/>
        <v>213.38682325741539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30.280150457553745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30.280150457553745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18.399999999999999</v>
      </c>
      <c r="BD57" s="12">
        <f>IF('Données projet'!$A$88&gt;35,BD56+BC57-BL56,IF(A57&lt;'Données projet'!$A$88,$BA$205^A57,IF(A57='Données projet'!$A$88,'Données projet'!$B$88,BD56+BC57-BL56)))</f>
        <v>529.60000000000025</v>
      </c>
      <c r="BE57" s="13">
        <f>BD57*VLOOKUP('Données projet'!$B$11,Paramètres!$A$1:$I$89,3,0)*VLOOKUP('Données projet'!$B$11,Paramètres!$A$1:$I$89,5,0)</f>
        <v>316.70080000000019</v>
      </c>
      <c r="BF57" s="13">
        <f t="shared" si="37"/>
        <v>74.666477445141737</v>
      </c>
      <c r="BG57" s="20">
        <f t="shared" si="7"/>
        <v>681.63134155028877</v>
      </c>
      <c r="BH57" s="59">
        <f t="shared" si="8"/>
        <v>943.55418316048167</v>
      </c>
      <c r="BI57" s="59">
        <f ca="1">AVERAGE(OFFSET($BH$3,0,0,'Données projet'!$E$11+1,1))-AVERAGE(OFFSET($H$3,0,0,'Données projet'!$E$11+1,1))</f>
        <v>525.88595000893986</v>
      </c>
      <c r="BJ57" s="59">
        <f t="shared" si="38"/>
        <v>458.67158147469263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67.881964955741722</v>
      </c>
      <c r="BQ57" s="21">
        <f>EXP(-LN(2)/25)*BQ56+(1-EXP(-LN(2)/25))/(LN(2)/25)*Calculateur!BL57*Calculateur!BN57*VLOOKUP('Données projet'!$B$11,Paramètres!$A$1:$I$89,3,0)*0.475*44/12</f>
        <v>30.267278294280629</v>
      </c>
      <c r="BR57" s="21">
        <f>EXP(-LN(2)/2)*BR56+(1-EXP(-LN(2)/2))/(LN(2)/2)*BL57*BO57*VLOOKUP('Données projet'!$B$11,Paramètres!$A$1:$I$89,3,0)*0.475*44/12</f>
        <v>1.2784385074741379E-5</v>
      </c>
      <c r="BS57" s="22">
        <f t="shared" si="9"/>
        <v>98.149256034407429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61.433502257325358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4.4080000000000004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16.16266666666667</v>
      </c>
      <c r="H58" s="66">
        <f t="shared" si="1"/>
        <v>192.01600000000005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13.559999999999995</v>
      </c>
      <c r="N58" s="13">
        <f>IF('Données projet'!$A$36&gt;35,N57+M58-V57,IF(A58&lt;'Données projet'!$A$36,$K$205^A58,IF(A58='Données projet'!$A$36,'Données projet'!$B$36,N57+M58-V57)))</f>
        <v>305.90000000000003</v>
      </c>
      <c r="O58" s="13">
        <f>N58*VLOOKUP('Données projet'!$B$9,Paramètres!$A$1:$I$89,3,0)*VLOOKUP('Données projet'!$B$9,Paramètres!$A$1:$I$89,5,0)</f>
        <v>276.77832000000001</v>
      </c>
      <c r="P58" s="13">
        <f t="shared" si="33"/>
        <v>66.28571740098451</v>
      </c>
      <c r="Q58" s="20">
        <f t="shared" si="53"/>
        <v>597.5031984733813</v>
      </c>
      <c r="R58" s="59">
        <f t="shared" si="0"/>
        <v>859.97094189163158</v>
      </c>
      <c r="S58" s="59">
        <f ca="1">AVERAGE(OFFSET($R$3,0,0,'Données projet'!$E$9+1,1))-AVERAGE(OFFSET($H$3,0,0,'Données projet'!$E$9+1,1))</f>
        <v>737.52606296329941</v>
      </c>
      <c r="T58" s="59">
        <f t="shared" si="34"/>
        <v>270.54143254083715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54.433485018224204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54.433485018224204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212.53391250000001</v>
      </c>
      <c r="AK58" s="13">
        <f t="shared" si="35"/>
        <v>52.4889222112512</v>
      </c>
      <c r="AL58" s="20">
        <f t="shared" si="4"/>
        <v>461.58143712209585</v>
      </c>
      <c r="AM58" s="59">
        <f t="shared" si="5"/>
        <v>724.04918054034601</v>
      </c>
      <c r="AN58" s="59">
        <f ca="1">AVERAGE(OFFSET($AM$3,0,0,'Données projet'!$E$10+1,1))-AVERAGE(OFFSET($H$3,0,0,'Données projet'!$E$10+1,1))</f>
        <v>691.79662395689525</v>
      </c>
      <c r="AO58" s="59">
        <f t="shared" si="36"/>
        <v>213.38682325741539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29.686375176149227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29.686375176149227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548</v>
      </c>
      <c r="BB58" s="12">
        <f>VLOOKUP(A58,'Données projet'!$A$87:$I$107,9,0)</f>
        <v>18.399999999999999</v>
      </c>
      <c r="BC58" s="12">
        <f t="array" ref="BC58">INDEX(BB:BB,MIN(IF(ISNUMBER(BB58:BB254),ROW(BB58:BB254),"")))</f>
        <v>18.399999999999999</v>
      </c>
      <c r="BD58" s="12">
        <f>IF('Données projet'!$A$88&gt;35,BD57+BC58-BL57,IF(A58&lt;'Données projet'!$A$88,$BA$205^A58,IF(A58='Données projet'!$A$88,'Données projet'!$B$88,BD57+BC58-BL57)))</f>
        <v>548.00000000000023</v>
      </c>
      <c r="BE58" s="13">
        <f>BD58*VLOOKUP('Données projet'!$B$11,Paramètres!$A$1:$I$89,3,0)*VLOOKUP('Données projet'!$B$11,Paramètres!$A$1:$I$89,5,0)</f>
        <v>327.70400000000018</v>
      </c>
      <c r="BF58" s="13">
        <f t="shared" si="37"/>
        <v>76.954094537214459</v>
      </c>
      <c r="BG58" s="20">
        <f t="shared" si="7"/>
        <v>704.77951465231547</v>
      </c>
      <c r="BH58" s="59">
        <f t="shared" si="8"/>
        <v>967.24725807056575</v>
      </c>
      <c r="BI58" s="59">
        <f ca="1">AVERAGE(OFFSET($BH$3,0,0,'Données projet'!$E$11+1,1))-AVERAGE(OFFSET($H$3,0,0,'Données projet'!$E$11+1,1))</f>
        <v>525.88595000893986</v>
      </c>
      <c r="BJ58" s="59">
        <f t="shared" si="38"/>
        <v>458.67158147469263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45</v>
      </c>
      <c r="BM58" s="16">
        <f>IF(ISNA(VLOOKUP(A58,'Données projet'!$A$87:$I$107,5,0)),0%,VLOOKUP(A58,'Données projet'!$A$87:$I$107,5,0)*VLOOKUP('Données projet'!$B$11,Paramètres!$A$1:$I$89,7,0))</f>
        <v>0.45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82.614873300015063</v>
      </c>
      <c r="BQ58" s="21">
        <f>EXP(-LN(2)/25)*BQ57+(1-EXP(-LN(2)/25))/(LN(2)/25)*Calculateur!BL58*Calculateur!BN58*VLOOKUP('Données projet'!$B$11,Paramètres!$A$1:$I$89,3,0)*0.475*44/12</f>
        <v>29.439617977636537</v>
      </c>
      <c r="BR58" s="21">
        <f>EXP(-LN(2)/2)*BR57+(1-EXP(-LN(2)/2))/(LN(2)/2)*BL58*BO58*VLOOKUP('Données projet'!$B$11,Paramètres!$A$1:$I$89,3,0)*0.475*44/12</f>
        <v>9.0399253796497161E-6</v>
      </c>
      <c r="BS58" s="22">
        <f t="shared" si="9"/>
        <v>112.05450031757698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61.582111841340975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4.4080000000000004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16.16266666666667</v>
      </c>
      <c r="H59" s="66">
        <f t="shared" si="1"/>
        <v>192.01600000000005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13.559999999999995</v>
      </c>
      <c r="N59" s="13">
        <f>IF('Données projet'!$A$36&gt;35,N58+M59-V58,IF(A59&lt;'Données projet'!$A$36,$K$205^A59,IF(A59='Données projet'!$A$36,'Données projet'!$B$36,N58+M59-V58)))</f>
        <v>319.46000000000004</v>
      </c>
      <c r="O59" s="13">
        <f>N59*VLOOKUP('Données projet'!$B$9,Paramètres!$A$1:$I$89,3,0)*VLOOKUP('Données projet'!$B$9,Paramètres!$A$1:$I$89,5,0)</f>
        <v>289.04740800000002</v>
      </c>
      <c r="P59" s="13">
        <f t="shared" si="33"/>
        <v>68.875433179996975</v>
      </c>
      <c r="Q59" s="20">
        <f t="shared" si="53"/>
        <v>623.38228172182801</v>
      </c>
      <c r="R59" s="59">
        <f t="shared" si="0"/>
        <v>886.38547411998366</v>
      </c>
      <c r="S59" s="59">
        <f ca="1">AVERAGE(OFFSET($R$3,0,0,'Données projet'!$E$9+1,1))-AVERAGE(OFFSET($H$3,0,0,'Données projet'!$E$9+1,1))</f>
        <v>737.52606296329941</v>
      </c>
      <c r="T59" s="59">
        <f t="shared" si="34"/>
        <v>270.54143254083715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53.366077578164344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53.366077578164344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222.16291500000003</v>
      </c>
      <c r="AK59" s="13">
        <f t="shared" si="35"/>
        <v>54.58471660275751</v>
      </c>
      <c r="AL59" s="20">
        <f t="shared" si="4"/>
        <v>482.00212504146936</v>
      </c>
      <c r="AM59" s="59">
        <f t="shared" si="5"/>
        <v>745.00531743962495</v>
      </c>
      <c r="AN59" s="59">
        <f ca="1">AVERAGE(OFFSET($AM$3,0,0,'Données projet'!$E$10+1,1))-AVERAGE(OFFSET($H$3,0,0,'Données projet'!$E$10+1,1))</f>
        <v>691.79662395689525</v>
      </c>
      <c r="AO59" s="59">
        <f t="shared" si="36"/>
        <v>213.38682325741539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29.10424346584589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29.10424346584589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17</v>
      </c>
      <c r="BD59" s="12">
        <f>IF('Données projet'!$A$88&gt;35,BD58+BC59-BL58,IF(A59&lt;'Données projet'!$A$88,$BA$205^A59,IF(A59='Données projet'!$A$88,'Données projet'!$B$88,BD58+BC59-BL58)))</f>
        <v>520.00000000000023</v>
      </c>
      <c r="BE59" s="13">
        <f>BD59*VLOOKUP('Données projet'!$B$11,Paramètres!$A$1:$I$89,3,0)*VLOOKUP('Données projet'!$B$11,Paramètres!$A$1:$I$89,5,0)</f>
        <v>310.96000000000015</v>
      </c>
      <c r="BF59" s="13">
        <f t="shared" si="37"/>
        <v>73.4692802883242</v>
      </c>
      <c r="BG59" s="20">
        <f t="shared" si="7"/>
        <v>669.54766316883149</v>
      </c>
      <c r="BH59" s="59">
        <f t="shared" si="8"/>
        <v>932.55085556698714</v>
      </c>
      <c r="BI59" s="59">
        <f ca="1">AVERAGE(OFFSET($BH$3,0,0,'Données projet'!$E$11+1,1))-AVERAGE(OFFSET($H$3,0,0,'Données projet'!$E$11+1,1))</f>
        <v>525.88595000893986</v>
      </c>
      <c r="BJ59" s="59">
        <f t="shared" si="38"/>
        <v>458.67158147469263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80.994846024698873</v>
      </c>
      <c r="BQ59" s="21">
        <f>EXP(-LN(2)/25)*BQ58+(1-EXP(-LN(2)/25))/(LN(2)/25)*Calculateur!BL59*Calculateur!BN59*VLOOKUP('Données projet'!$B$11,Paramètres!$A$1:$I$89,3,0)*0.475*44/12</f>
        <v>28.634590075875842</v>
      </c>
      <c r="BR59" s="21">
        <f>EXP(-LN(2)/2)*BR58+(1-EXP(-LN(2)/2))/(LN(2)/2)*BL59*BO59*VLOOKUP('Données projet'!$B$11,Paramètres!$A$1:$I$89,3,0)*0.475*44/12</f>
        <v>6.3921925373706895E-6</v>
      </c>
      <c r="BS59" s="22">
        <f t="shared" si="9"/>
        <v>109.62944249276724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61.728143381315164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4.4080000000000004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16.16266666666667</v>
      </c>
      <c r="H60" s="66">
        <f t="shared" si="1"/>
        <v>192.01600000000005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13.559999999999995</v>
      </c>
      <c r="N60" s="13">
        <f>IF('Données projet'!$A$36&gt;35,N59+M60-V59,IF(A60&lt;'Données projet'!$A$36,$K$205^A60,IF(A60='Données projet'!$A$36,'Données projet'!$B$36,N59+M60-V59)))</f>
        <v>333.02000000000004</v>
      </c>
      <c r="O60" s="13">
        <f>N60*VLOOKUP('Données projet'!$B$9,Paramètres!$A$1:$I$89,3,0)*VLOOKUP('Données projet'!$B$9,Paramètres!$A$1:$I$89,5,0)</f>
        <v>301.31649600000003</v>
      </c>
      <c r="P60" s="13">
        <f t="shared" si="33"/>
        <v>71.45238123186985</v>
      </c>
      <c r="Q60" s="20">
        <f t="shared" si="53"/>
        <v>649.23912784550669</v>
      </c>
      <c r="R60" s="59">
        <f t="shared" si="0"/>
        <v>912.76848038085086</v>
      </c>
      <c r="S60" s="59">
        <f ca="1">AVERAGE(OFFSET($R$3,0,0,'Données projet'!$E$9+1,1))-AVERAGE(OFFSET($H$3,0,0,'Données projet'!$E$9+1,1))</f>
        <v>737.52606296329941</v>
      </c>
      <c r="T60" s="59">
        <f t="shared" si="34"/>
        <v>270.54143254083715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52.31960134694981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52.31960134694981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231.79191750000001</v>
      </c>
      <c r="AK60" s="13">
        <f t="shared" si="35"/>
        <v>56.669960812295315</v>
      </c>
      <c r="AL60" s="20">
        <f t="shared" si="4"/>
        <v>502.40443806058096</v>
      </c>
      <c r="AM60" s="59">
        <f t="shared" si="5"/>
        <v>765.93379059592507</v>
      </c>
      <c r="AN60" s="59">
        <f ca="1">AVERAGE(OFFSET($AM$3,0,0,'Données projet'!$E$10+1,1))-AVERAGE(OFFSET($H$3,0,0,'Données projet'!$E$10+1,1))</f>
        <v>691.79662395689525</v>
      </c>
      <c r="AO60" s="59">
        <f t="shared" si="36"/>
        <v>213.38682325741539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28.533527003316319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28.533527003316319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17</v>
      </c>
      <c r="BD60" s="12">
        <f>IF('Données projet'!$A$88&gt;35,BD59+BC60-BL59,IF(A60&lt;'Données projet'!$A$88,$BA$205^A60,IF(A60='Données projet'!$A$88,'Données projet'!$B$88,BD59+BC60-BL59)))</f>
        <v>537.00000000000023</v>
      </c>
      <c r="BE60" s="13">
        <f>BD60*VLOOKUP('Données projet'!$B$11,Paramètres!$A$1:$I$89,3,0)*VLOOKUP('Données projet'!$B$11,Paramètres!$A$1:$I$89,5,0)</f>
        <v>321.12600000000015</v>
      </c>
      <c r="BF60" s="13">
        <f t="shared" si="37"/>
        <v>75.587591944000323</v>
      </c>
      <c r="BG60" s="20">
        <f t="shared" si="7"/>
        <v>690.94283930246741</v>
      </c>
      <c r="BH60" s="59">
        <f t="shared" si="8"/>
        <v>954.47219183781158</v>
      </c>
      <c r="BI60" s="59">
        <f ca="1">AVERAGE(OFFSET($BH$3,0,0,'Données projet'!$E$11+1,1))-AVERAGE(OFFSET($H$3,0,0,'Données projet'!$E$11+1,1))</f>
        <v>525.88595000893986</v>
      </c>
      <c r="BJ60" s="59">
        <f t="shared" si="38"/>
        <v>458.67158147469263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79.406586496132562</v>
      </c>
      <c r="BQ60" s="21">
        <f>EXP(-LN(2)/25)*BQ59+(1-EXP(-LN(2)/25))/(LN(2)/25)*Calculateur!BL60*Calculateur!BN60*VLOOKUP('Données projet'!$B$11,Paramètres!$A$1:$I$89,3,0)*0.475*44/12</f>
        <v>27.851575704423372</v>
      </c>
      <c r="BR60" s="21">
        <f>EXP(-LN(2)/2)*BR59+(1-EXP(-LN(2)/2))/(LN(2)/2)*BL60*BO60*VLOOKUP('Données projet'!$B$11,Paramètres!$A$1:$I$89,3,0)*0.475*44/12</f>
        <v>4.519962689824858E-6</v>
      </c>
      <c r="BS60" s="22">
        <f t="shared" si="9"/>
        <v>107.25816672051862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61.871641600548401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4.4080000000000004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16.16266666666667</v>
      </c>
      <c r="H61" s="66">
        <f t="shared" si="1"/>
        <v>192.01600000000005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346.58</v>
      </c>
      <c r="L61" s="12">
        <f>VLOOKUP(A61,'Données projet'!$A$35:$I$55,9,0)</f>
        <v>13.559999999999995</v>
      </c>
      <c r="M61" s="12">
        <f t="array" ref="M61">INDEX(L:L,MIN(IF(ISNUMBER(L61:L257),ROW(L61:L257),"")))</f>
        <v>13.559999999999995</v>
      </c>
      <c r="N61" s="13">
        <f>IF('Données projet'!$A$36&gt;35,N60+M61-V60,IF(A61&lt;'Données projet'!$A$36,$K$205^A61,IF(A61='Données projet'!$A$36,'Données projet'!$B$36,N60+M61-V60)))</f>
        <v>346.58000000000004</v>
      </c>
      <c r="O61" s="13">
        <f>N61*VLOOKUP('Données projet'!$B$9,Paramètres!$A$1:$I$89,3,0)*VLOOKUP('Données projet'!$B$9,Paramètres!$A$1:$I$89,5,0)</f>
        <v>313.58558400000004</v>
      </c>
      <c r="P61" s="13">
        <f t="shared" si="33"/>
        <v>74.017140903550782</v>
      </c>
      <c r="Q61" s="20">
        <f t="shared" si="53"/>
        <v>675.07474587368438</v>
      </c>
      <c r="R61" s="59">
        <f t="shared" si="0"/>
        <v>939.12113084415478</v>
      </c>
      <c r="S61" s="59">
        <f ca="1">AVERAGE(OFFSET($R$3,0,0,'Données projet'!$E$9+1,1))-AVERAGE(OFFSET($H$3,0,0,'Données projet'!$E$9+1,1))</f>
        <v>737.52606296329941</v>
      </c>
      <c r="T61" s="59">
        <f t="shared" si="34"/>
        <v>270.54143254083715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62.16</v>
      </c>
      <c r="W61" s="16">
        <f>IF(ISNA(VLOOKUP(A61,'Données projet'!$A$35:$I$55,5,0)),0%,VLOOKUP(A61,'Données projet'!$A$35:$I$55,5,0)*VLOOKUP('Données projet'!$B$9,Paramètres!$A$1:$I$89,7,0))</f>
        <v>0.43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78.028582792822419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78.028582792822419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241.42092000000002</v>
      </c>
      <c r="AK61" s="13">
        <f t="shared" si="35"/>
        <v>58.745143231289255</v>
      </c>
      <c r="AL61" s="20">
        <f t="shared" si="4"/>
        <v>522.78922679449545</v>
      </c>
      <c r="AM61" s="59">
        <f t="shared" si="5"/>
        <v>786.83561176496573</v>
      </c>
      <c r="AN61" s="59">
        <f ca="1">AVERAGE(OFFSET($AM$3,0,0,'Données projet'!$E$10+1,1))-AVERAGE(OFFSET($H$3,0,0,'Données projet'!$E$10+1,1))</f>
        <v>691.79662395689525</v>
      </c>
      <c r="AO61" s="59">
        <f t="shared" si="36"/>
        <v>213.38682325741539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48.297872392272851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48.297872392272851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17</v>
      </c>
      <c r="BD61" s="12">
        <f>IF('Données projet'!$A$88&gt;35,BD60+BC61-BL60,IF(A61&lt;'Données projet'!$A$88,$BA$205^A61,IF(A61='Données projet'!$A$88,'Données projet'!$B$88,BD60+BC61-BL60)))</f>
        <v>554.00000000000023</v>
      </c>
      <c r="BE61" s="13">
        <f>BD61*VLOOKUP('Données projet'!$B$11,Paramètres!$A$1:$I$89,3,0)*VLOOKUP('Données projet'!$B$11,Paramètres!$A$1:$I$89,5,0)</f>
        <v>331.29200000000014</v>
      </c>
      <c r="BF61" s="13">
        <f t="shared" si="37"/>
        <v>77.698110787752142</v>
      </c>
      <c r="BG61" s="20">
        <f t="shared" si="7"/>
        <v>712.32444295533526</v>
      </c>
      <c r="BH61" s="59">
        <f t="shared" si="8"/>
        <v>976.37082792580554</v>
      </c>
      <c r="BI61" s="59">
        <f ca="1">AVERAGE(OFFSET($BH$3,0,0,'Données projet'!$E$11+1,1))-AVERAGE(OFFSET($H$3,0,0,'Données projet'!$E$11+1,1))</f>
        <v>525.88595000893986</v>
      </c>
      <c r="BJ61" s="59">
        <f t="shared" si="38"/>
        <v>458.67158147469263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77.849471768178773</v>
      </c>
      <c r="BQ61" s="21">
        <f>EXP(-LN(2)/25)*BQ60+(1-EXP(-LN(2)/25))/(LN(2)/25)*Calculateur!BL61*Calculateur!BN61*VLOOKUP('Données projet'!$B$11,Paramètres!$A$1:$I$89,3,0)*0.475*44/12</f>
        <v>27.089972902135205</v>
      </c>
      <c r="BR61" s="21">
        <f>EXP(-LN(2)/2)*BR60+(1-EXP(-LN(2)/2))/(LN(2)/2)*BL61*BO61*VLOOKUP('Données projet'!$B$11,Paramètres!$A$1:$I$89,3,0)*0.475*44/12</f>
        <v>3.1960962686853447E-6</v>
      </c>
      <c r="BS61" s="22">
        <f t="shared" si="9"/>
        <v>104.93944786641025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62.012650446491918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4.4080000000000004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16.16266666666667</v>
      </c>
      <c r="H62" s="66">
        <f t="shared" si="1"/>
        <v>192.01600000000005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13.062500000000007</v>
      </c>
      <c r="N62" s="13">
        <f>IF('Données projet'!$A$36&gt;35,N61+M62-V61,IF(A62&lt;'Données projet'!$A$36,$K$205^A62,IF(A62='Données projet'!$A$36,'Données projet'!$B$36,N61+M62-V61)))</f>
        <v>297.48250000000007</v>
      </c>
      <c r="O62" s="13">
        <f>N62*VLOOKUP('Données projet'!$B$9,Paramètres!$A$1:$I$89,3,0)*VLOOKUP('Données projet'!$B$9,Paramètres!$A$1:$I$89,5,0)</f>
        <v>269.16216600000007</v>
      </c>
      <c r="P62" s="13">
        <f t="shared" si="33"/>
        <v>64.671427618025248</v>
      </c>
      <c r="Q62" s="20">
        <f t="shared" si="53"/>
        <v>581.42684221806064</v>
      </c>
      <c r="R62" s="59">
        <f t="shared" si="0"/>
        <v>845.98129026681909</v>
      </c>
      <c r="S62" s="59">
        <f ca="1">AVERAGE(OFFSET($R$3,0,0,'Données projet'!$E$9+1,1))-AVERAGE(OFFSET($H$3,0,0,'Données projet'!$E$9+1,1))</f>
        <v>737.52606296329941</v>
      </c>
      <c r="T62" s="59">
        <f t="shared" si="34"/>
        <v>270.54143254083715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76.498489876991286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76.498489876991286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207.94363200000006</v>
      </c>
      <c r="AK62" s="13">
        <f t="shared" si="35"/>
        <v>51.485960516377354</v>
      </c>
      <c r="AL62" s="20">
        <f t="shared" si="4"/>
        <v>451.83987363269057</v>
      </c>
      <c r="AM62" s="59">
        <f t="shared" si="5"/>
        <v>716.39432168144913</v>
      </c>
      <c r="AN62" s="59">
        <f ca="1">AVERAGE(OFFSET($AM$3,0,0,'Données projet'!$E$10+1,1))-AVERAGE(OFFSET($H$3,0,0,'Données projet'!$E$10+1,1))</f>
        <v>691.79662395689525</v>
      </c>
      <c r="AO62" s="59">
        <f t="shared" si="36"/>
        <v>213.38682325741539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47.350780573453726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47.350780573453726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17</v>
      </c>
      <c r="BD62" s="12">
        <f>IF('Données projet'!$A$88&gt;35,BD61+BC62-BL61,IF(A62&lt;'Données projet'!$A$88,$BA$205^A62,IF(A62='Données projet'!$A$88,'Données projet'!$B$88,BD61+BC62-BL61)))</f>
        <v>571.00000000000023</v>
      </c>
      <c r="BE62" s="13">
        <f>BD62*VLOOKUP('Données projet'!$B$11,Paramètres!$A$1:$I$89,3,0)*VLOOKUP('Données projet'!$B$11,Paramètres!$A$1:$I$89,5,0)</f>
        <v>341.4580000000002</v>
      </c>
      <c r="BF62" s="13">
        <f t="shared" si="37"/>
        <v>79.801103392528489</v>
      </c>
      <c r="BG62" s="20">
        <f t="shared" si="7"/>
        <v>733.69293840865419</v>
      </c>
      <c r="BH62" s="59">
        <f t="shared" si="8"/>
        <v>998.24738645741263</v>
      </c>
      <c r="BI62" s="59">
        <f ca="1">AVERAGE(OFFSET($BH$3,0,0,'Données projet'!$E$11+1,1))-AVERAGE(OFFSET($H$3,0,0,'Données projet'!$E$11+1,1))</f>
        <v>525.88595000893986</v>
      </c>
      <c r="BJ62" s="59">
        <f t="shared" si="38"/>
        <v>458.67158147469263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76.322891110293966</v>
      </c>
      <c r="BQ62" s="21">
        <f>EXP(-LN(2)/25)*BQ61+(1-EXP(-LN(2)/25))/(LN(2)/25)*Calculateur!BL62*Calculateur!BN62*VLOOKUP('Données projet'!$B$11,Paramètres!$A$1:$I$89,3,0)*0.475*44/12</f>
        <v>26.349196168526557</v>
      </c>
      <c r="BR62" s="21">
        <f>EXP(-LN(2)/2)*BR61+(1-EXP(-LN(2)/2))/(LN(2)/2)*BL62*BO62*VLOOKUP('Données projet'!$B$11,Paramètres!$A$1:$I$89,3,0)*0.475*44/12</f>
        <v>2.259981344912429E-6</v>
      </c>
      <c r="BS62" s="22">
        <f t="shared" si="9"/>
        <v>102.67208953880187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62.15121310420686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4.4080000000000004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16.16266666666667</v>
      </c>
      <c r="H63" s="66">
        <f t="shared" si="1"/>
        <v>192.01600000000005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13.062500000000007</v>
      </c>
      <c r="N63" s="13">
        <f>IF('Données projet'!$A$36&gt;35,N62+M63-V62,IF(A63&lt;'Données projet'!$A$36,$K$205^A63,IF(A63='Données projet'!$A$36,'Données projet'!$B$36,N62+M63-V62)))</f>
        <v>310.54500000000007</v>
      </c>
      <c r="O63" s="13">
        <f>N63*VLOOKUP('Données projet'!$B$9,Paramètres!$A$1:$I$89,3,0)*VLOOKUP('Données projet'!$B$9,Paramètres!$A$1:$I$89,5,0)</f>
        <v>280.98111600000004</v>
      </c>
      <c r="P63" s="13">
        <f t="shared" si="33"/>
        <v>67.174304667838214</v>
      </c>
      <c r="Q63" s="20">
        <f t="shared" si="53"/>
        <v>606.37069099648488</v>
      </c>
      <c r="R63" s="59">
        <f t="shared" si="0"/>
        <v>871.42438836498206</v>
      </c>
      <c r="S63" s="59">
        <f ca="1">AVERAGE(OFFSET($R$3,0,0,'Données projet'!$E$9+1,1))-AVERAGE(OFFSET($H$3,0,0,'Données projet'!$E$9+1,1))</f>
        <v>737.52606296329941</v>
      </c>
      <c r="T63" s="59">
        <f t="shared" si="34"/>
        <v>270.54143254083715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74.998401149975066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74.998401149975066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217.22173200000003</v>
      </c>
      <c r="AK63" s="13">
        <f t="shared" si="35"/>
        <v>53.51059698665523</v>
      </c>
      <c r="AL63" s="20">
        <f t="shared" si="4"/>
        <v>471.52547298509126</v>
      </c>
      <c r="AM63" s="59">
        <f t="shared" si="5"/>
        <v>736.57917035358844</v>
      </c>
      <c r="AN63" s="59">
        <f ca="1">AVERAGE(OFFSET($AM$3,0,0,'Données projet'!$E$10+1,1))-AVERAGE(OFFSET($H$3,0,0,'Données projet'!$E$10+1,1))</f>
        <v>691.79662395689525</v>
      </c>
      <c r="AO63" s="59">
        <f t="shared" si="36"/>
        <v>213.38682325741539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46.422260647532674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46.422260647532674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588</v>
      </c>
      <c r="BB63" s="12">
        <f>VLOOKUP(A63,'Données projet'!$A$87:$I$107,9,0)</f>
        <v>17</v>
      </c>
      <c r="BC63" s="12">
        <f t="array" ref="BC63">INDEX(BB:BB,MIN(IF(ISNUMBER(BB63:BB259),ROW(BB63:BB259),"")))</f>
        <v>17</v>
      </c>
      <c r="BD63" s="12">
        <f>IF('Données projet'!$A$88&gt;35,BD62+BC63-BL62,IF(A63&lt;'Données projet'!$A$88,$BA$205^A63,IF(A63='Données projet'!$A$88,'Données projet'!$B$88,BD62+BC63-BL62)))</f>
        <v>588.00000000000023</v>
      </c>
      <c r="BE63" s="13">
        <f>BD63*VLOOKUP('Données projet'!$B$11,Paramètres!$A$1:$I$89,3,0)*VLOOKUP('Données projet'!$B$11,Paramètres!$A$1:$I$89,5,0)</f>
        <v>351.62400000000019</v>
      </c>
      <c r="BF63" s="13">
        <f t="shared" si="37"/>
        <v>81.89681955603848</v>
      </c>
      <c r="BG63" s="20">
        <f t="shared" si="7"/>
        <v>755.04876072676723</v>
      </c>
      <c r="BH63" s="59">
        <f t="shared" si="8"/>
        <v>1020.1024580952644</v>
      </c>
      <c r="BI63" s="59">
        <f ca="1">AVERAGE(OFFSET($BH$3,0,0,'Données projet'!$E$11+1,1))-AVERAGE(OFFSET($H$3,0,0,'Données projet'!$E$11+1,1))</f>
        <v>525.88595000893986</v>
      </c>
      <c r="BJ63" s="59">
        <f t="shared" si="38"/>
        <v>458.67158147469263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39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88.748407071380441</v>
      </c>
      <c r="BQ63" s="21">
        <f>EXP(-LN(2)/25)*BQ62+(1-EXP(-LN(2)/25))/(LN(2)/25)*Calculateur!BL63*Calculateur!BN63*VLOOKUP('Données projet'!$B$11,Paramètres!$A$1:$I$89,3,0)*0.475*44/12</f>
        <v>25.628676013654193</v>
      </c>
      <c r="BR63" s="21">
        <f>EXP(-LN(2)/2)*BR62+(1-EXP(-LN(2)/2))/(LN(2)/2)*BL63*BO63*VLOOKUP('Données projet'!$B$11,Paramètres!$A$1:$I$89,3,0)*0.475*44/12</f>
        <v>1.5980481343426724E-6</v>
      </c>
      <c r="BS63" s="22">
        <f t="shared" si="9"/>
        <v>114.37708468308276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62.287372009590143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4.4080000000000004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16.16266666666667</v>
      </c>
      <c r="H64" s="66">
        <f t="shared" si="1"/>
        <v>192.01600000000005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13.062500000000007</v>
      </c>
      <c r="N64" s="13">
        <f>IF('Données projet'!$A$36&gt;35,N63+M64-V63,IF(A64&lt;'Données projet'!$A$36,$K$205^A64,IF(A64='Données projet'!$A$36,'Données projet'!$B$36,N63+M64-V63)))</f>
        <v>323.60750000000007</v>
      </c>
      <c r="O64" s="13">
        <f>N64*VLOOKUP('Données projet'!$B$9,Paramètres!$A$1:$I$89,3,0)*VLOOKUP('Données projet'!$B$9,Paramètres!$A$1:$I$89,5,0)</f>
        <v>292.80006600000007</v>
      </c>
      <c r="P64" s="13">
        <f t="shared" si="33"/>
        <v>69.664953398224426</v>
      </c>
      <c r="Q64" s="20">
        <f t="shared" si="53"/>
        <v>631.29324211857431</v>
      </c>
      <c r="R64" s="59">
        <f t="shared" si="0"/>
        <v>896.83752794726706</v>
      </c>
      <c r="S64" s="59">
        <f ca="1">AVERAGE(OFFSET($R$3,0,0,'Données projet'!$E$9+1,1))-AVERAGE(OFFSET($H$3,0,0,'Données projet'!$E$9+1,1))</f>
        <v>737.52606296329941</v>
      </c>
      <c r="T64" s="59">
        <f t="shared" si="34"/>
        <v>270.54143254083715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73.527728247931861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73.527728247931861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226.49983200000003</v>
      </c>
      <c r="AK64" s="13">
        <f t="shared" si="35"/>
        <v>55.525189238843865</v>
      </c>
      <c r="AL64" s="20">
        <f t="shared" si="4"/>
        <v>491.19357865765318</v>
      </c>
      <c r="AM64" s="59">
        <f t="shared" si="5"/>
        <v>756.73786448634587</v>
      </c>
      <c r="AN64" s="59">
        <f ca="1">AVERAGE(OFFSET($AM$3,0,0,'Données projet'!$E$10+1,1))-AVERAGE(OFFSET($H$3,0,0,'Données projet'!$E$10+1,1))</f>
        <v>691.79662395689525</v>
      </c>
      <c r="AO64" s="59">
        <f t="shared" si="36"/>
        <v>213.38682325741539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45.5119484310177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45.5119484310177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15.6</v>
      </c>
      <c r="BD64" s="12">
        <f>IF('Données projet'!$A$88&gt;35,BD63+BC64-BL63,IF(A64&lt;'Données projet'!$A$88,$BA$205^A64,IF(A64='Données projet'!$A$88,'Données projet'!$B$88,BD63+BC64-BL63)))</f>
        <v>564.60000000000025</v>
      </c>
      <c r="BE64" s="13">
        <f>BD64*VLOOKUP('Données projet'!$B$11,Paramètres!$A$1:$I$89,3,0)*VLOOKUP('Données projet'!$B$11,Paramètres!$A$1:$I$89,5,0)</f>
        <v>337.63080000000019</v>
      </c>
      <c r="BF64" s="13">
        <f t="shared" si="37"/>
        <v>79.01025567088999</v>
      </c>
      <c r="BG64" s="20">
        <f t="shared" si="7"/>
        <v>725.64983862680037</v>
      </c>
      <c r="BH64" s="59">
        <f t="shared" si="8"/>
        <v>991.19412445549301</v>
      </c>
      <c r="BI64" s="59">
        <f ca="1">AVERAGE(OFFSET($BH$3,0,0,'Données projet'!$E$11+1,1))-AVERAGE(OFFSET($H$3,0,0,'Données projet'!$E$11+1,1))</f>
        <v>525.88595000893986</v>
      </c>
      <c r="BJ64" s="59">
        <f t="shared" si="38"/>
        <v>458.67158147469263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87.008104939893968</v>
      </c>
      <c r="BQ64" s="21">
        <f>EXP(-LN(2)/25)*BQ63+(1-EXP(-LN(2)/25))/(LN(2)/25)*Calculateur!BL64*Calculateur!BN64*VLOOKUP('Données projet'!$B$11,Paramètres!$A$1:$I$89,3,0)*0.475*44/12</f>
        <v>24.927858520307321</v>
      </c>
      <c r="BR64" s="21">
        <f>EXP(-LN(2)/2)*BR63+(1-EXP(-LN(2)/2))/(LN(2)/2)*BL64*BO64*VLOOKUP('Données projet'!$B$11,Paramètres!$A$1:$I$89,3,0)*0.475*44/12</f>
        <v>1.1299906724562145E-6</v>
      </c>
      <c r="BS64" s="22">
        <f t="shared" si="9"/>
        <v>111.93596459019197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62.421168862370735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4.4080000000000004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16.16266666666667</v>
      </c>
      <c r="H65" s="66">
        <f t="shared" si="1"/>
        <v>192.01600000000005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13.062500000000007</v>
      </c>
      <c r="N65" s="13">
        <f>IF('Données projet'!$A$36&gt;35,N64+M65-V64,IF(A65&lt;'Données projet'!$A$36,$K$205^A65,IF(A65='Données projet'!$A$36,'Données projet'!$B$36,N64+M65-V64)))</f>
        <v>336.67000000000007</v>
      </c>
      <c r="O65" s="13">
        <f>N65*VLOOKUP('Données projet'!$B$9,Paramètres!$A$1:$I$89,3,0)*VLOOKUP('Données projet'!$B$9,Paramètres!$A$1:$I$89,5,0)</f>
        <v>304.61901600000004</v>
      </c>
      <c r="P65" s="13">
        <f t="shared" si="33"/>
        <v>72.143923875314599</v>
      </c>
      <c r="Q65" s="20">
        <f t="shared" si="53"/>
        <v>656.19545361617304</v>
      </c>
      <c r="R65" s="59">
        <f t="shared" si="0"/>
        <v>922.22181729206841</v>
      </c>
      <c r="S65" s="59">
        <f ca="1">AVERAGE(OFFSET($R$3,0,0,'Données projet'!$E$9+1,1))-AVERAGE(OFFSET($H$3,0,0,'Données projet'!$E$9+1,1))</f>
        <v>737.52606296329941</v>
      </c>
      <c r="T65" s="59">
        <f t="shared" si="34"/>
        <v>270.54143254083715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72.085894344475832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72.085894344475832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235.77793200000005</v>
      </c>
      <c r="AK65" s="13">
        <f t="shared" si="35"/>
        <v>57.530195773489787</v>
      </c>
      <c r="AL65" s="20">
        <f t="shared" si="4"/>
        <v>510.84498920549476</v>
      </c>
      <c r="AM65" s="59">
        <f t="shared" si="5"/>
        <v>776.87135288139007</v>
      </c>
      <c r="AN65" s="59">
        <f ca="1">AVERAGE(OFFSET($AM$3,0,0,'Données projet'!$E$10+1,1))-AVERAGE(OFFSET($H$3,0,0,'Données projet'!$E$10+1,1))</f>
        <v>691.79662395689525</v>
      </c>
      <c r="AO65" s="59">
        <f t="shared" si="36"/>
        <v>213.38682325741539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44.619486881832955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44.619486881832955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15.6</v>
      </c>
      <c r="BD65" s="12">
        <f>IF('Données projet'!$A$88&gt;35,BD64+BC65-BL64,IF(A65&lt;'Données projet'!$A$88,$BA$205^A65,IF(A65='Données projet'!$A$88,'Données projet'!$B$88,BD64+BC65-BL64)))</f>
        <v>580.20000000000027</v>
      </c>
      <c r="BE65" s="13">
        <f>BD65*VLOOKUP('Données projet'!$B$11,Paramètres!$A$1:$I$89,3,0)*VLOOKUP('Données projet'!$B$11,Paramètres!$A$1:$I$89,5,0)</f>
        <v>346.95960000000014</v>
      </c>
      <c r="BF65" s="13">
        <f t="shared" si="37"/>
        <v>80.936143758770243</v>
      </c>
      <c r="BG65" s="20">
        <f t="shared" si="7"/>
        <v>745.25175371319165</v>
      </c>
      <c r="BH65" s="59">
        <f t="shared" si="8"/>
        <v>1011.2781173890869</v>
      </c>
      <c r="BI65" s="59">
        <f ca="1">AVERAGE(OFFSET($BH$3,0,0,'Données projet'!$E$11+1,1))-AVERAGE(OFFSET($H$3,0,0,'Données projet'!$E$11+1,1))</f>
        <v>525.88595000893986</v>
      </c>
      <c r="BJ65" s="59">
        <f t="shared" si="38"/>
        <v>458.67158147469263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85.301929071726462</v>
      </c>
      <c r="BQ65" s="21">
        <f>EXP(-LN(2)/25)*BQ64+(1-EXP(-LN(2)/25))/(LN(2)/25)*Calculateur!BL65*Calculateur!BN65*VLOOKUP('Données projet'!$B$11,Paramètres!$A$1:$I$89,3,0)*0.475*44/12</f>
        <v>24.246204918170413</v>
      </c>
      <c r="BR65" s="21">
        <f>EXP(-LN(2)/2)*BR64+(1-EXP(-LN(2)/2))/(LN(2)/2)*BL65*BO65*VLOOKUP('Données projet'!$B$11,Paramètres!$A$1:$I$89,3,0)*0.475*44/12</f>
        <v>7.9902406717133618E-7</v>
      </c>
      <c r="BS65" s="22">
        <f t="shared" si="9"/>
        <v>109.54813478892095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62.552644638880537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4.4080000000000004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16.16266666666667</v>
      </c>
      <c r="H66" s="66">
        <f t="shared" si="1"/>
        <v>192.01600000000005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13.062500000000007</v>
      </c>
      <c r="N66" s="13">
        <f>IF('Données projet'!$A$36&gt;35,N65+M66-V65,IF(A66&lt;'Données projet'!$A$36,$K$205^A66,IF(A66='Données projet'!$A$36,'Données projet'!$B$36,N65+M66-V65)))</f>
        <v>349.73250000000007</v>
      </c>
      <c r="O66" s="13">
        <f>N66*VLOOKUP('Données projet'!$B$9,Paramètres!$A$1:$I$89,3,0)*VLOOKUP('Données projet'!$B$9,Paramètres!$A$1:$I$89,5,0)</f>
        <v>316.43796600000007</v>
      </c>
      <c r="P66" s="13">
        <f t="shared" si="33"/>
        <v>74.611721064089451</v>
      </c>
      <c r="Q66" s="20">
        <f t="shared" si="53"/>
        <v>681.07820496995589</v>
      </c>
      <c r="R66" s="59">
        <f t="shared" si="0"/>
        <v>947.57828352016941</v>
      </c>
      <c r="S66" s="59">
        <f ca="1">AVERAGE(OFFSET($R$3,0,0,'Données projet'!$E$9+1,1))-AVERAGE(OFFSET($H$3,0,0,'Données projet'!$E$9+1,1))</f>
        <v>737.52606296329941</v>
      </c>
      <c r="T66" s="59">
        <f t="shared" si="34"/>
        <v>270.54143254083715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70.672333924434724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70.672333924434724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245.05603200000004</v>
      </c>
      <c r="AK66" s="13">
        <f t="shared" si="35"/>
        <v>59.52603696328277</v>
      </c>
      <c r="AL66" s="20">
        <f t="shared" si="4"/>
        <v>530.48043677771761</v>
      </c>
      <c r="AM66" s="59">
        <f t="shared" si="5"/>
        <v>796.98051532793102</v>
      </c>
      <c r="AN66" s="59">
        <f ca="1">AVERAGE(OFFSET($AM$3,0,0,'Données projet'!$E$10+1,1))-AVERAGE(OFFSET($H$3,0,0,'Données projet'!$E$10+1,1))</f>
        <v>691.79662395689525</v>
      </c>
      <c r="AO66" s="59">
        <f t="shared" si="36"/>
        <v>213.38682325741539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43.744525959279933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43.744525959279933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15.6</v>
      </c>
      <c r="BD66" s="12">
        <f>IF('Données projet'!$A$88&gt;35,BD65+BC66-BL65,IF(A66&lt;'Données projet'!$A$88,$BA$205^A66,IF(A66='Données projet'!$A$88,'Données projet'!$B$88,BD65+BC66-BL65)))</f>
        <v>595.8000000000003</v>
      </c>
      <c r="BE66" s="13">
        <f>BD66*VLOOKUP('Données projet'!$B$11,Paramètres!$A$1:$I$89,3,0)*VLOOKUP('Données projet'!$B$11,Paramètres!$A$1:$I$89,5,0)</f>
        <v>356.28840000000019</v>
      </c>
      <c r="BF66" s="13">
        <f t="shared" si="37"/>
        <v>82.856013090111389</v>
      </c>
      <c r="BG66" s="20">
        <f t="shared" si="7"/>
        <v>764.84318613194444</v>
      </c>
      <c r="BH66" s="59">
        <f t="shared" si="8"/>
        <v>1031.343264682158</v>
      </c>
      <c r="BI66" s="59">
        <f ca="1">AVERAGE(OFFSET($BH$3,0,0,'Données projet'!$E$11+1,1))-AVERAGE(OFFSET($H$3,0,0,'Données projet'!$E$11+1,1))</f>
        <v>525.88595000893986</v>
      </c>
      <c r="BJ66" s="59">
        <f t="shared" si="38"/>
        <v>458.67158147469263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83.629210271669194</v>
      </c>
      <c r="BQ66" s="21">
        <f>EXP(-LN(2)/25)*BQ65+(1-EXP(-LN(2)/25))/(LN(2)/25)*Calculateur!BL66*Calculateur!BN66*VLOOKUP('Données projet'!$B$11,Paramètres!$A$1:$I$89,3,0)*0.475*44/12</f>
        <v>23.583191169630542</v>
      </c>
      <c r="BR66" s="21">
        <f>EXP(-LN(2)/2)*BR65+(1-EXP(-LN(2)/2))/(LN(2)/2)*BL66*BO66*VLOOKUP('Données projet'!$B$11,Paramètres!$A$1:$I$89,3,0)*0.475*44/12</f>
        <v>5.6499533622810726E-7</v>
      </c>
      <c r="BS66" s="22">
        <f t="shared" si="9"/>
        <v>107.21240200629506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62.681839604603681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4.4080000000000004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16.16266666666667</v>
      </c>
      <c r="H67" s="66">
        <f t="shared" si="1"/>
        <v>192.01600000000005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13.062500000000007</v>
      </c>
      <c r="N67" s="13">
        <f>IF('Données projet'!$A$36&gt;35,N66+M67-V66,IF(A67&lt;'Données projet'!$A$36,$K$205^A67,IF(A67='Données projet'!$A$36,'Données projet'!$B$36,N66+M67-V66)))</f>
        <v>362.79500000000007</v>
      </c>
      <c r="O67" s="13">
        <f>N67*VLOOKUP('Données projet'!$B$9,Paramètres!$A$1:$I$89,3,0)*VLOOKUP('Données projet'!$B$9,Paramètres!$A$1:$I$89,5,0)</f>
        <v>328.25691600000005</v>
      </c>
      <c r="P67" s="13">
        <f t="shared" si="33"/>
        <v>77.068810071661119</v>
      </c>
      <c r="Q67" s="20">
        <f t="shared" ref="Q67:Q98" si="54">(O67+P67)*0.475*44/12</f>
        <v>705.94230624147656</v>
      </c>
      <c r="R67" s="59">
        <f t="shared" ref="R67:R130" si="55">Q67+(I67+J67)*44/12</f>
        <v>972.9078817720067</v>
      </c>
      <c r="S67" s="59">
        <f ca="1">AVERAGE(OFFSET($R$3,0,0,'Données projet'!$E$9+1,1))-AVERAGE(OFFSET($H$3,0,0,'Données projet'!$E$9+1,1))</f>
        <v>737.52606296329941</v>
      </c>
      <c r="T67" s="59">
        <f t="shared" si="34"/>
        <v>270.54143254083715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69.286492562043904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69.286492562043904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254.33413200000004</v>
      </c>
      <c r="AK67" s="13">
        <f t="shared" si="35"/>
        <v>61.513099546301312</v>
      </c>
      <c r="AL67" s="20">
        <f t="shared" si="4"/>
        <v>550.10059494314157</v>
      </c>
      <c r="AM67" s="59">
        <f t="shared" si="5"/>
        <v>817.06617047367172</v>
      </c>
      <c r="AN67" s="59">
        <f ca="1">AVERAGE(OFFSET($AM$3,0,0,'Données projet'!$E$10+1,1))-AVERAGE(OFFSET($H$3,0,0,'Données projet'!$E$10+1,1))</f>
        <v>691.79662395689525</v>
      </c>
      <c r="AO67" s="59">
        <f t="shared" si="36"/>
        <v>213.38682325741539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42.886722486744709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42.886722486744709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15.6</v>
      </c>
      <c r="BD67" s="12">
        <f>IF('Données projet'!$A$88&gt;35,BD66+BC67-BL66,IF(A67&lt;'Données projet'!$A$88,$BA$205^A67,IF(A67='Données projet'!$A$88,'Données projet'!$B$88,BD66+BC67-BL66)))</f>
        <v>611.40000000000032</v>
      </c>
      <c r="BE67" s="13">
        <f>BD67*VLOOKUP('Données projet'!$B$11,Paramètres!$A$1:$I$89,3,0)*VLOOKUP('Données projet'!$B$11,Paramètres!$A$1:$I$89,5,0)</f>
        <v>365.6172000000002</v>
      </c>
      <c r="BF67" s="13">
        <f t="shared" si="37"/>
        <v>84.770039372098395</v>
      </c>
      <c r="BG67" s="20">
        <f t="shared" si="7"/>
        <v>784.42444190640492</v>
      </c>
      <c r="BH67" s="59">
        <f t="shared" si="8"/>
        <v>1051.3900174369351</v>
      </c>
      <c r="BI67" s="59">
        <f ca="1">AVERAGE(OFFSET($BH$3,0,0,'Données projet'!$E$11+1,1))-AVERAGE(OFFSET($H$3,0,0,'Données projet'!$E$11+1,1))</f>
        <v>525.88595000893986</v>
      </c>
      <c r="BJ67" s="59">
        <f t="shared" si="38"/>
        <v>458.67158147469263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81.989292467023333</v>
      </c>
      <c r="BQ67" s="21">
        <f>EXP(-LN(2)/25)*BQ66+(1-EXP(-LN(2)/25))/(LN(2)/25)*Calculateur!BL67*Calculateur!BN67*VLOOKUP('Données projet'!$B$11,Paramètres!$A$1:$I$89,3,0)*0.475*44/12</f>
        <v>22.938307566910872</v>
      </c>
      <c r="BR67" s="21">
        <f>EXP(-LN(2)/2)*BR66+(1-EXP(-LN(2)/2))/(LN(2)/2)*BL67*BO67*VLOOKUP('Données projet'!$B$11,Paramètres!$A$1:$I$89,3,0)*0.475*44/12</f>
        <v>3.9951203358566809E-7</v>
      </c>
      <c r="BS67" s="22">
        <f t="shared" si="9"/>
        <v>104.92760043344623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62.808793326508223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4.4080000000000004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16.16266666666667</v>
      </c>
      <c r="H68" s="66">
        <f t="shared" ref="H68:H131" si="56">(B68+E68+F68)*44/12+(C68+D68)*0.475*44/12</f>
        <v>192.01600000000005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13.062500000000007</v>
      </c>
      <c r="N68" s="13">
        <f>IF('Données projet'!$A$36&gt;35,N67+M68-V67,IF(A68&lt;'Données projet'!$A$36,$K$205^A68,IF(A68='Données projet'!$A$36,'Données projet'!$B$36,N67+M68-V67)))</f>
        <v>375.85750000000007</v>
      </c>
      <c r="O68" s="13">
        <f>N68*VLOOKUP('Données projet'!$B$9,Paramètres!$A$1:$I$89,3,0)*VLOOKUP('Données projet'!$B$9,Paramètres!$A$1:$I$89,5,0)</f>
        <v>340.07586600000008</v>
      </c>
      <c r="P68" s="13">
        <f t="shared" si="33"/>
        <v>79.515620614191235</v>
      </c>
      <c r="Q68" s="20">
        <f t="shared" si="54"/>
        <v>730.78850585304974</v>
      </c>
      <c r="R68" s="59">
        <f t="shared" si="55"/>
        <v>998.21150303198328</v>
      </c>
      <c r="S68" s="59">
        <f ca="1">AVERAGE(OFFSET($R$3,0,0,'Données projet'!$E$9+1,1))-AVERAGE(OFFSET($H$3,0,0,'Données projet'!$E$9+1,1))</f>
        <v>737.52606296329941</v>
      </c>
      <c r="T68" s="59">
        <f t="shared" si="34"/>
        <v>270.54143254083715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67.927826703489799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67.927826703489799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263.61223200000001</v>
      </c>
      <c r="AK68" s="13">
        <f t="shared" si="35"/>
        <v>63.491740445176504</v>
      </c>
      <c r="AL68" s="20">
        <f t="shared" ref="AL68:AL131" si="58">(AJ68+AK68)*0.475*44/12</f>
        <v>569.70608534201574</v>
      </c>
      <c r="AM68" s="59">
        <f t="shared" ref="AM68:AM131" si="59">AL68+(AD68+AE68)*44/12</f>
        <v>837.1290825209494</v>
      </c>
      <c r="AN68" s="59">
        <f ca="1">AVERAGE(OFFSET($AM$3,0,0,'Données projet'!$E$10+1,1))-AVERAGE(OFFSET($H$3,0,0,'Données projet'!$E$10+1,1))</f>
        <v>691.79662395689525</v>
      </c>
      <c r="AO68" s="59">
        <f t="shared" si="36"/>
        <v>213.38682325741539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42.045740017097444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42.045740017097444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627</v>
      </c>
      <c r="BB68" s="12">
        <f>VLOOKUP(A68,'Données projet'!$A$87:$I$107,9,0)</f>
        <v>15.6</v>
      </c>
      <c r="BC68" s="12">
        <f t="array" ref="BC68">INDEX(BB:BB,MIN(IF(ISNUMBER(BB68:BB264),ROW(BB68:BB264),"")))</f>
        <v>15.6</v>
      </c>
      <c r="BD68" s="12">
        <f>IF('Données projet'!$A$88&gt;35,BD67+BC68-BL67,IF(A68&lt;'Données projet'!$A$88,$BA$205^A68,IF(A68='Données projet'!$A$88,'Données projet'!$B$88,BD67+BC68-BL67)))</f>
        <v>627.00000000000034</v>
      </c>
      <c r="BE68" s="13">
        <f>BD68*VLOOKUP('Données projet'!$B$11,Paramètres!$A$1:$I$89,3,0)*VLOOKUP('Données projet'!$B$11,Paramètres!$A$1:$I$89,5,0)</f>
        <v>374.94600000000025</v>
      </c>
      <c r="BF68" s="13">
        <f t="shared" si="37"/>
        <v>86.678388834633466</v>
      </c>
      <c r="BG68" s="20">
        <f t="shared" ref="BG68:BG131" si="61">(BE68+BF68)*0.475*44/12</f>
        <v>803.99581055365354</v>
      </c>
      <c r="BH68" s="59">
        <f t="shared" ref="BH68:BH131" si="62">BG68+(AY68+AZ68)*44/12</f>
        <v>1071.4188077325871</v>
      </c>
      <c r="BI68" s="59">
        <f ca="1">AVERAGE(OFFSET($BH$3,0,0,'Données projet'!$E$11+1,1))-AVERAGE(OFFSET($H$3,0,0,'Données projet'!$E$11+1,1))</f>
        <v>525.88595000893986</v>
      </c>
      <c r="BJ68" s="59">
        <f t="shared" si="38"/>
        <v>458.67158147469263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34</v>
      </c>
      <c r="BM68" s="16">
        <f>IF(ISNA(VLOOKUP(A68,'Données projet'!$A$87:$I$107,5,0)),0%,VLOOKUP(A68,'Données projet'!$A$87:$I$107,5,0)*VLOOKUP('Données projet'!$B$11,Paramètres!$A$1:$I$89,7,0))</f>
        <v>0.45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92.518801278874008</v>
      </c>
      <c r="BQ68" s="21">
        <f>EXP(-LN(2)/25)*BQ67+(1-EXP(-LN(2)/25))/(LN(2)/25)*Calculateur!BL68*Calculateur!BN68*VLOOKUP('Données projet'!$B$11,Paramètres!$A$1:$I$89,3,0)*0.475*44/12</f>
        <v>22.311058340220526</v>
      </c>
      <c r="BR68" s="21">
        <f>EXP(-LN(2)/2)*BR67+(1-EXP(-LN(2)/2))/(LN(2)/2)*BL68*BO68*VLOOKUP('Données projet'!$B$11,Paramètres!$A$1:$I$89,3,0)*0.475*44/12</f>
        <v>2.8249766811405363E-7</v>
      </c>
      <c r="BS68" s="22">
        <f t="shared" ref="BS68:BS131" si="63">SUM(BP68:BR68)</f>
        <v>114.8298599015922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62.93354468516371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4.4080000000000004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16.16266666666667</v>
      </c>
      <c r="H69" s="66">
        <f t="shared" si="56"/>
        <v>192.01600000000005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388.92</v>
      </c>
      <c r="L69" s="12">
        <f>VLOOKUP(A69,'Données projet'!$A$35:$I$55,9,0)</f>
        <v>13.062500000000007</v>
      </c>
      <c r="M69" s="12">
        <f t="array" ref="M69">INDEX(L:L,MIN(IF(ISNUMBER(L69:L265),ROW(L69:L265),"")))</f>
        <v>13.062500000000007</v>
      </c>
      <c r="N69" s="13">
        <f>IF('Données projet'!$A$36&gt;35,N68+M69-V68,IF(A69&lt;'Données projet'!$A$36,$K$205^A69,IF(A69='Données projet'!$A$36,'Données projet'!$B$36,N68+M69-V68)))</f>
        <v>388.92000000000007</v>
      </c>
      <c r="O69" s="13">
        <f>N69*VLOOKUP('Données projet'!$B$9,Paramètres!$A$1:$I$89,3,0)*VLOOKUP('Données projet'!$B$9,Paramètres!$A$1:$I$89,5,0)</f>
        <v>351.89481600000005</v>
      </c>
      <c r="P69" s="13">
        <f t="shared" ref="P69:P132" si="87">EXP(-1.0587+0.8836*LN(O69)+0.284)</f>
        <v>81.952550845391471</v>
      </c>
      <c r="Q69" s="20">
        <f t="shared" si="54"/>
        <v>755.61749725572361</v>
      </c>
      <c r="R69" s="59">
        <f t="shared" si="55"/>
        <v>1023.4899808401024</v>
      </c>
      <c r="S69" s="59">
        <f ca="1">AVERAGE(OFFSET($R$3,0,0,'Données projet'!$E$9+1,1))-AVERAGE(OFFSET($H$3,0,0,'Données projet'!$E$9+1,1))</f>
        <v>737.52606296329941</v>
      </c>
      <c r="T69" s="59">
        <f t="shared" ref="T69:T132" si="88">$T$3</f>
        <v>270.54143254083715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71.34</v>
      </c>
      <c r="W69" s="16">
        <f>IF(ISNA(VLOOKUP(A69,'Données projet'!$A$35:$I$55,5,0)),0%,VLOOKUP(A69,'Données projet'!$A$35:$I$55,5,0)*VLOOKUP('Données projet'!$B$9,Paramètres!$A$1:$I$89,7,0))</f>
        <v>0.43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97.279046690875219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97.279046690875219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272.89033200000006</v>
      </c>
      <c r="AK69" s="13">
        <f t="shared" ref="AK69:AK132" si="89">EXP(-1.0587+0.8836*LN(AJ69)+0.284)</f>
        <v>65.462290033470694</v>
      </c>
      <c r="AL69" s="20">
        <f t="shared" si="58"/>
        <v>589.29748337496153</v>
      </c>
      <c r="AM69" s="59">
        <f t="shared" si="59"/>
        <v>857.1699669593404</v>
      </c>
      <c r="AN69" s="59">
        <f ca="1">AVERAGE(OFFSET($AM$3,0,0,'Données projet'!$E$10+1,1))-AVERAGE(OFFSET($H$3,0,0,'Données projet'!$E$10+1,1))</f>
        <v>691.79662395689525</v>
      </c>
      <c r="AO69" s="59">
        <f t="shared" ref="AO69:AO132" si="90">$AO$3</f>
        <v>213.38682325741539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63.79779831451831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63.79779831451831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13.8</v>
      </c>
      <c r="BD69" s="12">
        <f>IF('Données projet'!$A$88&gt;35,BD68+BC69-BL68,IF(A69&lt;'Données projet'!$A$88,$BA$205^A69,IF(A69='Données projet'!$A$88,'Données projet'!$B$88,BD68+BC69-BL68)))</f>
        <v>606.8000000000003</v>
      </c>
      <c r="BE69" s="13">
        <f>BD69*VLOOKUP('Données projet'!$B$11,Paramètres!$A$1:$I$89,3,0)*VLOOKUP('Données projet'!$B$11,Paramètres!$A$1:$I$89,5,0)</f>
        <v>362.86640000000023</v>
      </c>
      <c r="BF69" s="13">
        <f t="shared" ref="BF69:BF132" si="91">EXP(-1.0587+0.8836*LN(BE69)+0.284)</f>
        <v>84.206244461628913</v>
      </c>
      <c r="BG69" s="20">
        <f t="shared" si="61"/>
        <v>778.65152243733735</v>
      </c>
      <c r="BH69" s="59">
        <f t="shared" si="62"/>
        <v>1046.5240060217161</v>
      </c>
      <c r="BI69" s="59">
        <f ca="1">AVERAGE(OFFSET($BH$3,0,0,'Données projet'!$E$11+1,1))-AVERAGE(OFFSET($H$3,0,0,'Données projet'!$E$11+1,1))</f>
        <v>525.88595000893986</v>
      </c>
      <c r="BJ69" s="59">
        <f t="shared" ref="BJ69:BJ132" si="92">$BJ$3</f>
        <v>458.67158147469263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90.704564016691975</v>
      </c>
      <c r="BQ69" s="21">
        <f>EXP(-LN(2)/25)*BQ68+(1-EXP(-LN(2)/25))/(LN(2)/25)*Calculateur!BL69*Calculateur!BN69*VLOOKUP('Données projet'!$B$11,Paramètres!$A$1:$I$89,3,0)*0.475*44/12</f>
        <v>21.70096127661963</v>
      </c>
      <c r="BR69" s="21">
        <f>EXP(-LN(2)/2)*BR68+(1-EXP(-LN(2)/2))/(LN(2)/2)*BL69*BO69*VLOOKUP('Données projet'!$B$11,Paramètres!$A$1:$I$89,3,0)*0.475*44/12</f>
        <v>1.9975601679283405E-7</v>
      </c>
      <c r="BS69" s="22">
        <f t="shared" si="63"/>
        <v>112.40552549306761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63.056131886648771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4.4080000000000004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16.16266666666667</v>
      </c>
      <c r="H70" s="66">
        <f t="shared" si="56"/>
        <v>192.01600000000005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12.152499999999996</v>
      </c>
      <c r="N70" s="13">
        <f>IF('Données projet'!$A$36&gt;35,N69+M70-V69,IF(A70&lt;'Données projet'!$A$36,$K$205^A70,IF(A70='Données projet'!$A$36,'Données projet'!$B$36,N69+M70-V69)))</f>
        <v>329.73250000000007</v>
      </c>
      <c r="O70" s="13">
        <f>N70*VLOOKUP('Données projet'!$B$9,Paramètres!$A$1:$I$89,3,0)*VLOOKUP('Données projet'!$B$9,Paramètres!$A$1:$I$89,5,0)</f>
        <v>298.34196600000007</v>
      </c>
      <c r="P70" s="13">
        <f t="shared" si="87"/>
        <v>70.828763828333464</v>
      </c>
      <c r="Q70" s="20">
        <f t="shared" si="54"/>
        <v>642.97235445101421</v>
      </c>
      <c r="R70" s="59">
        <f t="shared" si="55"/>
        <v>911.28652685660495</v>
      </c>
      <c r="S70" s="59">
        <f ca="1">AVERAGE(OFFSET($R$3,0,0,'Données projet'!$E$9+1,1))-AVERAGE(OFFSET($H$3,0,0,'Données projet'!$E$9+1,1))</f>
        <v>737.52606296329941</v>
      </c>
      <c r="T70" s="59">
        <f t="shared" si="88"/>
        <v>270.54143254083715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95.371463919626862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95.371463919626862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234.210171</v>
      </c>
      <c r="AK70" s="13">
        <f t="shared" si="89"/>
        <v>57.192055644634451</v>
      </c>
      <c r="AL70" s="20">
        <f t="shared" si="58"/>
        <v>507.52554473940489</v>
      </c>
      <c r="AM70" s="59">
        <f t="shared" si="59"/>
        <v>775.83971714499557</v>
      </c>
      <c r="AN70" s="59">
        <f ca="1">AVERAGE(OFFSET($AM$3,0,0,'Données projet'!$E$10+1,1))-AVERAGE(OFFSET($H$3,0,0,'Données projet'!$E$10+1,1))</f>
        <v>691.79662395689525</v>
      </c>
      <c r="AO70" s="59">
        <f t="shared" si="90"/>
        <v>213.38682325741539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62.546762402385255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62.546762402385255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13.8</v>
      </c>
      <c r="BD70" s="12">
        <f>IF('Données projet'!$A$88&gt;35,BD69+BC70-BL69,IF(A70&lt;'Données projet'!$A$88,$BA$205^A70,IF(A70='Données projet'!$A$88,'Données projet'!$B$88,BD69+BC70-BL69)))</f>
        <v>620.60000000000025</v>
      </c>
      <c r="BE70" s="13">
        <f>BD70*VLOOKUP('Données projet'!$B$11,Paramètres!$A$1:$I$89,3,0)*VLOOKUP('Données projet'!$B$11,Paramètres!$A$1:$I$89,5,0)</f>
        <v>371.11880000000014</v>
      </c>
      <c r="BF70" s="13">
        <f t="shared" si="91"/>
        <v>85.896152691454745</v>
      </c>
      <c r="BG70" s="20">
        <f t="shared" si="61"/>
        <v>795.96770927095042</v>
      </c>
      <c r="BH70" s="59">
        <f t="shared" si="62"/>
        <v>1064.2818816765412</v>
      </c>
      <c r="BI70" s="59">
        <f ca="1">AVERAGE(OFFSET($BH$3,0,0,'Données projet'!$E$11+1,1))-AVERAGE(OFFSET($H$3,0,0,'Données projet'!$E$11+1,1))</f>
        <v>525.88595000893986</v>
      </c>
      <c r="BJ70" s="59">
        <f t="shared" si="92"/>
        <v>458.67158147469263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88.925902840645875</v>
      </c>
      <c r="BQ70" s="21">
        <f>EXP(-LN(2)/25)*BQ69+(1-EXP(-LN(2)/25))/(LN(2)/25)*Calculateur!BL70*Calculateur!BN70*VLOOKUP('Données projet'!$B$11,Paramètres!$A$1:$I$89,3,0)*0.475*44/12</f>
        <v>21.107547349306511</v>
      </c>
      <c r="BR70" s="21">
        <f>EXP(-LN(2)/2)*BR69+(1-EXP(-LN(2)/2))/(LN(2)/2)*BL70*BO70*VLOOKUP('Données projet'!$B$11,Paramètres!$A$1:$I$89,3,0)*0.475*44/12</f>
        <v>1.4124883405702681E-7</v>
      </c>
      <c r="BS70" s="22">
        <f t="shared" si="63"/>
        <v>110.03345033120122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63.176592474252004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4.4080000000000004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16.16266666666667</v>
      </c>
      <c r="H71" s="66">
        <f t="shared" si="56"/>
        <v>192.01600000000005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12.152499999999996</v>
      </c>
      <c r="N71" s="13">
        <f>IF('Données projet'!$A$36&gt;35,N70+M71-V70,IF(A71&lt;'Données projet'!$A$36,$K$205^A71,IF(A71='Données projet'!$A$36,'Données projet'!$B$36,N70+M71-V70)))</f>
        <v>341.88500000000005</v>
      </c>
      <c r="O71" s="13">
        <f>N71*VLOOKUP('Données projet'!$B$9,Paramètres!$A$1:$I$89,3,0)*VLOOKUP('Données projet'!$B$9,Paramètres!$A$1:$I$89,5,0)</f>
        <v>309.33754800000003</v>
      </c>
      <c r="P71" s="13">
        <f t="shared" si="87"/>
        <v>73.130466608029138</v>
      </c>
      <c r="Q71" s="20">
        <f t="shared" si="54"/>
        <v>666.13179210898409</v>
      </c>
      <c r="R71" s="59">
        <f t="shared" si="55"/>
        <v>934.87999102220692</v>
      </c>
      <c r="S71" s="59">
        <f ca="1">AVERAGE(OFFSET($R$3,0,0,'Données projet'!$E$9+1,1))-AVERAGE(OFFSET($H$3,0,0,'Données projet'!$E$9+1,1))</f>
        <v>737.52606296329941</v>
      </c>
      <c r="T71" s="59">
        <f t="shared" si="88"/>
        <v>270.54143254083715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93.50128768301208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93.50128768301208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243.02436600000001</v>
      </c>
      <c r="AK71" s="13">
        <f t="shared" si="89"/>
        <v>59.089762548878838</v>
      </c>
      <c r="AL71" s="20">
        <f t="shared" si="58"/>
        <v>526.18210722263063</v>
      </c>
      <c r="AM71" s="59">
        <f t="shared" si="59"/>
        <v>794.93030613585347</v>
      </c>
      <c r="AN71" s="59">
        <f ca="1">AVERAGE(OFFSET($AM$3,0,0,'Données projet'!$E$10+1,1))-AVERAGE(OFFSET($H$3,0,0,'Données projet'!$E$10+1,1))</f>
        <v>691.79662395689525</v>
      </c>
      <c r="AO71" s="59">
        <f t="shared" si="90"/>
        <v>213.38682325741539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61.320258541432572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61.320258541432572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13.8</v>
      </c>
      <c r="BD71" s="12">
        <f>IF('Données projet'!$A$88&gt;35,BD70+BC71-BL70,IF(A71&lt;'Données projet'!$A$88,$BA$205^A71,IF(A71='Données projet'!$A$88,'Données projet'!$B$88,BD70+BC71-BL70)))</f>
        <v>634.4000000000002</v>
      </c>
      <c r="BE71" s="13">
        <f>BD71*VLOOKUP('Données projet'!$B$11,Paramètres!$A$1:$I$89,3,0)*VLOOKUP('Données projet'!$B$11,Paramètres!$A$1:$I$89,5,0)</f>
        <v>379.37120000000016</v>
      </c>
      <c r="BF71" s="13">
        <f t="shared" si="91"/>
        <v>87.58169214989708</v>
      </c>
      <c r="BG71" s="20">
        <f t="shared" si="61"/>
        <v>813.27628716107108</v>
      </c>
      <c r="BH71" s="59">
        <f t="shared" si="62"/>
        <v>1082.0244860742939</v>
      </c>
      <c r="BI71" s="59">
        <f ca="1">AVERAGE(OFFSET($BH$3,0,0,'Données projet'!$E$11+1,1))-AVERAGE(OFFSET($H$3,0,0,'Données projet'!$E$11+1,1))</f>
        <v>525.88595000893986</v>
      </c>
      <c r="BJ71" s="59">
        <f t="shared" si="92"/>
        <v>458.67158147469263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87.182120125385836</v>
      </c>
      <c r="BQ71" s="21">
        <f>EXP(-LN(2)/25)*BQ70+(1-EXP(-LN(2)/25))/(LN(2)/25)*Calculateur!BL71*Calculateur!BN71*VLOOKUP('Données projet'!$B$11,Paramètres!$A$1:$I$89,3,0)*0.475*44/12</f>
        <v>20.530360357042053</v>
      </c>
      <c r="BR71" s="21">
        <f>EXP(-LN(2)/2)*BR70+(1-EXP(-LN(2)/2))/(LN(2)/2)*BL71*BO71*VLOOKUP('Données projet'!$B$11,Paramètres!$A$1:$I$89,3,0)*0.475*44/12</f>
        <v>9.9878008396417023E-8</v>
      </c>
      <c r="BS71" s="22">
        <f t="shared" si="63"/>
        <v>107.7124805823059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63.294963339969854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4.4080000000000004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16.16266666666667</v>
      </c>
      <c r="H72" s="66">
        <f t="shared" si="56"/>
        <v>192.01600000000005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12.152499999999996</v>
      </c>
      <c r="N72" s="13">
        <f>IF('Données projet'!$A$36&gt;35,N71+M72-V71,IF(A72&lt;'Données projet'!$A$36,$K$205^A72,IF(A72='Données projet'!$A$36,'Données projet'!$B$36,N71+M72-V71)))</f>
        <v>354.03750000000002</v>
      </c>
      <c r="O72" s="13">
        <f>N72*VLOOKUP('Données projet'!$B$9,Paramètres!$A$1:$I$89,3,0)*VLOOKUP('Données projet'!$B$9,Paramètres!$A$1:$I$89,5,0)</f>
        <v>320.33312999999998</v>
      </c>
      <c r="P72" s="13">
        <f t="shared" si="87"/>
        <v>75.422663639992734</v>
      </c>
      <c r="Q72" s="20">
        <f t="shared" si="54"/>
        <v>689.27467392298729</v>
      </c>
      <c r="R72" s="59">
        <f t="shared" si="55"/>
        <v>958.4493699542727</v>
      </c>
      <c r="S72" s="59">
        <f ca="1">AVERAGE(OFFSET($R$3,0,0,'Données projet'!$E$9+1,1))-AVERAGE(OFFSET($H$3,0,0,'Données projet'!$E$9+1,1))</f>
        <v>737.52606296329941</v>
      </c>
      <c r="T72" s="59">
        <f t="shared" si="88"/>
        <v>270.54143254083715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91.667784461702439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91.667784461702439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251.83856100000003</v>
      </c>
      <c r="AK72" s="13">
        <f t="shared" si="89"/>
        <v>60.979472967975418</v>
      </c>
      <c r="AL72" s="20">
        <f t="shared" si="58"/>
        <v>544.82474249422387</v>
      </c>
      <c r="AM72" s="59">
        <f t="shared" si="59"/>
        <v>813.99943852550928</v>
      </c>
      <c r="AN72" s="59">
        <f ca="1">AVERAGE(OFFSET($AM$3,0,0,'Données projet'!$E$10+1,1))-AVERAGE(OFFSET($H$3,0,0,'Données projet'!$E$10+1,1))</f>
        <v>691.79662395689525</v>
      </c>
      <c r="AO72" s="59">
        <f t="shared" si="90"/>
        <v>213.38682325741539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60.117805673099681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60.117805673099681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13.8</v>
      </c>
      <c r="BD72" s="12">
        <f>IF('Données projet'!$A$88&gt;35,BD71+BC72-BL71,IF(A72&lt;'Données projet'!$A$88,$BA$205^A72,IF(A72='Données projet'!$A$88,'Données projet'!$B$88,BD71+BC72-BL71)))</f>
        <v>648.20000000000016</v>
      </c>
      <c r="BE72" s="13">
        <f>BD72*VLOOKUP('Données projet'!$B$11,Paramètres!$A$1:$I$89,3,0)*VLOOKUP('Données projet'!$B$11,Paramètres!$A$1:$I$89,5,0)</f>
        <v>387.62360000000012</v>
      </c>
      <c r="BF72" s="13">
        <f t="shared" si="91"/>
        <v>89.262968814668071</v>
      </c>
      <c r="BG72" s="20">
        <f t="shared" si="61"/>
        <v>830.57744068554712</v>
      </c>
      <c r="BH72" s="59">
        <f t="shared" si="62"/>
        <v>1099.7521367168324</v>
      </c>
      <c r="BI72" s="59">
        <f ca="1">AVERAGE(OFFSET($BH$3,0,0,'Données projet'!$E$11+1,1))-AVERAGE(OFFSET($H$3,0,0,'Données projet'!$E$11+1,1))</f>
        <v>525.88595000893986</v>
      </c>
      <c r="BJ72" s="59">
        <f t="shared" si="92"/>
        <v>458.67158147469263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85.472531925569612</v>
      </c>
      <c r="BQ72" s="21">
        <f>EXP(-LN(2)/25)*BQ71+(1-EXP(-LN(2)/25))/(LN(2)/25)*Calculateur!BL72*Calculateur!BN72*VLOOKUP('Données projet'!$B$11,Paramètres!$A$1:$I$89,3,0)*0.475*44/12</f>
        <v>19.96895657343401</v>
      </c>
      <c r="BR72" s="21">
        <f>EXP(-LN(2)/2)*BR71+(1-EXP(-LN(2)/2))/(LN(2)/2)*BL72*BO72*VLOOKUP('Données projet'!$B$11,Paramètres!$A$1:$I$89,3,0)*0.475*44/12</f>
        <v>7.0624417028513407E-8</v>
      </c>
      <c r="BS72" s="22">
        <f t="shared" si="63"/>
        <v>105.44148856962805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63.411280735805093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4.4080000000000004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16.16266666666667</v>
      </c>
      <c r="H73" s="66">
        <f t="shared" si="56"/>
        <v>192.01600000000005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12.152499999999996</v>
      </c>
      <c r="N73" s="13">
        <f>IF('Données projet'!$A$36&gt;35,N72+M73-V72,IF(A73&lt;'Données projet'!$A$36,$K$205^A73,IF(A73='Données projet'!$A$36,'Données projet'!$B$36,N72+M73-V72)))</f>
        <v>366.19</v>
      </c>
      <c r="O73" s="13">
        <f>N73*VLOOKUP('Données projet'!$B$9,Paramètres!$A$1:$I$89,3,0)*VLOOKUP('Données projet'!$B$9,Paramètres!$A$1:$I$89,5,0)</f>
        <v>331.328712</v>
      </c>
      <c r="P73" s="13">
        <f t="shared" si="87"/>
        <v>77.70571861182988</v>
      </c>
      <c r="Q73" s="20">
        <f t="shared" si="54"/>
        <v>712.4016333156037</v>
      </c>
      <c r="R73" s="59">
        <f t="shared" si="55"/>
        <v>981.99542769345794</v>
      </c>
      <c r="S73" s="59">
        <f ca="1">AVERAGE(OFFSET($R$3,0,0,'Données projet'!$E$9+1,1))-AVERAGE(OFFSET($H$3,0,0,'Données projet'!$E$9+1,1))</f>
        <v>737.52606296329941</v>
      </c>
      <c r="T73" s="59">
        <f t="shared" si="88"/>
        <v>270.54143254083715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89.870235120236146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89.870235120236146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260.65275600000001</v>
      </c>
      <c r="AK73" s="13">
        <f t="shared" si="89"/>
        <v>62.861498844981192</v>
      </c>
      <c r="AL73" s="20">
        <f t="shared" si="58"/>
        <v>563.45399385500889</v>
      </c>
      <c r="AM73" s="59">
        <f t="shared" si="59"/>
        <v>833.04778823286313</v>
      </c>
      <c r="AN73" s="59">
        <f ca="1">AVERAGE(OFFSET($AM$3,0,0,'Données projet'!$E$10+1,1))-AVERAGE(OFFSET($H$3,0,0,'Données projet'!$E$10+1,1))</f>
        <v>691.79662395689525</v>
      </c>
      <c r="AO73" s="59">
        <f t="shared" si="90"/>
        <v>213.38682325741539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58.938932172090972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58.938932172090972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662</v>
      </c>
      <c r="BB73" s="12">
        <f>VLOOKUP(A73,'Données projet'!$A$87:$I$107,9,0)</f>
        <v>13.8</v>
      </c>
      <c r="BC73" s="12">
        <f t="array" ref="BC73">INDEX(BB:BB,MIN(IF(ISNUMBER(BB73:BB269),ROW(BB73:BB269),"")))</f>
        <v>13.8</v>
      </c>
      <c r="BD73" s="12">
        <f>IF('Données projet'!$A$88&gt;35,BD72+BC73-BL72,IF(A73&lt;'Données projet'!$A$88,$BA$205^A73,IF(A73='Données projet'!$A$88,'Données projet'!$B$88,BD72+BC73-BL72)))</f>
        <v>662.00000000000011</v>
      </c>
      <c r="BE73" s="13">
        <f>BD73*VLOOKUP('Données projet'!$B$11,Paramètres!$A$1:$I$89,3,0)*VLOOKUP('Données projet'!$B$11,Paramètres!$A$1:$I$89,5,0)</f>
        <v>395.87600000000009</v>
      </c>
      <c r="BF73" s="13">
        <f t="shared" si="91"/>
        <v>90.940083893210655</v>
      </c>
      <c r="BG73" s="20">
        <f t="shared" si="61"/>
        <v>847.8713461140087</v>
      </c>
      <c r="BH73" s="59">
        <f t="shared" si="62"/>
        <v>1117.4651404918629</v>
      </c>
      <c r="BI73" s="59">
        <f ca="1">AVERAGE(OFFSET($BH$3,0,0,'Données projet'!$E$11+1,1))-AVERAGE(OFFSET($H$3,0,0,'Données projet'!$E$11+1,1))</f>
        <v>525.88595000893986</v>
      </c>
      <c r="BJ73" s="59">
        <f t="shared" si="92"/>
        <v>458.67158147469263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31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94.862801051328148</v>
      </c>
      <c r="BQ73" s="21">
        <f>EXP(-LN(2)/25)*BQ72+(1-EXP(-LN(2)/25))/(LN(2)/25)*Calculateur!BL73*Calculateur!BN73*VLOOKUP('Données projet'!$B$11,Paramètres!$A$1:$I$89,3,0)*0.475*44/12</f>
        <v>19.422904405811671</v>
      </c>
      <c r="BR73" s="21">
        <f>EXP(-LN(2)/2)*BR72+(1-EXP(-LN(2)/2))/(LN(2)/2)*BL73*BO73*VLOOKUP('Données projet'!$B$11,Paramètres!$A$1:$I$89,3,0)*0.475*44/12</f>
        <v>4.9939004198208511E-8</v>
      </c>
      <c r="BS73" s="22">
        <f t="shared" si="63"/>
        <v>114.28570550707882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63.525580284869335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4.4080000000000004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16.16266666666667</v>
      </c>
      <c r="H74" s="66">
        <f t="shared" si="56"/>
        <v>192.01600000000005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12.152499999999996</v>
      </c>
      <c r="N74" s="13">
        <f>IF('Données projet'!$A$36&gt;35,N73+M74-V73,IF(A74&lt;'Données projet'!$A$36,$K$205^A74,IF(A74='Données projet'!$A$36,'Données projet'!$B$36,N73+M74-V73)))</f>
        <v>378.34249999999997</v>
      </c>
      <c r="O74" s="13">
        <f>N74*VLOOKUP('Données projet'!$B$9,Paramètres!$A$1:$I$89,3,0)*VLOOKUP('Données projet'!$B$9,Paramètres!$A$1:$I$89,5,0)</f>
        <v>342.32429399999995</v>
      </c>
      <c r="P74" s="13">
        <f t="shared" si="87"/>
        <v>79.979969702389681</v>
      </c>
      <c r="Q74" s="20">
        <f t="shared" si="54"/>
        <v>735.51325928166182</v>
      </c>
      <c r="R74" s="59">
        <f t="shared" si="55"/>
        <v>1005.5188815867356</v>
      </c>
      <c r="S74" s="59">
        <f ca="1">AVERAGE(OFFSET($R$3,0,0,'Données projet'!$E$9+1,1))-AVERAGE(OFFSET($H$3,0,0,'Données projet'!$E$9+1,1))</f>
        <v>737.52606296329941</v>
      </c>
      <c r="T74" s="59">
        <f t="shared" si="88"/>
        <v>270.54143254083715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88.107934624959171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88.107934624959171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269.46695100000005</v>
      </c>
      <c r="AK74" s="13">
        <f t="shared" si="89"/>
        <v>64.736129828806455</v>
      </c>
      <c r="AL74" s="20">
        <f t="shared" si="58"/>
        <v>582.070365776838</v>
      </c>
      <c r="AM74" s="59">
        <f t="shared" si="59"/>
        <v>852.07598808191176</v>
      </c>
      <c r="AN74" s="59">
        <f ca="1">AVERAGE(OFFSET($AM$3,0,0,'Données projet'!$E$10+1,1))-AVERAGE(OFFSET($H$3,0,0,'Données projet'!$E$10+1,1))</f>
        <v>691.79662395689525</v>
      </c>
      <c r="AO74" s="59">
        <f t="shared" si="90"/>
        <v>213.38682325741539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57.783175661395205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57.783175661395205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12.4</v>
      </c>
      <c r="BD74" s="12">
        <f>IF('Données projet'!$A$88&gt;35,BD73+BC74-BL73,IF(A74&lt;'Données projet'!$A$88,$BA$205^A74,IF(A74='Données projet'!$A$88,'Données projet'!$B$88,BD73+BC74-BL73)))</f>
        <v>643.40000000000009</v>
      </c>
      <c r="BE74" s="13">
        <f>BD74*VLOOKUP('Données projet'!$B$11,Paramètres!$A$1:$I$89,3,0)*VLOOKUP('Données projet'!$B$11,Paramètres!$A$1:$I$89,5,0)</f>
        <v>384.75320000000011</v>
      </c>
      <c r="BF74" s="13">
        <f t="shared" si="91"/>
        <v>88.678654005282596</v>
      </c>
      <c r="BG74" s="20">
        <f t="shared" si="61"/>
        <v>824.5604790592007</v>
      </c>
      <c r="BH74" s="59">
        <f t="shared" si="62"/>
        <v>1094.5661013642743</v>
      </c>
      <c r="BI74" s="59">
        <f ca="1">AVERAGE(OFFSET($BH$3,0,0,'Données projet'!$E$11+1,1))-AVERAGE(OFFSET($H$3,0,0,'Données projet'!$E$11+1,1))</f>
        <v>525.88595000893986</v>
      </c>
      <c r="BJ74" s="59">
        <f t="shared" si="92"/>
        <v>458.67158147469263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93.002599383306986</v>
      </c>
      <c r="BQ74" s="21">
        <f>EXP(-LN(2)/25)*BQ73+(1-EXP(-LN(2)/25))/(LN(2)/25)*Calculateur!BL74*Calculateur!BN74*VLOOKUP('Données projet'!$B$11,Paramètres!$A$1:$I$89,3,0)*0.475*44/12</f>
        <v>18.891784063428599</v>
      </c>
      <c r="BR74" s="21">
        <f>EXP(-LN(2)/2)*BR73+(1-EXP(-LN(2)/2))/(LN(2)/2)*BL74*BO74*VLOOKUP('Données projet'!$B$11,Paramètres!$A$1:$I$89,3,0)*0.475*44/12</f>
        <v>3.5312208514256703E-8</v>
      </c>
      <c r="BS74" s="22">
        <f t="shared" si="63"/>
        <v>111.8943834820478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63.637896992292838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4.4080000000000004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16.16266666666667</v>
      </c>
      <c r="H75" s="66">
        <f t="shared" si="56"/>
        <v>192.01600000000005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12.152499999999996</v>
      </c>
      <c r="N75" s="13">
        <f>IF('Données projet'!$A$36&gt;35,N74+M75-V74,IF(A75&lt;'Données projet'!$A$36,$K$205^A75,IF(A75='Données projet'!$A$36,'Données projet'!$B$36,N74+M75-V74)))</f>
        <v>390.49499999999995</v>
      </c>
      <c r="O75" s="13">
        <f>N75*VLOOKUP('Données projet'!$B$9,Paramètres!$A$1:$I$89,3,0)*VLOOKUP('Données projet'!$B$9,Paramètres!$A$1:$I$89,5,0)</f>
        <v>353.31987599999991</v>
      </c>
      <c r="P75" s="13">
        <f t="shared" si="87"/>
        <v>82.245732132210307</v>
      </c>
      <c r="Q75" s="20">
        <f t="shared" si="54"/>
        <v>758.61010083026611</v>
      </c>
      <c r="R75" s="59">
        <f t="shared" si="55"/>
        <v>1029.0204067687314</v>
      </c>
      <c r="S75" s="59">
        <f ca="1">AVERAGE(OFFSET($R$3,0,0,'Données projet'!$E$9+1,1))-AVERAGE(OFFSET($H$3,0,0,'Données projet'!$E$9+1,1))</f>
        <v>737.52606296329941</v>
      </c>
      <c r="T75" s="59">
        <f t="shared" si="88"/>
        <v>270.54143254083715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86.380191767497408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86.380191767497408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278.28114599999998</v>
      </c>
      <c r="AK75" s="13">
        <f t="shared" si="89"/>
        <v>66.603635544137703</v>
      </c>
      <c r="AL75" s="20">
        <f t="shared" si="58"/>
        <v>600.67432785603978</v>
      </c>
      <c r="AM75" s="59">
        <f t="shared" si="59"/>
        <v>871.08463379450495</v>
      </c>
      <c r="AN75" s="59">
        <f ca="1">AVERAGE(OFFSET($AM$3,0,0,'Données projet'!$E$10+1,1))-AVERAGE(OFFSET($H$3,0,0,'Données projet'!$E$10+1,1))</f>
        <v>691.79662395689525</v>
      </c>
      <c r="AO75" s="59">
        <f t="shared" si="90"/>
        <v>213.38682325741539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56.65008283093232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56.65008283093232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12.4</v>
      </c>
      <c r="BD75" s="12">
        <f>IF('Données projet'!$A$88&gt;35,BD74+BC75-BL74,IF(A75&lt;'Données projet'!$A$88,$BA$205^A75,IF(A75='Données projet'!$A$88,'Données projet'!$B$88,BD74+BC75-BL74)))</f>
        <v>655.80000000000007</v>
      </c>
      <c r="BE75" s="13">
        <f>BD75*VLOOKUP('Données projet'!$B$11,Paramètres!$A$1:$I$89,3,0)*VLOOKUP('Données projet'!$B$11,Paramètres!$A$1:$I$89,5,0)</f>
        <v>392.16840000000008</v>
      </c>
      <c r="BF75" s="13">
        <f t="shared" si="91"/>
        <v>90.187105966373196</v>
      </c>
      <c r="BG75" s="20">
        <f t="shared" si="61"/>
        <v>840.10250622476667</v>
      </c>
      <c r="BH75" s="59">
        <f t="shared" si="62"/>
        <v>1110.512812163232</v>
      </c>
      <c r="BI75" s="59">
        <f ca="1">AVERAGE(OFFSET($BH$3,0,0,'Données projet'!$E$11+1,1))-AVERAGE(OFFSET($H$3,0,0,'Données projet'!$E$11+1,1))</f>
        <v>525.88595000893986</v>
      </c>
      <c r="BJ75" s="59">
        <f t="shared" si="92"/>
        <v>458.67158147469263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91.178875135384729</v>
      </c>
      <c r="BQ75" s="21">
        <f>EXP(-LN(2)/25)*BQ74+(1-EXP(-LN(2)/25))/(LN(2)/25)*Calculateur!BL75*Calculateur!BN75*VLOOKUP('Données projet'!$B$11,Paramètres!$A$1:$I$89,3,0)*0.475*44/12</f>
        <v>18.375187234738398</v>
      </c>
      <c r="BR75" s="21">
        <f>EXP(-LN(2)/2)*BR74+(1-EXP(-LN(2)/2))/(LN(2)/2)*BL75*BO75*VLOOKUP('Données projet'!$B$11,Paramètres!$A$1:$I$89,3,0)*0.475*44/12</f>
        <v>2.4969502099104256E-8</v>
      </c>
      <c r="BS75" s="22">
        <f t="shared" si="63"/>
        <v>109.55406239509263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63.748265255945071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4.4080000000000004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16.16266666666667</v>
      </c>
      <c r="H76" s="66">
        <f t="shared" si="56"/>
        <v>192.01600000000005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12.152499999999996</v>
      </c>
      <c r="N76" s="13">
        <f>IF('Données projet'!$A$36&gt;35,N75+M76-V75,IF(A76&lt;'Données projet'!$A$36,$K$205^A76,IF(A76='Données projet'!$A$36,'Données projet'!$B$36,N75+M76-V75)))</f>
        <v>402.64749999999992</v>
      </c>
      <c r="O76" s="13">
        <f>N76*VLOOKUP('Données projet'!$B$9,Paramètres!$A$1:$I$89,3,0)*VLOOKUP('Données projet'!$B$9,Paramètres!$A$1:$I$89,5,0)</f>
        <v>364.31545799999992</v>
      </c>
      <c r="P76" s="13">
        <f t="shared" si="87"/>
        <v>84.503300387559307</v>
      </c>
      <c r="Q76" s="20">
        <f t="shared" si="54"/>
        <v>781.69267085833235</v>
      </c>
      <c r="R76" s="59">
        <f t="shared" si="55"/>
        <v>1052.5006400738869</v>
      </c>
      <c r="S76" s="59">
        <f ca="1">AVERAGE(OFFSET($R$3,0,0,'Données projet'!$E$9+1,1))-AVERAGE(OFFSET($H$3,0,0,'Données projet'!$E$9+1,1))</f>
        <v>737.52606296329941</v>
      </c>
      <c r="T76" s="59">
        <f t="shared" si="88"/>
        <v>270.54143254083715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84.686328893651378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84.686328893651378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287.09534100000002</v>
      </c>
      <c r="AK76" s="13">
        <f t="shared" si="89"/>
        <v>68.464267565694144</v>
      </c>
      <c r="AL76" s="20">
        <f t="shared" si="58"/>
        <v>619.26631825191726</v>
      </c>
      <c r="AM76" s="59">
        <f t="shared" si="59"/>
        <v>890.07428746747178</v>
      </c>
      <c r="AN76" s="59">
        <f ca="1">AVERAGE(OFFSET($AM$3,0,0,'Données projet'!$E$10+1,1))-AVERAGE(OFFSET($H$3,0,0,'Données projet'!$E$10+1,1))</f>
        <v>691.79662395689525</v>
      </c>
      <c r="AO76" s="59">
        <f t="shared" si="90"/>
        <v>213.38682325741539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55.539209259756426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55.539209259756426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12.4</v>
      </c>
      <c r="BD76" s="12">
        <f>IF('Données projet'!$A$88&gt;35,BD75+BC76-BL75,IF(A76&lt;'Données projet'!$A$88,$BA$205^A76,IF(A76='Données projet'!$A$88,'Données projet'!$B$88,BD75+BC76-BL75)))</f>
        <v>668.2</v>
      </c>
      <c r="BE76" s="13">
        <f>BD76*VLOOKUP('Données projet'!$B$11,Paramètres!$A$1:$I$89,3,0)*VLOOKUP('Données projet'!$B$11,Paramètres!$A$1:$I$89,5,0)</f>
        <v>399.58360000000005</v>
      </c>
      <c r="BF76" s="13">
        <f t="shared" si="91"/>
        <v>91.692241394947928</v>
      </c>
      <c r="BG76" s="20">
        <f t="shared" si="61"/>
        <v>855.63875709620106</v>
      </c>
      <c r="BH76" s="59">
        <f t="shared" si="62"/>
        <v>1126.4467263117556</v>
      </c>
      <c r="BI76" s="59">
        <f ca="1">AVERAGE(OFFSET($BH$3,0,0,'Données projet'!$E$11+1,1))-AVERAGE(OFFSET($H$3,0,0,'Données projet'!$E$11+1,1))</f>
        <v>525.88595000893986</v>
      </c>
      <c r="BJ76" s="59">
        <f t="shared" si="92"/>
        <v>458.67158147469263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89.390913007602279</v>
      </c>
      <c r="BQ76" s="21">
        <f>EXP(-LN(2)/25)*BQ75+(1-EXP(-LN(2)/25))/(LN(2)/25)*Calculateur!BL76*Calculateur!BN76*VLOOKUP('Données projet'!$B$11,Paramètres!$A$1:$I$89,3,0)*0.475*44/12</f>
        <v>17.872716773495377</v>
      </c>
      <c r="BR76" s="21">
        <f>EXP(-LN(2)/2)*BR75+(1-EXP(-LN(2)/2))/(LN(2)/2)*BL76*BO76*VLOOKUP('Données projet'!$B$11,Paramètres!$A$1:$I$89,3,0)*0.475*44/12</f>
        <v>1.7656104257128352E-8</v>
      </c>
      <c r="BS76" s="22">
        <f t="shared" si="63"/>
        <v>107.26362979875375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63.85671887696941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4.4080000000000004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16.16266666666667</v>
      </c>
      <c r="H77" s="66">
        <f t="shared" si="56"/>
        <v>192.01600000000005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414.8</v>
      </c>
      <c r="L77" s="12">
        <f>VLOOKUP(A77,'Données projet'!$A$35:$I$55,9,0)</f>
        <v>12.152499999999996</v>
      </c>
      <c r="M77" s="12">
        <f t="array" ref="M77">INDEX(L:L,MIN(IF(ISNUMBER(L77:L273),ROW(L77:L273),"")))</f>
        <v>12.152499999999996</v>
      </c>
      <c r="N77" s="13">
        <f>IF('Données projet'!$A$36&gt;35,N76+M77-V76,IF(A77&lt;'Données projet'!$A$36,$K$205^A77,IF(A77='Données projet'!$A$36,'Données projet'!$B$36,N76+M77-V76)))</f>
        <v>414.7999999999999</v>
      </c>
      <c r="O77" s="13">
        <f>N77*VLOOKUP('Données projet'!$B$9,Paramètres!$A$1:$I$89,3,0)*VLOOKUP('Données projet'!$B$9,Paramètres!$A$1:$I$89,5,0)</f>
        <v>375.31103999999988</v>
      </c>
      <c r="P77" s="13">
        <f t="shared" si="87"/>
        <v>86.752950168429535</v>
      </c>
      <c r="Q77" s="20">
        <f t="shared" si="54"/>
        <v>804.76144954334779</v>
      </c>
      <c r="R77" s="59">
        <f t="shared" si="55"/>
        <v>1075.960183467176</v>
      </c>
      <c r="S77" s="59">
        <f ca="1">AVERAGE(OFFSET($R$3,0,0,'Données projet'!$E$9+1,1))-AVERAGE(OFFSET($H$3,0,0,'Données projet'!$E$9+1,1))</f>
        <v>737.52606296329941</v>
      </c>
      <c r="T77" s="59">
        <f t="shared" si="88"/>
        <v>270.54143254083715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70.209999999999994</v>
      </c>
      <c r="W77" s="16">
        <f>IF(ISNA(VLOOKUP(A77,'Données projet'!$A$35:$I$55,5,0)),0%,VLOOKUP(A77,'Données projet'!$A$35:$I$55,5,0)*VLOOKUP('Données projet'!$B$9,Paramètres!$A$1:$I$89,7,0))</f>
        <v>0.43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113.22291331241563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113.22291331241563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295.909536</v>
      </c>
      <c r="AK77" s="13">
        <f t="shared" si="89"/>
        <v>70.31826114322331</v>
      </c>
      <c r="AL77" s="20">
        <f t="shared" si="58"/>
        <v>637.84674669111394</v>
      </c>
      <c r="AM77" s="59">
        <f t="shared" si="59"/>
        <v>909.04548061494211</v>
      </c>
      <c r="AN77" s="59">
        <f ca="1">AVERAGE(OFFSET($AM$3,0,0,'Données projet'!$E$10+1,1))-AVERAGE(OFFSET($H$3,0,0,'Données projet'!$E$10+1,1))</f>
        <v>691.79662395689525</v>
      </c>
      <c r="AO77" s="59">
        <f t="shared" si="90"/>
        <v>213.38682325741539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75.891282369244891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75.891282369244891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12.4</v>
      </c>
      <c r="BD77" s="12">
        <f>IF('Données projet'!$A$88&gt;35,BD76+BC77-BL76,IF(A77&lt;'Données projet'!$A$88,$BA$205^A77,IF(A77='Données projet'!$A$88,'Données projet'!$B$88,BD76+BC77-BL76)))</f>
        <v>680.6</v>
      </c>
      <c r="BE77" s="13">
        <f>BD77*VLOOKUP('Données projet'!$B$11,Paramètres!$A$1:$I$89,3,0)*VLOOKUP('Données projet'!$B$11,Paramètres!$A$1:$I$89,5,0)</f>
        <v>406.99880000000002</v>
      </c>
      <c r="BF77" s="13">
        <f t="shared" si="91"/>
        <v>93.194128934694703</v>
      </c>
      <c r="BG77" s="20">
        <f t="shared" si="61"/>
        <v>871.16935122792665</v>
      </c>
      <c r="BH77" s="59">
        <f t="shared" si="62"/>
        <v>1142.3680851517547</v>
      </c>
      <c r="BI77" s="59">
        <f ca="1">AVERAGE(OFFSET($BH$3,0,0,'Données projet'!$E$11+1,1))-AVERAGE(OFFSET($H$3,0,0,'Données projet'!$E$11+1,1))</f>
        <v>525.88595000893986</v>
      </c>
      <c r="BJ77" s="59">
        <f t="shared" si="92"/>
        <v>458.67158147469263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87.638011726596432</v>
      </c>
      <c r="BQ77" s="21">
        <f>EXP(-LN(2)/25)*BQ76+(1-EXP(-LN(2)/25))/(LN(2)/25)*Calculateur!BL77*Calculateur!BN77*VLOOKUP('Données projet'!$B$11,Paramètres!$A$1:$I$89,3,0)*0.475*44/12</f>
        <v>17.383986393438818</v>
      </c>
      <c r="BR77" s="21">
        <f>EXP(-LN(2)/2)*BR76+(1-EXP(-LN(2)/2))/(LN(2)/2)*BL77*BO77*VLOOKUP('Données projet'!$B$11,Paramètres!$A$1:$I$89,3,0)*0.475*44/12</f>
        <v>1.2484751049552128E-8</v>
      </c>
      <c r="BS77" s="22">
        <f t="shared" si="63"/>
        <v>105.02199813252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63.963291070134943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4.4080000000000004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16.16266666666667</v>
      </c>
      <c r="H78" s="66">
        <f t="shared" si="56"/>
        <v>192.01600000000005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11.447499999999998</v>
      </c>
      <c r="N78" s="13">
        <f>IF('Données projet'!$A$36&gt;35,N77+M78-V77,IF(A78&lt;'Données projet'!$A$36,$K$205^A78,IF(A78='Données projet'!$A$36,'Données projet'!$B$36,N77+M78-V77)))</f>
        <v>356.03749999999991</v>
      </c>
      <c r="O78" s="13">
        <f>N78*VLOOKUP('Données projet'!$B$9,Paramètres!$A$1:$I$89,3,0)*VLOOKUP('Données projet'!$B$9,Paramètres!$A$1:$I$89,5,0)</f>
        <v>322.14272999999991</v>
      </c>
      <c r="P78" s="13">
        <f t="shared" si="87"/>
        <v>75.79901699557125</v>
      </c>
      <c r="Q78" s="20">
        <f t="shared" si="54"/>
        <v>693.08187601728639</v>
      </c>
      <c r="R78" s="59">
        <f t="shared" si="55"/>
        <v>964.66459575531871</v>
      </c>
      <c r="S78" s="59">
        <f ca="1">AVERAGE(OFFSET($R$3,0,0,'Données projet'!$E$9+1,1))-AVERAGE(OFFSET($H$3,0,0,'Données projet'!$E$9+1,1))</f>
        <v>737.52606296329941</v>
      </c>
      <c r="T78" s="59">
        <f t="shared" si="88"/>
        <v>270.54143254083715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111.00268104151725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111.00268104151725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259.51369080000001</v>
      </c>
      <c r="AK78" s="13">
        <f t="shared" si="89"/>
        <v>62.618705194634003</v>
      </c>
      <c r="AL78" s="20">
        <f t="shared" si="58"/>
        <v>561.04725635732086</v>
      </c>
      <c r="AM78" s="59">
        <f t="shared" si="59"/>
        <v>832.62997609535319</v>
      </c>
      <c r="AN78" s="59">
        <f ca="1">AVERAGE(OFFSET($AM$3,0,0,'Données projet'!$E$10+1,1))-AVERAGE(OFFSET($H$3,0,0,'Données projet'!$E$10+1,1))</f>
        <v>691.79662395689525</v>
      </c>
      <c r="AO78" s="59">
        <f t="shared" si="90"/>
        <v>213.38682325741539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74.403100611095567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74.403100611095567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693</v>
      </c>
      <c r="BB78" s="12">
        <f>VLOOKUP(A78,'Données projet'!$A$87:$I$107,9,0)</f>
        <v>12.4</v>
      </c>
      <c r="BC78" s="12">
        <f t="array" ref="BC78">INDEX(BB:BB,MIN(IF(ISNUMBER(BB78:BB274),ROW(BB78:BB274),"")))</f>
        <v>12.4</v>
      </c>
      <c r="BD78" s="12">
        <f>IF('Données projet'!$A$88&gt;35,BD77+BC78-BL77,IF(A78&lt;'Données projet'!$A$88,$BA$205^A78,IF(A78='Données projet'!$A$88,'Données projet'!$B$88,BD77+BC78-BL77)))</f>
        <v>693</v>
      </c>
      <c r="BE78" s="13">
        <f>BD78*VLOOKUP('Données projet'!$B$11,Paramètres!$A$1:$I$89,3,0)*VLOOKUP('Données projet'!$B$11,Paramètres!$A$1:$I$89,5,0)</f>
        <v>414.41400000000004</v>
      </c>
      <c r="BF78" s="13">
        <f t="shared" si="91"/>
        <v>94.692834584825818</v>
      </c>
      <c r="BG78" s="20">
        <f t="shared" si="61"/>
        <v>886.6944035685716</v>
      </c>
      <c r="BH78" s="59">
        <f t="shared" si="62"/>
        <v>1158.2771233066039</v>
      </c>
      <c r="BI78" s="59">
        <f ca="1">AVERAGE(OFFSET($BH$3,0,0,'Données projet'!$E$11+1,1))-AVERAGE(OFFSET($H$3,0,0,'Données projet'!$E$11+1,1))</f>
        <v>525.88595000893986</v>
      </c>
      <c r="BJ78" s="59">
        <f t="shared" si="92"/>
        <v>458.67158147469263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30</v>
      </c>
      <c r="BM78" s="16">
        <f>IF(ISNA(VLOOKUP(A78,'Données projet'!$A$87:$I$107,5,0)),0%,VLOOKUP(A78,'Données projet'!$A$87:$I$107,5,0)*VLOOKUP('Données projet'!$B$11,Paramètres!$A$1:$I$89,7,0))</f>
        <v>0.45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96.628838619310301</v>
      </c>
      <c r="BQ78" s="21">
        <f>EXP(-LN(2)/25)*BQ77+(1-EXP(-LN(2)/25))/(LN(2)/25)*Calculateur!BL78*Calculateur!BN78*VLOOKUP('Données projet'!$B$11,Paramètres!$A$1:$I$89,3,0)*0.475*44/12</f>
        <v>16.908620371326119</v>
      </c>
      <c r="BR78" s="21">
        <f>EXP(-LN(2)/2)*BR77+(1-EXP(-LN(2)/2))/(LN(2)/2)*BL78*BO78*VLOOKUP('Données projet'!$B$11,Paramètres!$A$1:$I$89,3,0)*0.475*44/12</f>
        <v>8.8280521285641759E-9</v>
      </c>
      <c r="BS78" s="22">
        <f t="shared" si="63"/>
        <v>113.53745899946448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64.068014474008791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4.4080000000000004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16.16266666666667</v>
      </c>
      <c r="H79" s="66">
        <f t="shared" si="56"/>
        <v>192.01600000000005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11.447499999999998</v>
      </c>
      <c r="N79" s="13">
        <f>IF('Données projet'!$A$36&gt;35,N78+M79-V78,IF(A79&lt;'Données projet'!$A$36,$K$205^A79,IF(A79='Données projet'!$A$36,'Données projet'!$B$36,N78+M79-V78)))</f>
        <v>367.4849999999999</v>
      </c>
      <c r="O79" s="13">
        <f>N79*VLOOKUP('Données projet'!$B$9,Paramètres!$A$1:$I$89,3,0)*VLOOKUP('Données projet'!$B$9,Paramètres!$A$1:$I$89,5,0)</f>
        <v>332.50042799999989</v>
      </c>
      <c r="P79" s="13">
        <f t="shared" si="87"/>
        <v>77.948481725116395</v>
      </c>
      <c r="Q79" s="20">
        <f t="shared" si="54"/>
        <v>714.8651844379109</v>
      </c>
      <c r="R79" s="59">
        <f t="shared" si="55"/>
        <v>986.82522869473451</v>
      </c>
      <c r="S79" s="59">
        <f ca="1">AVERAGE(OFFSET($R$3,0,0,'Données projet'!$E$9+1,1))-AVERAGE(OFFSET($H$3,0,0,'Données projet'!$E$9+1,1))</f>
        <v>737.52606296329941</v>
      </c>
      <c r="T79" s="59">
        <f t="shared" si="88"/>
        <v>270.54143254083715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108.82598617124323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108.82598617124323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268.22368560000001</v>
      </c>
      <c r="AK79" s="13">
        <f t="shared" si="89"/>
        <v>64.472145843304247</v>
      </c>
      <c r="AL79" s="20">
        <f t="shared" si="58"/>
        <v>579.4452397637549</v>
      </c>
      <c r="AM79" s="59">
        <f t="shared" si="59"/>
        <v>851.40528402057839</v>
      </c>
      <c r="AN79" s="59">
        <f ca="1">AVERAGE(OFFSET($AM$3,0,0,'Données projet'!$E$10+1,1))-AVERAGE(OFFSET($H$3,0,0,'Données projet'!$E$10+1,1))</f>
        <v>691.79662395689525</v>
      </c>
      <c r="AO79" s="59">
        <f t="shared" si="90"/>
        <v>213.38682325741539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72.944101189522314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72.944101189522314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</v>
      </c>
      <c r="BD79" s="12">
        <f>IF('Données projet'!$A$88&gt;35,BD78+BC79-BL78,IF(A79&lt;'Données projet'!$A$88,$BA$205^A79,IF(A79='Données projet'!$A$88,'Données projet'!$B$88,BD78+BC79-BL78)))</f>
        <v>674</v>
      </c>
      <c r="BE79" s="13">
        <f>BD79*VLOOKUP('Données projet'!$B$11,Paramètres!$A$1:$I$89,3,0)*VLOOKUP('Données projet'!$B$11,Paramètres!$A$1:$I$89,5,0)</f>
        <v>403.05200000000002</v>
      </c>
      <c r="BF79" s="13">
        <f t="shared" si="91"/>
        <v>92.39513739653853</v>
      </c>
      <c r="BG79" s="20">
        <f t="shared" si="61"/>
        <v>862.9037642989714</v>
      </c>
      <c r="BH79" s="59">
        <f t="shared" si="62"/>
        <v>1134.863808555795</v>
      </c>
      <c r="BI79" s="59">
        <f ca="1">AVERAGE(OFFSET($BH$3,0,0,'Données projet'!$E$11+1,1))-AVERAGE(OFFSET($H$3,0,0,'Données projet'!$E$11+1,1))</f>
        <v>525.88595000893986</v>
      </c>
      <c r="BJ79" s="59">
        <f t="shared" si="92"/>
        <v>458.67158147469263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94.734006031757559</v>
      </c>
      <c r="BQ79" s="21">
        <f>EXP(-LN(2)/25)*BQ78+(1-EXP(-LN(2)/25))/(LN(2)/25)*Calculateur!BL79*Calculateur!BN79*VLOOKUP('Données projet'!$B$11,Paramètres!$A$1:$I$89,3,0)*0.475*44/12</f>
        <v>16.446253258086507</v>
      </c>
      <c r="BR79" s="21">
        <f>EXP(-LN(2)/2)*BR78+(1-EXP(-LN(2)/2))/(LN(2)/2)*BL79*BO79*VLOOKUP('Données projet'!$B$11,Paramètres!$A$1:$I$89,3,0)*0.475*44/12</f>
        <v>6.2423755247760639E-9</v>
      </c>
      <c r="BS79" s="22">
        <f t="shared" si="63"/>
        <v>111.18025929608643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64.170921160951877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4.4080000000000004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16.16266666666667</v>
      </c>
      <c r="H80" s="66">
        <f t="shared" si="56"/>
        <v>192.01600000000005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11.447499999999998</v>
      </c>
      <c r="N80" s="13">
        <f>IF('Données projet'!$A$36&gt;35,N79+M80-V79,IF(A80&lt;'Données projet'!$A$36,$K$205^A80,IF(A80='Données projet'!$A$36,'Données projet'!$B$36,N79+M80-V79)))</f>
        <v>378.93249999999989</v>
      </c>
      <c r="O80" s="13">
        <f>N80*VLOOKUP('Données projet'!$B$9,Paramètres!$A$1:$I$89,3,0)*VLOOKUP('Données projet'!$B$9,Paramètres!$A$1:$I$89,5,0)</f>
        <v>342.85812599999991</v>
      </c>
      <c r="P80" s="13">
        <f t="shared" si="87"/>
        <v>80.090165347018754</v>
      </c>
      <c r="Q80" s="20">
        <f t="shared" si="54"/>
        <v>736.63494076272411</v>
      </c>
      <c r="R80" s="59">
        <f t="shared" si="55"/>
        <v>1008.9657638015092</v>
      </c>
      <c r="S80" s="59">
        <f ca="1">AVERAGE(OFFSET($R$3,0,0,'Données projet'!$E$9+1,1))-AVERAGE(OFFSET($H$3,0,0,'Données projet'!$E$9+1,1))</f>
        <v>737.52606296329941</v>
      </c>
      <c r="T80" s="59">
        <f t="shared" si="88"/>
        <v>270.54143254083715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106.6919749597225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106.6919749597225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276.93368040000007</v>
      </c>
      <c r="AK80" s="13">
        <f t="shared" si="89"/>
        <v>66.318592702518586</v>
      </c>
      <c r="AL80" s="20">
        <f t="shared" si="58"/>
        <v>597.83104232022004</v>
      </c>
      <c r="AM80" s="59">
        <f t="shared" si="59"/>
        <v>870.16186535900511</v>
      </c>
      <c r="AN80" s="59">
        <f ca="1">AVERAGE(OFFSET($AM$3,0,0,'Données projet'!$E$10+1,1))-AVERAGE(OFFSET($H$3,0,0,'Données projet'!$E$10+1,1))</f>
        <v>691.79662395689525</v>
      </c>
      <c r="AO80" s="59">
        <f t="shared" si="90"/>
        <v>213.38682325741539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71.513711856704333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71.513711856704333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</v>
      </c>
      <c r="BD80" s="12">
        <f>IF('Données projet'!$A$88&gt;35,BD79+BC80-BL79,IF(A80&lt;'Données projet'!$A$88,$BA$205^A80,IF(A80='Données projet'!$A$88,'Données projet'!$B$88,BD79+BC80-BL79)))</f>
        <v>685</v>
      </c>
      <c r="BE80" s="13">
        <f>BD80*VLOOKUP('Données projet'!$B$11,Paramètres!$A$1:$I$89,3,0)*VLOOKUP('Données projet'!$B$11,Paramètres!$A$1:$I$89,5,0)</f>
        <v>409.63000000000005</v>
      </c>
      <c r="BF80" s="13">
        <f t="shared" si="91"/>
        <v>93.726288591583938</v>
      </c>
      <c r="BG80" s="20">
        <f t="shared" si="61"/>
        <v>876.67886929700865</v>
      </c>
      <c r="BH80" s="59">
        <f t="shared" si="62"/>
        <v>1149.0096923357937</v>
      </c>
      <c r="BI80" s="59">
        <f ca="1">AVERAGE(OFFSET($BH$3,0,0,'Données projet'!$E$11+1,1))-AVERAGE(OFFSET($H$3,0,0,'Données projet'!$E$11+1,1))</f>
        <v>525.88595000893986</v>
      </c>
      <c r="BJ80" s="59">
        <f t="shared" si="92"/>
        <v>458.67158147469263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92.876329955512972</v>
      </c>
      <c r="BQ80" s="21">
        <f>EXP(-LN(2)/25)*BQ79+(1-EXP(-LN(2)/25))/(LN(2)/25)*Calculateur!BL80*Calculateur!BN80*VLOOKUP('Données projet'!$B$11,Paramètres!$A$1:$I$89,3,0)*0.475*44/12</f>
        <v>15.996529597873261</v>
      </c>
      <c r="BR80" s="21">
        <f>EXP(-LN(2)/2)*BR79+(1-EXP(-LN(2)/2))/(LN(2)/2)*BL80*BO80*VLOOKUP('Données projet'!$B$11,Paramètres!$A$1:$I$89,3,0)*0.475*44/12</f>
        <v>4.4140260642820879E-9</v>
      </c>
      <c r="BS80" s="22">
        <f t="shared" si="63"/>
        <v>108.87285955780025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64.272042646941401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4.4080000000000004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16.16266666666667</v>
      </c>
      <c r="H81" s="66">
        <f t="shared" si="56"/>
        <v>192.01600000000005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11.447499999999998</v>
      </c>
      <c r="N81" s="13">
        <f>IF('Données projet'!$A$36&gt;35,N80+M81-V80,IF(A81&lt;'Données projet'!$A$36,$K$205^A81,IF(A81='Données projet'!$A$36,'Données projet'!$B$36,N80+M81-V80)))</f>
        <v>390.37999999999988</v>
      </c>
      <c r="O81" s="13">
        <f>N81*VLOOKUP('Données projet'!$B$9,Paramètres!$A$1:$I$89,3,0)*VLOOKUP('Données projet'!$B$9,Paramètres!$A$1:$I$89,5,0)</f>
        <v>353.21582399999988</v>
      </c>
      <c r="P81" s="13">
        <f t="shared" si="87"/>
        <v>82.224329909177527</v>
      </c>
      <c r="Q81" s="20">
        <f t="shared" si="54"/>
        <v>758.39160139181729</v>
      </c>
      <c r="R81" s="59">
        <f t="shared" si="55"/>
        <v>1031.0867710296341</v>
      </c>
      <c r="S81" s="59">
        <f ca="1">AVERAGE(OFFSET($R$3,0,0,'Données projet'!$E$9+1,1))-AVERAGE(OFFSET($H$3,0,0,'Données projet'!$E$9+1,1))</f>
        <v>737.52606296329941</v>
      </c>
      <c r="T81" s="59">
        <f t="shared" si="88"/>
        <v>270.54143254083715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104.59981040644138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104.59981040644138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285.64367520000008</v>
      </c>
      <c r="AK81" s="13">
        <f t="shared" si="89"/>
        <v>68.158290974892552</v>
      </c>
      <c r="AL81" s="20">
        <f t="shared" si="58"/>
        <v>616.20509108793794</v>
      </c>
      <c r="AM81" s="59">
        <f t="shared" si="59"/>
        <v>888.90026072575483</v>
      </c>
      <c r="AN81" s="59">
        <f ca="1">AVERAGE(OFFSET($AM$3,0,0,'Données projet'!$E$10+1,1))-AVERAGE(OFFSET($H$3,0,0,'Données projet'!$E$10+1,1))</f>
        <v>691.79662395689525</v>
      </c>
      <c r="AO81" s="59">
        <f t="shared" si="90"/>
        <v>213.38682325741539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70.111371586251565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70.111371586251565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</v>
      </c>
      <c r="BD81" s="12">
        <f>IF('Données projet'!$A$88&gt;35,BD80+BC81-BL80,IF(A81&lt;'Données projet'!$A$88,$BA$205^A81,IF(A81='Données projet'!$A$88,'Données projet'!$B$88,BD80+BC81-BL80)))</f>
        <v>696</v>
      </c>
      <c r="BE81" s="13">
        <f>BD81*VLOOKUP('Données projet'!$B$11,Paramètres!$A$1:$I$89,3,0)*VLOOKUP('Données projet'!$B$11,Paramètres!$A$1:$I$89,5,0)</f>
        <v>416.20800000000003</v>
      </c>
      <c r="BF81" s="13">
        <f t="shared" si="91"/>
        <v>95.054953813743452</v>
      </c>
      <c r="BG81" s="20">
        <f t="shared" si="61"/>
        <v>890.4496445589366</v>
      </c>
      <c r="BH81" s="59">
        <f t="shared" si="62"/>
        <v>1163.1448141967535</v>
      </c>
      <c r="BI81" s="59">
        <f ca="1">AVERAGE(OFFSET($BH$3,0,0,'Données projet'!$E$11+1,1))-AVERAGE(OFFSET($H$3,0,0,'Données projet'!$E$11+1,1))</f>
        <v>525.88595000893986</v>
      </c>
      <c r="BJ81" s="59">
        <f t="shared" si="92"/>
        <v>458.67158147469263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91.055081774053008</v>
      </c>
      <c r="BQ81" s="21">
        <f>EXP(-LN(2)/25)*BQ80+(1-EXP(-LN(2)/25))/(LN(2)/25)*Calculateur!BL81*Calculateur!BN81*VLOOKUP('Données projet'!$B$11,Paramètres!$A$1:$I$89,3,0)*0.475*44/12</f>
        <v>15.559103654798486</v>
      </c>
      <c r="BR81" s="21">
        <f>EXP(-LN(2)/2)*BR80+(1-EXP(-LN(2)/2))/(LN(2)/2)*BL81*BO81*VLOOKUP('Données projet'!$B$11,Paramètres!$A$1:$I$89,3,0)*0.475*44/12</f>
        <v>3.121187762388032E-9</v>
      </c>
      <c r="BS81" s="22">
        <f t="shared" si="63"/>
        <v>106.61418543197269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64.371409901222776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4.4080000000000004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16.16266666666667</v>
      </c>
      <c r="H82" s="66">
        <f t="shared" si="56"/>
        <v>192.01600000000005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11.447499999999998</v>
      </c>
      <c r="N82" s="13">
        <f>IF('Données projet'!$A$36&gt;35,N81+M82-V81,IF(A82&lt;'Données projet'!$A$36,$K$205^A82,IF(A82='Données projet'!$A$36,'Données projet'!$B$36,N81+M82-V81)))</f>
        <v>401.82749999999987</v>
      </c>
      <c r="O82" s="13">
        <f>N82*VLOOKUP('Données projet'!$B$9,Paramètres!$A$1:$I$89,3,0)*VLOOKUP('Données projet'!$B$9,Paramètres!$A$1:$I$89,5,0)</f>
        <v>363.57352199999985</v>
      </c>
      <c r="P82" s="13">
        <f t="shared" si="87"/>
        <v>84.351221217134508</v>
      </c>
      <c r="Q82" s="20">
        <f t="shared" si="54"/>
        <v>780.135594436509</v>
      </c>
      <c r="R82" s="59">
        <f t="shared" si="55"/>
        <v>1053.1887900744214</v>
      </c>
      <c r="S82" s="59">
        <f ca="1">AVERAGE(OFFSET($R$3,0,0,'Données projet'!$E$9+1,1))-AVERAGE(OFFSET($H$3,0,0,'Données projet'!$E$9+1,1))</f>
        <v>737.52606296329941</v>
      </c>
      <c r="T82" s="59">
        <f t="shared" si="88"/>
        <v>270.54143254083715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102.54867192395572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102.54867192395572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294.35367000000014</v>
      </c>
      <c r="AK82" s="13">
        <f t="shared" si="89"/>
        <v>69.991470059671371</v>
      </c>
      <c r="AL82" s="20">
        <f t="shared" si="58"/>
        <v>634.56778560392775</v>
      </c>
      <c r="AM82" s="59">
        <f t="shared" si="59"/>
        <v>907.62098124184001</v>
      </c>
      <c r="AN82" s="59">
        <f ca="1">AVERAGE(OFFSET($AM$3,0,0,'Données projet'!$E$10+1,1))-AVERAGE(OFFSET($H$3,0,0,'Données projet'!$E$10+1,1))</f>
        <v>691.79662395689525</v>
      </c>
      <c r="AO82" s="59">
        <f t="shared" si="90"/>
        <v>213.38682325741539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68.736530353159267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68.736530353159267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</v>
      </c>
      <c r="BD82" s="12">
        <f>IF('Données projet'!$A$88&gt;35,BD81+BC82-BL81,IF(A82&lt;'Données projet'!$A$88,$BA$205^A82,IF(A82='Données projet'!$A$88,'Données projet'!$B$88,BD81+BC82-BL81)))</f>
        <v>707</v>
      </c>
      <c r="BE82" s="13">
        <f>BD82*VLOOKUP('Données projet'!$B$11,Paramètres!$A$1:$I$89,3,0)*VLOOKUP('Données projet'!$B$11,Paramètres!$A$1:$I$89,5,0)</f>
        <v>422.78600000000006</v>
      </c>
      <c r="BF82" s="13">
        <f t="shared" si="91"/>
        <v>96.381176889504729</v>
      </c>
      <c r="BG82" s="20">
        <f t="shared" si="61"/>
        <v>904.21616641588753</v>
      </c>
      <c r="BH82" s="59">
        <f t="shared" si="62"/>
        <v>1177.2693620537998</v>
      </c>
      <c r="BI82" s="59">
        <f ca="1">AVERAGE(OFFSET($BH$3,0,0,'Données projet'!$E$11+1,1))-AVERAGE(OFFSET($H$3,0,0,'Données projet'!$E$11+1,1))</f>
        <v>525.88595000893986</v>
      </c>
      <c r="BJ82" s="59">
        <f t="shared" si="92"/>
        <v>458.67158147469263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89.269547158579783</v>
      </c>
      <c r="BQ82" s="21">
        <f>EXP(-LN(2)/25)*BQ81+(1-EXP(-LN(2)/25))/(LN(2)/25)*Calculateur!BL82*Calculateur!BN82*VLOOKUP('Données projet'!$B$11,Paramètres!$A$1:$I$89,3,0)*0.475*44/12</f>
        <v>15.133639147140322</v>
      </c>
      <c r="BR82" s="21">
        <f>EXP(-LN(2)/2)*BR81+(1-EXP(-LN(2)/2))/(LN(2)/2)*BL82*BO82*VLOOKUP('Données projet'!$B$11,Paramètres!$A$1:$I$89,3,0)*0.475*44/12</f>
        <v>2.207013032141044E-9</v>
      </c>
      <c r="BS82" s="22">
        <f t="shared" si="63"/>
        <v>104.40318630792713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64.469053355794259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4.4080000000000004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16.16266666666667</v>
      </c>
      <c r="H83" s="66">
        <f t="shared" si="56"/>
        <v>192.01600000000005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11.447499999999998</v>
      </c>
      <c r="N83" s="13">
        <f>IF('Données projet'!$A$36&gt;35,N82+M83-V82,IF(A83&lt;'Données projet'!$A$36,$K$205^A83,IF(A83='Données projet'!$A$36,'Données projet'!$B$36,N82+M83-V82)))</f>
        <v>413.27499999999986</v>
      </c>
      <c r="O83" s="13">
        <f>N83*VLOOKUP('Données projet'!$B$9,Paramètres!$A$1:$I$89,3,0)*VLOOKUP('Données projet'!$B$9,Paramètres!$A$1:$I$89,5,0)</f>
        <v>373.93121999999988</v>
      </c>
      <c r="P83" s="13">
        <f t="shared" si="87"/>
        <v>86.471070274502594</v>
      </c>
      <c r="Q83" s="20">
        <f t="shared" si="54"/>
        <v>801.86732222809178</v>
      </c>
      <c r="R83" s="59">
        <f t="shared" si="55"/>
        <v>1075.2723329154242</v>
      </c>
      <c r="S83" s="59">
        <f ca="1">AVERAGE(OFFSET($R$3,0,0,'Données projet'!$E$9+1,1))-AVERAGE(OFFSET($H$3,0,0,'Données projet'!$E$9+1,1))</f>
        <v>737.52606296329941</v>
      </c>
      <c r="T83" s="59">
        <f t="shared" si="88"/>
        <v>270.54143254083715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100.53775501604068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100.53775501604068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303.06366480000008</v>
      </c>
      <c r="AK83" s="13">
        <f t="shared" si="89"/>
        <v>71.818345008393493</v>
      </c>
      <c r="AL83" s="20">
        <f t="shared" si="58"/>
        <v>652.91950041628559</v>
      </c>
      <c r="AM83" s="59">
        <f t="shared" si="59"/>
        <v>926.32451110361785</v>
      </c>
      <c r="AN83" s="59">
        <f ca="1">AVERAGE(OFFSET($AM$3,0,0,'Données projet'!$E$10+1,1))-AVERAGE(OFFSET($H$3,0,0,'Données projet'!$E$10+1,1))</f>
        <v>691.79662395689525</v>
      </c>
      <c r="AO83" s="59">
        <f t="shared" si="90"/>
        <v>213.38682325741539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67.388648918077564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67.388648918077564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718</v>
      </c>
      <c r="BB83" s="12">
        <f>VLOOKUP(A83,'Données projet'!$A$87:$I$107,9,0)</f>
        <v>11</v>
      </c>
      <c r="BC83" s="12">
        <f t="array" ref="BC83">INDEX(BB:BB,MIN(IF(ISNUMBER(BB83:BB279),ROW(BB83:BB279),"")))</f>
        <v>11</v>
      </c>
      <c r="BD83" s="12">
        <f>IF('Données projet'!$A$88&gt;35,BD82+BC83-BL82,IF(A83&lt;'Données projet'!$A$88,$BA$205^A83,IF(A83='Données projet'!$A$88,'Données projet'!$B$88,BD82+BC83-BL82)))</f>
        <v>718</v>
      </c>
      <c r="BE83" s="13">
        <f>BD83*VLOOKUP('Données projet'!$B$11,Paramètres!$A$1:$I$89,3,0)*VLOOKUP('Données projet'!$B$11,Paramètres!$A$1:$I$89,5,0)</f>
        <v>429.36400000000003</v>
      </c>
      <c r="BF83" s="13">
        <f t="shared" si="91"/>
        <v>97.705000203350068</v>
      </c>
      <c r="BG83" s="20">
        <f t="shared" si="61"/>
        <v>917.9785086875014</v>
      </c>
      <c r="BH83" s="59">
        <f t="shared" si="62"/>
        <v>1191.3835193748337</v>
      </c>
      <c r="BI83" s="59">
        <f ca="1">AVERAGE(OFFSET($BH$3,0,0,'Données projet'!$E$11+1,1))-AVERAGE(OFFSET($H$3,0,0,'Données projet'!$E$11+1,1))</f>
        <v>525.88595000893986</v>
      </c>
      <c r="BJ83" s="59">
        <f t="shared" si="92"/>
        <v>458.67158147469263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29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97.871402141652027</v>
      </c>
      <c r="BQ83" s="21">
        <f>EXP(-LN(2)/25)*BQ82+(1-EXP(-LN(2)/25))/(LN(2)/25)*Calculateur!BL83*Calculateur!BN83*VLOOKUP('Données projet'!$B$11,Paramètres!$A$1:$I$89,3,0)*0.475*44/12</f>
        <v>14.719808988818276</v>
      </c>
      <c r="BR83" s="21">
        <f>EXP(-LN(2)/2)*BR82+(1-EXP(-LN(2)/2))/(LN(2)/2)*BL83*BO83*VLOOKUP('Données projet'!$B$11,Paramètres!$A$1:$I$89,3,0)*0.475*44/12</f>
        <v>1.560593881194016E-9</v>
      </c>
      <c r="BS83" s="22">
        <f t="shared" si="63"/>
        <v>112.59121113203089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64.565002914727003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4.4080000000000004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16.16266666666667</v>
      </c>
      <c r="H84" s="66">
        <f t="shared" si="56"/>
        <v>192.01600000000005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11.447499999999998</v>
      </c>
      <c r="N84" s="13">
        <f>IF('Données projet'!$A$36&gt;35,N83+M84-V83,IF(A84&lt;'Données projet'!$A$36,$K$205^A84,IF(A84='Données projet'!$A$36,'Données projet'!$B$36,N83+M84-V83)))</f>
        <v>424.72249999999985</v>
      </c>
      <c r="O84" s="13">
        <f>N84*VLOOKUP('Données projet'!$B$9,Paramètres!$A$1:$I$89,3,0)*VLOOKUP('Données projet'!$B$9,Paramètres!$A$1:$I$89,5,0)</f>
        <v>384.28891799999985</v>
      </c>
      <c r="P84" s="13">
        <f t="shared" si="87"/>
        <v>88.584094559310827</v>
      </c>
      <c r="Q84" s="20">
        <f t="shared" si="54"/>
        <v>823.58716354079934</v>
      </c>
      <c r="R84" s="59">
        <f t="shared" si="55"/>
        <v>1097.3378860729849</v>
      </c>
      <c r="S84" s="59">
        <f ca="1">AVERAGE(OFFSET($R$3,0,0,'Données projet'!$E$9+1,1))-AVERAGE(OFFSET($H$3,0,0,'Données projet'!$E$9+1,1))</f>
        <v>737.52606296329941</v>
      </c>
      <c r="T84" s="59">
        <f t="shared" si="88"/>
        <v>270.54143254083715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98.566270962151634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98.566270962151634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311.77365960000014</v>
      </c>
      <c r="AK84" s="13">
        <f t="shared" si="89"/>
        <v>73.639117808510434</v>
      </c>
      <c r="AL84" s="20">
        <f t="shared" si="58"/>
        <v>671.26058731982255</v>
      </c>
      <c r="AM84" s="59">
        <f t="shared" si="59"/>
        <v>945.01130985200803</v>
      </c>
      <c r="AN84" s="59">
        <f ca="1">AVERAGE(OFFSET($AM$3,0,0,'Données projet'!$E$10+1,1))-AVERAGE(OFFSET($H$3,0,0,'Données projet'!$E$10+1,1))</f>
        <v>691.79662395689525</v>
      </c>
      <c r="AO84" s="59">
        <f t="shared" si="90"/>
        <v>213.38682325741539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66.067198615811321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66.067198615811321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689</v>
      </c>
      <c r="BE84" s="13">
        <f>BD84*VLOOKUP('Données projet'!$B$11,Paramètres!$A$1:$I$89,3,0)*VLOOKUP('Données projet'!$B$11,Paramètres!$A$1:$I$89,5,0)</f>
        <v>412.02199999999999</v>
      </c>
      <c r="BF84" s="13">
        <f t="shared" si="91"/>
        <v>94.209724877926391</v>
      </c>
      <c r="BG84" s="20">
        <f t="shared" si="61"/>
        <v>881.686920829055</v>
      </c>
      <c r="BH84" s="59">
        <f t="shared" si="62"/>
        <v>1155.4376433612406</v>
      </c>
      <c r="BI84" s="59">
        <f ca="1">AVERAGE(OFFSET($BH$3,0,0,'Données projet'!$E$11+1,1))-AVERAGE(OFFSET($H$3,0,0,'Données projet'!$E$11+1,1))</f>
        <v>525.88595000893986</v>
      </c>
      <c r="BJ84" s="59">
        <f t="shared" si="92"/>
        <v>458.67158147469263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95.95220364131508</v>
      </c>
      <c r="BQ84" s="21">
        <f>EXP(-LN(2)/25)*BQ83+(1-EXP(-LN(2)/25))/(LN(2)/25)*Calculateur!BL84*Calculateur!BN84*VLOOKUP('Données projet'!$B$11,Paramètres!$A$1:$I$89,3,0)*0.475*44/12</f>
        <v>14.317295037937928</v>
      </c>
      <c r="BR84" s="21">
        <f>EXP(-LN(2)/2)*BR83+(1-EXP(-LN(2)/2))/(LN(2)/2)*BL84*BO84*VLOOKUP('Données projet'!$B$11,Paramètres!$A$1:$I$89,3,0)*0.475*44/12</f>
        <v>1.103506516070522E-9</v>
      </c>
      <c r="BS84" s="22">
        <f t="shared" si="63"/>
        <v>110.26949868035651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64.659287963323322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4.4080000000000004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16.16266666666667</v>
      </c>
      <c r="H85" s="66">
        <f t="shared" si="56"/>
        <v>192.01600000000005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436.17</v>
      </c>
      <c r="L85" s="12">
        <f>VLOOKUP(A85,'Données projet'!$A$35:$I$55,9,0)</f>
        <v>11.447499999999998</v>
      </c>
      <c r="M85" s="12">
        <f t="array" ref="M85">INDEX(L:L,MIN(IF(ISNUMBER(L85:L281),ROW(L85:L281),"")))</f>
        <v>11.447499999999998</v>
      </c>
      <c r="N85" s="13">
        <f>IF('Données projet'!$A$36&gt;35,N84+M85-V84,IF(A85&lt;'Données projet'!$A$36,$K$205^A85,IF(A85='Données projet'!$A$36,'Données projet'!$B$36,N84+M85-V84)))</f>
        <v>436.16999999999985</v>
      </c>
      <c r="O85" s="13">
        <f>N85*VLOOKUP('Données projet'!$B$9,Paramètres!$A$1:$I$89,3,0)*VLOOKUP('Données projet'!$B$9,Paramètres!$A$1:$I$89,5,0)</f>
        <v>394.64661599999982</v>
      </c>
      <c r="P85" s="13">
        <f t="shared" si="87"/>
        <v>90.690499158874985</v>
      </c>
      <c r="Q85" s="20">
        <f t="shared" si="54"/>
        <v>845.2954755683736</v>
      </c>
      <c r="R85" s="59">
        <f t="shared" si="55"/>
        <v>1119.3859126177999</v>
      </c>
      <c r="S85" s="59">
        <f ca="1">AVERAGE(OFFSET($R$3,0,0,'Données projet'!$E$9+1,1))-AVERAGE(OFFSET($H$3,0,0,'Données projet'!$E$9+1,1))</f>
        <v>737.52606296329941</v>
      </c>
      <c r="T85" s="59">
        <f t="shared" si="88"/>
        <v>270.54143254083715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53.92</v>
      </c>
      <c r="W85" s="16">
        <f>IF(ISNA(VLOOKUP(A85,'Données projet'!$A$35:$I$55,5,0)),0%,VLOOKUP(A85,'Données projet'!$A$35:$I$55,5,0)*VLOOKUP('Données projet'!$B$9,Paramètres!$A$1:$I$89,7,0))</f>
        <v>0.43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119.82436990795424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119.82436990795424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320.48365440000015</v>
      </c>
      <c r="AK85" s="13">
        <f t="shared" si="89"/>
        <v>75.453978519530921</v>
      </c>
      <c r="AL85" s="20">
        <f t="shared" si="58"/>
        <v>689.59137733484988</v>
      </c>
      <c r="AM85" s="59">
        <f t="shared" si="59"/>
        <v>963.68181438427632</v>
      </c>
      <c r="AN85" s="59">
        <f ca="1">AVERAGE(OFFSET($AM$3,0,0,'Données projet'!$E$10+1,1))-AVERAGE(OFFSET($H$3,0,0,'Données projet'!$E$10+1,1))</f>
        <v>691.79662395689525</v>
      </c>
      <c r="AO85" s="59">
        <f t="shared" si="90"/>
        <v>213.38682325741539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64.771661147967421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64.771661147967421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689</v>
      </c>
      <c r="BE85" s="13">
        <f>BD85*VLOOKUP('Données projet'!$B$11,Paramètres!$A$1:$I$89,3,0)*VLOOKUP('Données projet'!$B$11,Paramètres!$A$1:$I$89,5,0)</f>
        <v>412.02199999999999</v>
      </c>
      <c r="BF85" s="13">
        <f t="shared" si="91"/>
        <v>94.209724877926391</v>
      </c>
      <c r="BG85" s="20">
        <f t="shared" si="61"/>
        <v>881.686920829055</v>
      </c>
      <c r="BH85" s="59">
        <f t="shared" si="62"/>
        <v>1155.7773578784813</v>
      </c>
      <c r="BI85" s="59">
        <f ca="1">AVERAGE(OFFSET($BH$3,0,0,'Données projet'!$E$11+1,1))-AVERAGE(OFFSET($H$3,0,0,'Données projet'!$E$11+1,1))</f>
        <v>525.88595000893986</v>
      </c>
      <c r="BJ85" s="59">
        <f t="shared" si="92"/>
        <v>458.67158147469263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94.070639452974248</v>
      </c>
      <c r="BQ85" s="21">
        <f>EXP(-LN(2)/25)*BQ84+(1-EXP(-LN(2)/25))/(LN(2)/25)*Calculateur!BL85*Calculateur!BN85*VLOOKUP('Données projet'!$B$11,Paramètres!$A$1:$I$89,3,0)*0.475*44/12</f>
        <v>13.925787852211691</v>
      </c>
      <c r="BR85" s="21">
        <f>EXP(-LN(2)/2)*BR84+(1-EXP(-LN(2)/2))/(LN(2)/2)*BL85*BO85*VLOOKUP('Données projet'!$B$11,Paramètres!$A$1:$I$89,3,0)*0.475*44/12</f>
        <v>7.8029694059700799E-10</v>
      </c>
      <c r="BS85" s="22">
        <f t="shared" si="63"/>
        <v>107.99642730596624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64.751937377116306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4.4080000000000004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16.16266666666667</v>
      </c>
      <c r="H86" s="66">
        <f t="shared" si="56"/>
        <v>192.01600000000005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11.14</v>
      </c>
      <c r="N86" s="13">
        <f>IF('Données projet'!$A$36&gt;35,N85+M86-V85,IF(A86&lt;'Données projet'!$A$36,$K$205^A86,IF(A86='Données projet'!$A$36,'Données projet'!$B$36,N85+M86-V85)))</f>
        <v>393.38999999999982</v>
      </c>
      <c r="O86" s="13">
        <f>N86*VLOOKUP('Données projet'!$B$9,Paramètres!$A$1:$I$89,3,0)*VLOOKUP('Données projet'!$B$9,Paramètres!$A$1:$I$89,5,0)</f>
        <v>355.93927199999985</v>
      </c>
      <c r="P86" s="13">
        <f t="shared" si="87"/>
        <v>82.784268771868526</v>
      </c>
      <c r="Q86" s="20">
        <f t="shared" si="54"/>
        <v>764.11016684433741</v>
      </c>
      <c r="R86" s="59">
        <f t="shared" si="55"/>
        <v>1038.5344251236186</v>
      </c>
      <c r="S86" s="59">
        <f ca="1">AVERAGE(OFFSET($R$3,0,0,'Données projet'!$E$9+1,1))-AVERAGE(OFFSET($H$3,0,0,'Données projet'!$E$9+1,1))</f>
        <v>737.52606296329941</v>
      </c>
      <c r="T86" s="59">
        <f t="shared" si="88"/>
        <v>270.54143254083715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117.47468709970829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117.47468709970829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329.19364920000021</v>
      </c>
      <c r="AK86" s="13">
        <f t="shared" si="89"/>
        <v>77.263106282182619</v>
      </c>
      <c r="AL86" s="20">
        <f t="shared" si="58"/>
        <v>707.91218246480173</v>
      </c>
      <c r="AM86" s="59">
        <f t="shared" si="59"/>
        <v>982.33644074408289</v>
      </c>
      <c r="AN86" s="59">
        <f ca="1">AVERAGE(OFFSET($AM$3,0,0,'Données projet'!$E$10+1,1))-AVERAGE(OFFSET($H$3,0,0,'Données projet'!$E$10+1,1))</f>
        <v>691.79662395689525</v>
      </c>
      <c r="AO86" s="59">
        <f t="shared" si="90"/>
        <v>213.38682325741539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63.501528379668109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63.501528379668109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689</v>
      </c>
      <c r="BE86" s="13">
        <f>BD86*VLOOKUP('Données projet'!$B$11,Paramètres!$A$1:$I$89,3,0)*VLOOKUP('Données projet'!$B$11,Paramètres!$A$1:$I$89,5,0)</f>
        <v>412.02199999999999</v>
      </c>
      <c r="BF86" s="13">
        <f t="shared" si="91"/>
        <v>94.209724877926391</v>
      </c>
      <c r="BG86" s="20">
        <f t="shared" si="61"/>
        <v>881.686920829055</v>
      </c>
      <c r="BH86" s="59">
        <f t="shared" si="62"/>
        <v>1156.111179108336</v>
      </c>
      <c r="BI86" s="59">
        <f ca="1">AVERAGE(OFFSET($BH$3,0,0,'Données projet'!$E$11+1,1))-AVERAGE(OFFSET($H$3,0,0,'Données projet'!$E$11+1,1))</f>
        <v>525.88595000893986</v>
      </c>
      <c r="BJ86" s="59">
        <f t="shared" si="92"/>
        <v>458.67158147469263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92.225971590725933</v>
      </c>
      <c r="BQ86" s="21">
        <f>EXP(-LN(2)/25)*BQ85+(1-EXP(-LN(2)/25))/(LN(2)/25)*Calculateur!BL86*Calculateur!BN86*VLOOKUP('Données projet'!$B$11,Paramètres!$A$1:$I$89,3,0)*0.475*44/12</f>
        <v>13.544986451067608</v>
      </c>
      <c r="BR86" s="21">
        <f>EXP(-LN(2)/2)*BR85+(1-EXP(-LN(2)/2))/(LN(2)/2)*BL86*BO86*VLOOKUP('Données projet'!$B$11,Paramètres!$A$1:$I$89,3,0)*0.475*44/12</f>
        <v>5.5175325803526099E-10</v>
      </c>
      <c r="BS86" s="22">
        <f t="shared" si="63"/>
        <v>105.77095804234528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64.842979530713038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4.4080000000000004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16.16266666666667</v>
      </c>
      <c r="H87" s="66">
        <f t="shared" si="56"/>
        <v>192.01600000000005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11.14</v>
      </c>
      <c r="N87" s="13">
        <f>IF('Données projet'!$A$36&gt;35,N86+M87-V86,IF(A87&lt;'Données projet'!$A$36,$K$205^A87,IF(A87='Données projet'!$A$36,'Données projet'!$B$36,N86+M87-V86)))</f>
        <v>404.5299999999998</v>
      </c>
      <c r="O87" s="13">
        <f>N87*VLOOKUP('Données projet'!$B$9,Paramètres!$A$1:$I$89,3,0)*VLOOKUP('Données projet'!$B$9,Paramètres!$A$1:$I$89,5,0)</f>
        <v>366.0187439999998</v>
      </c>
      <c r="P87" s="13">
        <f t="shared" si="87"/>
        <v>84.852297129554586</v>
      </c>
      <c r="Q87" s="20">
        <f t="shared" si="54"/>
        <v>785.26706330064053</v>
      </c>
      <c r="R87" s="59">
        <f t="shared" si="55"/>
        <v>1060.0193517577509</v>
      </c>
      <c r="S87" s="59">
        <f ca="1">AVERAGE(OFFSET($R$3,0,0,'Données projet'!$E$9+1,1))-AVERAGE(OFFSET($H$3,0,0,'Données projet'!$E$9+1,1))</f>
        <v>737.52606296329941</v>
      </c>
      <c r="T87" s="59">
        <f t="shared" si="88"/>
        <v>270.54143254083715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115.17108013816704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115.17108013816704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337.90364400000021</v>
      </c>
      <c r="AK87" s="13">
        <f t="shared" si="89"/>
        <v>79.066670217764241</v>
      </c>
      <c r="AL87" s="20">
        <f t="shared" si="58"/>
        <v>726.22329726260625</v>
      </c>
      <c r="AM87" s="59">
        <f t="shared" si="59"/>
        <v>1000.9755857197165</v>
      </c>
      <c r="AN87" s="59">
        <f ca="1">AVERAGE(OFFSET($AM$3,0,0,'Données projet'!$E$10+1,1))-AVERAGE(OFFSET($H$3,0,0,'Données projet'!$E$10+1,1))</f>
        <v>691.79662395689525</v>
      </c>
      <c r="AO87" s="59">
        <f t="shared" si="90"/>
        <v>213.38682325741539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90.061962423951059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90.061962423951059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689</v>
      </c>
      <c r="BE87" s="13">
        <f>BD87*VLOOKUP('Données projet'!$B$11,Paramètres!$A$1:$I$89,3,0)*VLOOKUP('Données projet'!$B$11,Paramètres!$A$1:$I$89,5,0)</f>
        <v>412.02199999999999</v>
      </c>
      <c r="BF87" s="13">
        <f t="shared" si="91"/>
        <v>94.209724877926391</v>
      </c>
      <c r="BG87" s="20">
        <f t="shared" si="61"/>
        <v>881.686920829055</v>
      </c>
      <c r="BH87" s="59">
        <f t="shared" si="62"/>
        <v>1156.4392092861654</v>
      </c>
      <c r="BI87" s="59">
        <f ca="1">AVERAGE(OFFSET($BH$3,0,0,'Données projet'!$E$11+1,1))-AVERAGE(OFFSET($H$3,0,0,'Données projet'!$E$11+1,1))</f>
        <v>525.88595000893986</v>
      </c>
      <c r="BJ87" s="59">
        <f t="shared" si="92"/>
        <v>458.67158147469263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90.41747654012002</v>
      </c>
      <c r="BQ87" s="21">
        <f>EXP(-LN(2)/25)*BQ86+(1-EXP(-LN(2)/25))/(LN(2)/25)*Calculateur!BL87*Calculateur!BN87*VLOOKUP('Données projet'!$B$11,Paramètres!$A$1:$I$89,3,0)*0.475*44/12</f>
        <v>13.174598084263284</v>
      </c>
      <c r="BR87" s="21">
        <f>EXP(-LN(2)/2)*BR86+(1-EXP(-LN(2)/2))/(LN(2)/2)*BL87*BO87*VLOOKUP('Données projet'!$B$11,Paramètres!$A$1:$I$89,3,0)*0.475*44/12</f>
        <v>3.90148470298504E-10</v>
      </c>
      <c r="BS87" s="22">
        <f t="shared" si="63"/>
        <v>103.59207462477345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64.932442306484617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4.4080000000000004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16.16266666666667</v>
      </c>
      <c r="H88" s="66">
        <f t="shared" si="56"/>
        <v>192.01600000000005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11.14</v>
      </c>
      <c r="N88" s="13">
        <f>IF('Données projet'!$A$36&gt;35,N87+M88-V87,IF(A88&lt;'Données projet'!$A$36,$K$205^A88,IF(A88='Données projet'!$A$36,'Données projet'!$B$36,N87+M88-V87)))</f>
        <v>415.66999999999979</v>
      </c>
      <c r="O88" s="13">
        <f>N88*VLOOKUP('Données projet'!$B$9,Paramètres!$A$1:$I$89,3,0)*VLOOKUP('Données projet'!$B$9,Paramètres!$A$1:$I$89,5,0)</f>
        <v>376.09821599999981</v>
      </c>
      <c r="P88" s="13">
        <f t="shared" si="87"/>
        <v>86.913706278646288</v>
      </c>
      <c r="Q88" s="20">
        <f t="shared" si="54"/>
        <v>806.41243130197529</v>
      </c>
      <c r="R88" s="59">
        <f t="shared" si="55"/>
        <v>1081.4870593466949</v>
      </c>
      <c r="S88" s="59">
        <f ca="1">AVERAGE(OFFSET($R$3,0,0,'Données projet'!$E$9+1,1))-AVERAGE(OFFSET($H$3,0,0,'Données projet'!$E$9+1,1))</f>
        <v>737.52606296329941</v>
      </c>
      <c r="T88" s="59">
        <f t="shared" si="88"/>
        <v>270.54143254083715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112.91264550408012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112.91264550408012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287.64108360000017</v>
      </c>
      <c r="AK88" s="13">
        <f t="shared" si="89"/>
        <v>68.5792504949669</v>
      </c>
      <c r="AL88" s="20">
        <f t="shared" si="58"/>
        <v>620.41708188206758</v>
      </c>
      <c r="AM88" s="59">
        <f t="shared" si="59"/>
        <v>895.49170992678728</v>
      </c>
      <c r="AN88" s="59">
        <f ca="1">AVERAGE(OFFSET($AM$3,0,0,'Données projet'!$E$10+1,1))-AVERAGE(OFFSET($H$3,0,0,'Données projet'!$E$10+1,1))</f>
        <v>691.79662395689525</v>
      </c>
      <c r="AO88" s="59">
        <f t="shared" si="90"/>
        <v>213.38682325741539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88.295902273190336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88.295902273190336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689</v>
      </c>
      <c r="BE88" s="13">
        <f>BD88*VLOOKUP('Données projet'!$B$11,Paramètres!$A$1:$I$89,3,0)*VLOOKUP('Données projet'!$B$11,Paramètres!$A$1:$I$89,5,0)</f>
        <v>412.02199999999999</v>
      </c>
      <c r="BF88" s="13">
        <f t="shared" si="91"/>
        <v>94.209724877926391</v>
      </c>
      <c r="BG88" s="20">
        <f t="shared" si="61"/>
        <v>881.686920829055</v>
      </c>
      <c r="BH88" s="59">
        <f t="shared" si="62"/>
        <v>1156.7615488737747</v>
      </c>
      <c r="BI88" s="59">
        <f ca="1">AVERAGE(OFFSET($BH$3,0,0,'Données projet'!$E$11+1,1))-AVERAGE(OFFSET($H$3,0,0,'Données projet'!$E$11+1,1))</f>
        <v>525.88595000893986</v>
      </c>
      <c r="BJ88" s="59">
        <f t="shared" si="92"/>
        <v>458.67158147469263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88.644444974383418</v>
      </c>
      <c r="BQ88" s="21">
        <f>EXP(-LN(2)/25)*BQ87+(1-EXP(-LN(2)/25))/(LN(2)/25)*Calculateur!BL88*Calculateur!BN88*VLOOKUP('Données projet'!$B$11,Paramètres!$A$1:$I$89,3,0)*0.475*44/12</f>
        <v>12.814338006827102</v>
      </c>
      <c r="BR88" s="21">
        <f>EXP(-LN(2)/2)*BR87+(1-EXP(-LN(2)/2))/(LN(2)/2)*BL88*BO88*VLOOKUP('Données projet'!$B$11,Paramètres!$A$1:$I$89,3,0)*0.475*44/12</f>
        <v>2.758766290176305E-10</v>
      </c>
      <c r="BS88" s="22">
        <f t="shared" si="63"/>
        <v>101.45878298148639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65.020353103105364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4.4080000000000004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16.16266666666667</v>
      </c>
      <c r="H89" s="66">
        <f t="shared" si="56"/>
        <v>192.01600000000005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11.14</v>
      </c>
      <c r="N89" s="13">
        <f>IF('Données projet'!$A$36&gt;35,N88+M89-V88,IF(A89&lt;'Données projet'!$A$36,$K$205^A89,IF(A89='Données projet'!$A$36,'Données projet'!$B$36,N88+M89-V88)))</f>
        <v>426.80999999999977</v>
      </c>
      <c r="O89" s="13">
        <f>N89*VLOOKUP('Données projet'!$B$9,Paramètres!$A$1:$I$89,3,0)*VLOOKUP('Données projet'!$B$9,Paramètres!$A$1:$I$89,5,0)</f>
        <v>386.17768799999982</v>
      </c>
      <c r="P89" s="13">
        <f t="shared" si="87"/>
        <v>88.968694002826282</v>
      </c>
      <c r="Q89" s="20">
        <f t="shared" si="54"/>
        <v>827.54661532158877</v>
      </c>
      <c r="R89" s="59">
        <f t="shared" si="55"/>
        <v>1102.9379910827163</v>
      </c>
      <c r="S89" s="59">
        <f ca="1">AVERAGE(OFFSET($R$3,0,0,'Données projet'!$E$9+1,1))-AVERAGE(OFFSET($H$3,0,0,'Données projet'!$E$9+1,1))</f>
        <v>737.52606296329941</v>
      </c>
      <c r="T89" s="59">
        <f t="shared" si="88"/>
        <v>270.54143254083715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110.69849739565852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110.69849739565852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295.87337520000017</v>
      </c>
      <c r="AK89" s="13">
        <f t="shared" si="89"/>
        <v>70.310668272809806</v>
      </c>
      <c r="AL89" s="20">
        <f t="shared" si="58"/>
        <v>637.77054238181074</v>
      </c>
      <c r="AM89" s="59">
        <f t="shared" si="59"/>
        <v>913.16191814293825</v>
      </c>
      <c r="AN89" s="59">
        <f ca="1">AVERAGE(OFFSET($AM$3,0,0,'Données projet'!$E$10+1,1))-AVERAGE(OFFSET($H$3,0,0,'Données projet'!$E$10+1,1))</f>
        <v>691.79662395689525</v>
      </c>
      <c r="AO89" s="59">
        <f t="shared" si="90"/>
        <v>213.38682325741539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86.564473484795698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86.564473484795698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689</v>
      </c>
      <c r="BE89" s="13">
        <f>BD89*VLOOKUP('Données projet'!$B$11,Paramètres!$A$1:$I$89,3,0)*VLOOKUP('Données projet'!$B$11,Paramètres!$A$1:$I$89,5,0)</f>
        <v>412.02199999999999</v>
      </c>
      <c r="BF89" s="13">
        <f t="shared" si="91"/>
        <v>94.209724877926391</v>
      </c>
      <c r="BG89" s="20">
        <f t="shared" si="61"/>
        <v>881.686920829055</v>
      </c>
      <c r="BH89" s="59">
        <f t="shared" si="62"/>
        <v>1157.0782965901824</v>
      </c>
      <c r="BI89" s="59">
        <f ca="1">AVERAGE(OFFSET($BH$3,0,0,'Données projet'!$E$11+1,1))-AVERAGE(OFFSET($H$3,0,0,'Données projet'!$E$11+1,1))</f>
        <v>525.88595000893986</v>
      </c>
      <c r="BJ89" s="59">
        <f t="shared" si="92"/>
        <v>458.67158147469263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86.906181476208445</v>
      </c>
      <c r="BQ89" s="21">
        <f>EXP(-LN(2)/25)*BQ88+(1-EXP(-LN(2)/25))/(LN(2)/25)*Calculateur!BL89*Calculateur!BN89*VLOOKUP('Données projet'!$B$11,Paramètres!$A$1:$I$89,3,0)*0.475*44/12</f>
        <v>12.463929260153666</v>
      </c>
      <c r="BR89" s="21">
        <f>EXP(-LN(2)/2)*BR88+(1-EXP(-LN(2)/2))/(LN(2)/2)*BL89*BO89*VLOOKUP('Données projet'!$B$11,Paramètres!$A$1:$I$89,3,0)*0.475*44/12</f>
        <v>1.95074235149252E-10</v>
      </c>
      <c r="BS89" s="22">
        <f t="shared" si="63"/>
        <v>99.37011073655718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65.106738843943845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4.4080000000000004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16.16266666666667</v>
      </c>
      <c r="H90" s="66">
        <f t="shared" si="56"/>
        <v>192.01600000000005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11.14</v>
      </c>
      <c r="N90" s="13">
        <f>IF('Données projet'!$A$36&gt;35,N89+M90-V89,IF(A90&lt;'Données projet'!$A$36,$K$205^A90,IF(A90='Données projet'!$A$36,'Données projet'!$B$36,N89+M90-V89)))</f>
        <v>437.94999999999976</v>
      </c>
      <c r="O90" s="13">
        <f>N90*VLOOKUP('Données projet'!$B$9,Paramètres!$A$1:$I$89,3,0)*VLOOKUP('Données projet'!$B$9,Paramètres!$A$1:$I$89,5,0)</f>
        <v>396.25715999999977</v>
      </c>
      <c r="P90" s="13">
        <f t="shared" si="87"/>
        <v>91.017447173180457</v>
      </c>
      <c r="Q90" s="20">
        <f t="shared" si="54"/>
        <v>848.66994082662222</v>
      </c>
      <c r="R90" s="59">
        <f t="shared" si="55"/>
        <v>1124.3725694394195</v>
      </c>
      <c r="S90" s="59">
        <f ca="1">AVERAGE(OFFSET($R$3,0,0,'Données projet'!$E$9+1,1))-AVERAGE(OFFSET($H$3,0,0,'Données projet'!$E$9+1,1))</f>
        <v>737.52606296329941</v>
      </c>
      <c r="T90" s="59">
        <f t="shared" si="88"/>
        <v>270.54143254083715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108.52776738114608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108.52776738114608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304.10566680000022</v>
      </c>
      <c r="AK90" s="13">
        <f t="shared" si="89"/>
        <v>72.036486852364632</v>
      </c>
      <c r="AL90" s="20">
        <f t="shared" si="58"/>
        <v>655.11425094453546</v>
      </c>
      <c r="AM90" s="59">
        <f t="shared" si="59"/>
        <v>930.81687955733275</v>
      </c>
      <c r="AN90" s="59">
        <f ca="1">AVERAGE(OFFSET($AM$3,0,0,'Données projet'!$E$10+1,1))-AVERAGE(OFFSET($H$3,0,0,'Données projet'!$E$10+1,1))</f>
        <v>691.79662395689525</v>
      </c>
      <c r="AO90" s="59">
        <f t="shared" si="90"/>
        <v>213.38682325741539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84.866996958874196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84.866996958874196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689</v>
      </c>
      <c r="BE90" s="13">
        <f>BD90*VLOOKUP('Données projet'!$B$11,Paramètres!$A$1:$I$89,3,0)*VLOOKUP('Données projet'!$B$11,Paramètres!$A$1:$I$89,5,0)</f>
        <v>412.02199999999999</v>
      </c>
      <c r="BF90" s="13">
        <f t="shared" si="91"/>
        <v>94.209724877926391</v>
      </c>
      <c r="BG90" s="20">
        <f t="shared" si="61"/>
        <v>881.686920829055</v>
      </c>
      <c r="BH90" s="59">
        <f t="shared" si="62"/>
        <v>1157.3895494418523</v>
      </c>
      <c r="BI90" s="59">
        <f ca="1">AVERAGE(OFFSET($BH$3,0,0,'Données projet'!$E$11+1,1))-AVERAGE(OFFSET($H$3,0,0,'Données projet'!$E$11+1,1))</f>
        <v>525.88595000893986</v>
      </c>
      <c r="BJ90" s="59">
        <f t="shared" si="92"/>
        <v>458.67158147469263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85.202004264996646</v>
      </c>
      <c r="BQ90" s="21">
        <f>EXP(-LN(2)/25)*BQ89+(1-EXP(-LN(2)/25))/(LN(2)/25)*Calculateur!BL90*Calculateur!BN90*VLOOKUP('Données projet'!$B$11,Paramètres!$A$1:$I$89,3,0)*0.475*44/12</f>
        <v>12.12310245908521</v>
      </c>
      <c r="BR90" s="21">
        <f>EXP(-LN(2)/2)*BR89+(1-EXP(-LN(2)/2))/(LN(2)/2)*BL90*BO90*VLOOKUP('Données projet'!$B$11,Paramètres!$A$1:$I$89,3,0)*0.475*44/12</f>
        <v>1.3793831450881525E-10</v>
      </c>
      <c r="BS90" s="22">
        <f t="shared" si="63"/>
        <v>97.325106724219793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65.191625985308349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4.4080000000000004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16.16266666666667</v>
      </c>
      <c r="H91" s="66">
        <f t="shared" si="56"/>
        <v>192.01600000000005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11.14</v>
      </c>
      <c r="N91" s="13">
        <f>IF('Données projet'!$A$36&gt;35,N90+M91-V90,IF(A91&lt;'Données projet'!$A$36,$K$205^A91,IF(A91='Données projet'!$A$36,'Données projet'!$B$36,N90+M91-V90)))</f>
        <v>449.08999999999975</v>
      </c>
      <c r="O91" s="13">
        <f>N91*VLOOKUP('Données projet'!$B$9,Paramètres!$A$1:$I$89,3,0)*VLOOKUP('Données projet'!$B$9,Paramètres!$A$1:$I$89,5,0)</f>
        <v>406.33663199999972</v>
      </c>
      <c r="P91" s="13">
        <f t="shared" si="87"/>
        <v>93.060142612346141</v>
      </c>
      <c r="Q91" s="20">
        <f t="shared" si="54"/>
        <v>869.78271578316901</v>
      </c>
      <c r="R91" s="59">
        <f t="shared" si="55"/>
        <v>1145.7911977065169</v>
      </c>
      <c r="S91" s="59">
        <f ca="1">AVERAGE(OFFSET($R$3,0,0,'Données projet'!$E$9+1,1))-AVERAGE(OFFSET($H$3,0,0,'Données projet'!$E$9+1,1))</f>
        <v>737.52606296329941</v>
      </c>
      <c r="T91" s="59">
        <f t="shared" si="88"/>
        <v>270.54143254083715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106.39960405820365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106.39960405820365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312.33795840000022</v>
      </c>
      <c r="AK91" s="13">
        <f t="shared" si="89"/>
        <v>73.756875225294692</v>
      </c>
      <c r="AL91" s="20">
        <f t="shared" si="58"/>
        <v>672.44850189738861</v>
      </c>
      <c r="AM91" s="59">
        <f t="shared" si="59"/>
        <v>948.45698382073647</v>
      </c>
      <c r="AN91" s="59">
        <f ca="1">AVERAGE(OFFSET($AM$3,0,0,'Données projet'!$E$10+1,1))-AVERAGE(OFFSET($H$3,0,0,'Données projet'!$E$10+1,1))</f>
        <v>691.79662395689525</v>
      </c>
      <c r="AO91" s="59">
        <f t="shared" si="90"/>
        <v>213.38682325741539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83.202806912267576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83.202806912267576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689</v>
      </c>
      <c r="BE91" s="13">
        <f>BD91*VLOOKUP('Données projet'!$B$11,Paramètres!$A$1:$I$89,3,0)*VLOOKUP('Données projet'!$B$11,Paramètres!$A$1:$I$89,5,0)</f>
        <v>412.02199999999999</v>
      </c>
      <c r="BF91" s="13">
        <f t="shared" si="91"/>
        <v>94.209724877926391</v>
      </c>
      <c r="BG91" s="20">
        <f t="shared" si="61"/>
        <v>881.686920829055</v>
      </c>
      <c r="BH91" s="59">
        <f t="shared" si="62"/>
        <v>1157.6954027524027</v>
      </c>
      <c r="BI91" s="59">
        <f ca="1">AVERAGE(OFFSET($BH$3,0,0,'Données projet'!$E$11+1,1))-AVERAGE(OFFSET($H$3,0,0,'Données projet'!$E$11+1,1))</f>
        <v>525.88595000893986</v>
      </c>
      <c r="BJ91" s="59">
        <f t="shared" si="92"/>
        <v>458.67158147469263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83.531244929451233</v>
      </c>
      <c r="BQ91" s="21">
        <f>EXP(-LN(2)/25)*BQ90+(1-EXP(-LN(2)/25))/(LN(2)/25)*Calculateur!BL91*Calculateur!BN91*VLOOKUP('Données projet'!$B$11,Paramètres!$A$1:$I$89,3,0)*0.475*44/12</f>
        <v>11.791595584815274</v>
      </c>
      <c r="BR91" s="21">
        <f>EXP(-LN(2)/2)*BR90+(1-EXP(-LN(2)/2))/(LN(2)/2)*BL91*BO91*VLOOKUP('Données projet'!$B$11,Paramètres!$A$1:$I$89,3,0)*0.475*44/12</f>
        <v>9.7537117574625999E-11</v>
      </c>
      <c r="BS91" s="22">
        <f t="shared" si="63"/>
        <v>95.322840514364046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65.275040524549411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4.4080000000000004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16.16266666666667</v>
      </c>
      <c r="H92" s="66">
        <f t="shared" si="56"/>
        <v>192.01600000000005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11.14</v>
      </c>
      <c r="N92" s="13">
        <f>IF('Données projet'!$A$36&gt;35,N91+M92-V91,IF(A92&lt;'Données projet'!$A$36,$K$205^A92,IF(A92='Données projet'!$A$36,'Données projet'!$B$36,N91+M92-V91)))</f>
        <v>460.22999999999973</v>
      </c>
      <c r="O92" s="13">
        <f>N92*VLOOKUP('Données projet'!$B$9,Paramètres!$A$1:$I$89,3,0)*VLOOKUP('Données projet'!$B$9,Paramètres!$A$1:$I$89,5,0)</f>
        <v>416.41610399999973</v>
      </c>
      <c r="P92" s="13">
        <f t="shared" si="87"/>
        <v>95.09694787050303</v>
      </c>
      <c r="Q92" s="20">
        <f t="shared" si="54"/>
        <v>890.8852320077923</v>
      </c>
      <c r="R92" s="59">
        <f t="shared" si="55"/>
        <v>1167.1942613705382</v>
      </c>
      <c r="S92" s="59">
        <f ca="1">AVERAGE(OFFSET($R$3,0,0,'Données projet'!$E$9+1,1))-AVERAGE(OFFSET($H$3,0,0,'Données projet'!$E$9+1,1))</f>
        <v>737.52606296329941</v>
      </c>
      <c r="T92" s="59">
        <f t="shared" si="88"/>
        <v>270.54143254083715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104.31317271997267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104.31317271997267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320.57025000000021</v>
      </c>
      <c r="AK92" s="13">
        <f t="shared" si="89"/>
        <v>75.471992967732689</v>
      </c>
      <c r="AL92" s="20">
        <f t="shared" si="58"/>
        <v>689.77357316880159</v>
      </c>
      <c r="AM92" s="59">
        <f t="shared" si="59"/>
        <v>966.08260253154754</v>
      </c>
      <c r="AN92" s="59">
        <f ca="1">AVERAGE(OFFSET($AM$3,0,0,'Données projet'!$E$10+1,1))-AVERAGE(OFFSET($H$3,0,0,'Données projet'!$E$10+1,1))</f>
        <v>691.79662395689525</v>
      </c>
      <c r="AO92" s="59">
        <f t="shared" si="90"/>
        <v>213.38682325741539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81.57125061741921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81.57125061741921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689</v>
      </c>
      <c r="BE92" s="13">
        <f>BD92*VLOOKUP('Données projet'!$B$11,Paramètres!$A$1:$I$89,3,0)*VLOOKUP('Données projet'!$B$11,Paramètres!$A$1:$I$89,5,0)</f>
        <v>412.02199999999999</v>
      </c>
      <c r="BF92" s="13">
        <f t="shared" si="91"/>
        <v>94.209724877926391</v>
      </c>
      <c r="BG92" s="20">
        <f t="shared" si="61"/>
        <v>881.686920829055</v>
      </c>
      <c r="BH92" s="59">
        <f t="shared" si="62"/>
        <v>1157.9959501918008</v>
      </c>
      <c r="BI92" s="59">
        <f ca="1">AVERAGE(OFFSET($BH$3,0,0,'Données projet'!$E$11+1,1))-AVERAGE(OFFSET($H$3,0,0,'Données projet'!$E$11+1,1))</f>
        <v>525.88595000893986</v>
      </c>
      <c r="BJ92" s="59">
        <f t="shared" si="92"/>
        <v>458.67158147469263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81.893248165413297</v>
      </c>
      <c r="BQ92" s="21">
        <f>EXP(-LN(2)/25)*BQ91+(1-EXP(-LN(2)/25))/(LN(2)/25)*Calculateur!BL92*Calculateur!BN92*VLOOKUP('Données projet'!$B$11,Paramètres!$A$1:$I$89,3,0)*0.475*44/12</f>
        <v>11.46915378345544</v>
      </c>
      <c r="BR92" s="21">
        <f>EXP(-LN(2)/2)*BR91+(1-EXP(-LN(2)/2))/(LN(2)/2)*BL92*BO92*VLOOKUP('Données projet'!$B$11,Paramètres!$A$1:$I$89,3,0)*0.475*44/12</f>
        <v>6.8969157254407624E-11</v>
      </c>
      <c r="BS92" s="22">
        <f t="shared" si="63"/>
        <v>93.362401948937702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65.357008008021609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4.4080000000000004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16.16266666666667</v>
      </c>
      <c r="H93" s="66">
        <f t="shared" si="56"/>
        <v>192.01600000000005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471.37</v>
      </c>
      <c r="L93" s="12">
        <f>VLOOKUP(A93,'Données projet'!$A$35:$I$55,9,0)</f>
        <v>11.14</v>
      </c>
      <c r="M93" s="12">
        <f t="array" ref="M93">INDEX(L:L,MIN(IF(ISNUMBER(L93:L289),ROW(L93:L289),"")))</f>
        <v>11.14</v>
      </c>
      <c r="N93" s="13">
        <f>IF('Données projet'!$A$36&gt;35,N92+M93-V92,IF(A93&lt;'Données projet'!$A$36,$K$205^A93,IF(A93='Données projet'!$A$36,'Données projet'!$B$36,N92+M93-V92)))</f>
        <v>471.36999999999972</v>
      </c>
      <c r="O93" s="13">
        <f>N93*VLOOKUP('Données projet'!$B$9,Paramètres!$A$1:$I$89,3,0)*VLOOKUP('Données projet'!$B$9,Paramètres!$A$1:$I$89,5,0)</f>
        <v>426.49557599999969</v>
      </c>
      <c r="P93" s="13">
        <f t="shared" si="87"/>
        <v>97.128021924116553</v>
      </c>
      <c r="Q93" s="20">
        <f t="shared" si="54"/>
        <v>911.97776638450239</v>
      </c>
      <c r="R93" s="59">
        <f t="shared" si="55"/>
        <v>1188.5821293604963</v>
      </c>
      <c r="S93" s="59">
        <f ca="1">AVERAGE(OFFSET($R$3,0,0,'Données projet'!$E$9+1,1))-AVERAGE(OFFSET($H$3,0,0,'Données projet'!$E$9+1,1))</f>
        <v>737.52606296329941</v>
      </c>
      <c r="T93" s="59">
        <f t="shared" si="88"/>
        <v>270.54143254083715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63.25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129.47139955740687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129.47139955740687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328.80254160000021</v>
      </c>
      <c r="AK93" s="13">
        <f t="shared" si="89"/>
        <v>77.181990993010714</v>
      </c>
      <c r="AL93" s="20">
        <f t="shared" si="58"/>
        <v>707.08972759949404</v>
      </c>
      <c r="AM93" s="59">
        <f t="shared" si="59"/>
        <v>983.69409057548796</v>
      </c>
      <c r="AN93" s="59">
        <f ca="1">AVERAGE(OFFSET($AM$3,0,0,'Données projet'!$E$10+1,1))-AVERAGE(OFFSET($H$3,0,0,'Données projet'!$E$10+1,1))</f>
        <v>691.79662395689525</v>
      </c>
      <c r="AO93" s="59">
        <f t="shared" si="90"/>
        <v>213.38682325741539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79.971688146361743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79.971688146361743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689</v>
      </c>
      <c r="BE93" s="13">
        <f>BD93*VLOOKUP('Données projet'!$B$11,Paramètres!$A$1:$I$89,3,0)*VLOOKUP('Données projet'!$B$11,Paramètres!$A$1:$I$89,5,0)</f>
        <v>412.02199999999999</v>
      </c>
      <c r="BF93" s="13">
        <f t="shared" si="91"/>
        <v>94.209724877926391</v>
      </c>
      <c r="BG93" s="20">
        <f t="shared" si="61"/>
        <v>881.686920829055</v>
      </c>
      <c r="BH93" s="59">
        <f t="shared" si="62"/>
        <v>1158.2912838050488</v>
      </c>
      <c r="BI93" s="59">
        <f ca="1">AVERAGE(OFFSET($BH$3,0,0,'Données projet'!$E$11+1,1))-AVERAGE(OFFSET($H$3,0,0,'Données projet'!$E$11+1,1))</f>
        <v>525.88595000893986</v>
      </c>
      <c r="BJ93" s="59">
        <f t="shared" si="92"/>
        <v>458.67158147469263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80.287371518838782</v>
      </c>
      <c r="BQ93" s="21">
        <f>EXP(-LN(2)/25)*BQ92+(1-EXP(-LN(2)/25))/(LN(2)/25)*Calculateur!BL93*Calculateur!BN93*VLOOKUP('Données projet'!$B$11,Paramètres!$A$1:$I$89,3,0)*0.475*44/12</f>
        <v>11.155529170110267</v>
      </c>
      <c r="BR93" s="21">
        <f>EXP(-LN(2)/2)*BR92+(1-EXP(-LN(2)/2))/(LN(2)/2)*BL93*BO93*VLOOKUP('Données projet'!$B$11,Paramètres!$A$1:$I$89,3,0)*0.475*44/12</f>
        <v>4.8768558787312999E-11</v>
      </c>
      <c r="BS93" s="22">
        <f t="shared" si="63"/>
        <v>91.442900688997824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65.437553538907409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4.4080000000000004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16.16266666666667</v>
      </c>
      <c r="H94" s="66">
        <f t="shared" si="56"/>
        <v>192.01600000000005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10.754999999999995</v>
      </c>
      <c r="N94" s="13">
        <f>IF('Données projet'!$A$36&gt;35,N93+M94-V93,IF(A94&lt;'Données projet'!$A$36,$K$205^A94,IF(A94='Données projet'!$A$36,'Données projet'!$B$36,N93+M94-V93)))</f>
        <v>418.87499999999972</v>
      </c>
      <c r="O94" s="13">
        <f>N94*VLOOKUP('Données projet'!$B$9,Paramètres!$A$1:$I$89,3,0)*VLOOKUP('Données projet'!$B$9,Paramètres!$A$1:$I$89,5,0)</f>
        <v>378.99809999999974</v>
      </c>
      <c r="P94" s="13">
        <f t="shared" si="87"/>
        <v>87.505579858582792</v>
      </c>
      <c r="Q94" s="20">
        <f t="shared" si="54"/>
        <v>812.49390908703117</v>
      </c>
      <c r="R94" s="59">
        <f t="shared" si="55"/>
        <v>1089.38848229835</v>
      </c>
      <c r="S94" s="59">
        <f ca="1">AVERAGE(OFFSET($R$3,0,0,'Données projet'!$E$9+1,1))-AVERAGE(OFFSET($H$3,0,0,'Données projet'!$E$9+1,1))</f>
        <v>737.52606296329941</v>
      </c>
      <c r="T94" s="59">
        <f t="shared" si="88"/>
        <v>270.54143254083715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126.93254438184223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126.93254438184223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337.03483320000021</v>
      </c>
      <c r="AK94" s="13">
        <f t="shared" si="89"/>
        <v>78.887012226883613</v>
      </c>
      <c r="AL94" s="20">
        <f t="shared" si="58"/>
        <v>724.39721411848916</v>
      </c>
      <c r="AM94" s="59">
        <f t="shared" si="59"/>
        <v>1001.2917873298081</v>
      </c>
      <c r="AN94" s="59">
        <f ca="1">AVERAGE(OFFSET($AM$3,0,0,'Données projet'!$E$10+1,1))-AVERAGE(OFFSET($H$3,0,0,'Données projet'!$E$10+1,1))</f>
        <v>691.79662395689525</v>
      </c>
      <c r="AO94" s="59">
        <f t="shared" si="90"/>
        <v>213.38682325741539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78.403492119724945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78.403492119724945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689</v>
      </c>
      <c r="BE94" s="13">
        <f>BD94*VLOOKUP('Données projet'!$B$11,Paramètres!$A$1:$I$89,3,0)*VLOOKUP('Données projet'!$B$11,Paramètres!$A$1:$I$89,5,0)</f>
        <v>412.02199999999999</v>
      </c>
      <c r="BF94" s="13">
        <f t="shared" si="91"/>
        <v>94.209724877926391</v>
      </c>
      <c r="BG94" s="20">
        <f t="shared" si="61"/>
        <v>881.686920829055</v>
      </c>
      <c r="BH94" s="59">
        <f t="shared" si="62"/>
        <v>1158.5814940403739</v>
      </c>
      <c r="BI94" s="59">
        <f ca="1">AVERAGE(OFFSET($BH$3,0,0,'Données projet'!$E$11+1,1))-AVERAGE(OFFSET($H$3,0,0,'Données projet'!$E$11+1,1))</f>
        <v>525.88595000893986</v>
      </c>
      <c r="BJ94" s="59">
        <f t="shared" si="92"/>
        <v>458.67158147469263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78.71298513381555</v>
      </c>
      <c r="BQ94" s="21">
        <f>EXP(-LN(2)/25)*BQ93+(1-EXP(-LN(2)/25))/(LN(2)/25)*Calculateur!BL94*Calculateur!BN94*VLOOKUP('Données projet'!$B$11,Paramètres!$A$1:$I$89,3,0)*0.475*44/12</f>
        <v>10.850480638309818</v>
      </c>
      <c r="BR94" s="21">
        <f>EXP(-LN(2)/2)*BR93+(1-EXP(-LN(2)/2))/(LN(2)/2)*BL94*BO94*VLOOKUP('Données projet'!$B$11,Paramètres!$A$1:$I$89,3,0)*0.475*44/12</f>
        <v>3.4484578627203812E-11</v>
      </c>
      <c r="BS94" s="22">
        <f t="shared" si="63"/>
        <v>89.563465772159859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65.516701784905152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4.4080000000000004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16.16266666666667</v>
      </c>
      <c r="H95" s="66">
        <f t="shared" si="56"/>
        <v>192.01600000000005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10.754999999999995</v>
      </c>
      <c r="N95" s="13">
        <f>IF('Données projet'!$A$36&gt;35,N94+M95-V94,IF(A95&lt;'Données projet'!$A$36,$K$205^A95,IF(A95='Données projet'!$A$36,'Données projet'!$B$36,N94+M95-V94)))</f>
        <v>429.62999999999971</v>
      </c>
      <c r="O95" s="13">
        <f>N95*VLOOKUP('Données projet'!$B$9,Paramètres!$A$1:$I$89,3,0)*VLOOKUP('Données projet'!$B$9,Paramètres!$A$1:$I$89,5,0)</f>
        <v>388.7292239999997</v>
      </c>
      <c r="P95" s="13">
        <f t="shared" si="87"/>
        <v>89.487901338654297</v>
      </c>
      <c r="Q95" s="20">
        <f t="shared" si="54"/>
        <v>832.89482663148908</v>
      </c>
      <c r="R95" s="59">
        <f t="shared" si="55"/>
        <v>1110.074575579363</v>
      </c>
      <c r="S95" s="59">
        <f ca="1">AVERAGE(OFFSET($R$3,0,0,'Données projet'!$E$9+1,1))-AVERAGE(OFFSET($H$3,0,0,'Données projet'!$E$9+1,1))</f>
        <v>737.52606296329941</v>
      </c>
      <c r="T95" s="59">
        <f t="shared" si="88"/>
        <v>270.54143254083715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124.44347460772167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124.44347460772167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345.26712480000026</v>
      </c>
      <c r="AK95" s="13">
        <f t="shared" si="89"/>
        <v>80.587192214923689</v>
      </c>
      <c r="AL95" s="20">
        <f t="shared" si="58"/>
        <v>741.69626880099247</v>
      </c>
      <c r="AM95" s="59">
        <f t="shared" si="59"/>
        <v>1018.8760177488664</v>
      </c>
      <c r="AN95" s="59">
        <f ca="1">AVERAGE(OFFSET($AM$3,0,0,'Données projet'!$E$10+1,1))-AVERAGE(OFFSET($H$3,0,0,'Données projet'!$E$10+1,1))</f>
        <v>691.79662395689525</v>
      </c>
      <c r="AO95" s="59">
        <f t="shared" si="90"/>
        <v>213.38682325741539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76.866047460665357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76.866047460665357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689</v>
      </c>
      <c r="BE95" s="13">
        <f>BD95*VLOOKUP('Données projet'!$B$11,Paramètres!$A$1:$I$89,3,0)*VLOOKUP('Données projet'!$B$11,Paramètres!$A$1:$I$89,5,0)</f>
        <v>412.02199999999999</v>
      </c>
      <c r="BF95" s="13">
        <f t="shared" si="91"/>
        <v>94.209724877926391</v>
      </c>
      <c r="BG95" s="20">
        <f t="shared" si="61"/>
        <v>881.686920829055</v>
      </c>
      <c r="BH95" s="59">
        <f t="shared" si="62"/>
        <v>1158.866669776929</v>
      </c>
      <c r="BI95" s="59">
        <f ca="1">AVERAGE(OFFSET($BH$3,0,0,'Données projet'!$E$11+1,1))-AVERAGE(OFFSET($H$3,0,0,'Données projet'!$E$11+1,1))</f>
        <v>525.88595000893986</v>
      </c>
      <c r="BJ95" s="59">
        <f t="shared" si="92"/>
        <v>458.67158147469263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77.169471505521742</v>
      </c>
      <c r="BQ95" s="21">
        <f>EXP(-LN(2)/25)*BQ94+(1-EXP(-LN(2)/25))/(LN(2)/25)*Calculateur!BL95*Calculateur!BN95*VLOOKUP('Données projet'!$B$11,Paramètres!$A$1:$I$89,3,0)*0.475*44/12</f>
        <v>10.553773674653259</v>
      </c>
      <c r="BR95" s="21">
        <f>EXP(-LN(2)/2)*BR94+(1-EXP(-LN(2)/2))/(LN(2)/2)*BL95*BO95*VLOOKUP('Données projet'!$B$11,Paramètres!$A$1:$I$89,3,0)*0.475*44/12</f>
        <v>2.43842793936565E-11</v>
      </c>
      <c r="BS95" s="22">
        <f t="shared" si="63"/>
        <v>87.723245180199385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65.594476985783814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4.4080000000000004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16.16266666666667</v>
      </c>
      <c r="H96" s="66">
        <f t="shared" si="56"/>
        <v>192.01600000000005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10.754999999999995</v>
      </c>
      <c r="N96" s="13">
        <f>IF('Données projet'!$A$36&gt;35,N95+M96-V95,IF(A96&lt;'Données projet'!$A$36,$K$205^A96,IF(A96='Données projet'!$A$36,'Données projet'!$B$36,N95+M96-V95)))</f>
        <v>440.38499999999971</v>
      </c>
      <c r="O96" s="13">
        <f>N96*VLOOKUP('Données projet'!$B$9,Paramètres!$A$1:$I$89,3,0)*VLOOKUP('Données projet'!$B$9,Paramètres!$A$1:$I$89,5,0)</f>
        <v>398.46034799999973</v>
      </c>
      <c r="P96" s="13">
        <f t="shared" si="87"/>
        <v>91.464454380602817</v>
      </c>
      <c r="Q96" s="20">
        <f t="shared" si="54"/>
        <v>853.28569747954941</v>
      </c>
      <c r="R96" s="59">
        <f t="shared" si="55"/>
        <v>1130.7456750025067</v>
      </c>
      <c r="S96" s="59">
        <f ca="1">AVERAGE(OFFSET($R$3,0,0,'Données projet'!$E$9+1,1))-AVERAGE(OFFSET($H$3,0,0,'Données projet'!$E$9+1,1))</f>
        <v>737.52606296329941</v>
      </c>
      <c r="T96" s="59">
        <f t="shared" si="88"/>
        <v>270.54143254083715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122.00321397368896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122.00321397368896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353.49941640000026</v>
      </c>
      <c r="AK96" s="13">
        <f t="shared" si="89"/>
        <v>82.282659670354974</v>
      </c>
      <c r="AL96" s="20">
        <f t="shared" si="58"/>
        <v>758.98711582253543</v>
      </c>
      <c r="AM96" s="59">
        <f t="shared" si="59"/>
        <v>1036.4470933454927</v>
      </c>
      <c r="AN96" s="59">
        <f ca="1">AVERAGE(OFFSET($AM$3,0,0,'Données projet'!$E$10+1,1))-AVERAGE(OFFSET($H$3,0,0,'Données projet'!$E$10+1,1))</f>
        <v>691.79662395689525</v>
      </c>
      <c r="AO96" s="59">
        <f t="shared" si="90"/>
        <v>213.38682325741539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75.358751153621284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75.358751153621284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689</v>
      </c>
      <c r="BE96" s="13">
        <f>BD96*VLOOKUP('Données projet'!$B$11,Paramètres!$A$1:$I$89,3,0)*VLOOKUP('Données projet'!$B$11,Paramètres!$A$1:$I$89,5,0)</f>
        <v>412.02199999999999</v>
      </c>
      <c r="BF96" s="13">
        <f t="shared" si="91"/>
        <v>94.209724877926391</v>
      </c>
      <c r="BG96" s="20">
        <f t="shared" si="61"/>
        <v>881.686920829055</v>
      </c>
      <c r="BH96" s="59">
        <f t="shared" si="62"/>
        <v>1159.1468983520122</v>
      </c>
      <c r="BI96" s="59">
        <f ca="1">AVERAGE(OFFSET($BH$3,0,0,'Données projet'!$E$11+1,1))-AVERAGE(OFFSET($H$3,0,0,'Données projet'!$E$11+1,1))</f>
        <v>525.88595000893986</v>
      </c>
      <c r="BJ96" s="59">
        <f t="shared" si="92"/>
        <v>458.67158147469263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75.656225238028426</v>
      </c>
      <c r="BQ96" s="21">
        <f>EXP(-LN(2)/25)*BQ95+(1-EXP(-LN(2)/25))/(LN(2)/25)*Calculateur!BL96*Calculateur!BN96*VLOOKUP('Données projet'!$B$11,Paramètres!$A$1:$I$89,3,0)*0.475*44/12</f>
        <v>10.26518017852103</v>
      </c>
      <c r="BR96" s="21">
        <f>EXP(-LN(2)/2)*BR95+(1-EXP(-LN(2)/2))/(LN(2)/2)*BL96*BO96*VLOOKUP('Données projet'!$B$11,Paramètres!$A$1:$I$89,3,0)*0.475*44/12</f>
        <v>1.7242289313601906E-11</v>
      </c>
      <c r="BS96" s="22">
        <f t="shared" si="63"/>
        <v>85.921405416566699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65.670902960806529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4.4080000000000004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16.16266666666667</v>
      </c>
      <c r="H97" s="66">
        <f t="shared" si="56"/>
        <v>192.01600000000005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10.754999999999995</v>
      </c>
      <c r="N97" s="13">
        <f>IF('Données projet'!$A$36&gt;35,N96+M97-V96,IF(A97&lt;'Données projet'!$A$36,$K$205^A97,IF(A97='Données projet'!$A$36,'Données projet'!$B$36,N96+M97-V96)))</f>
        <v>451.1399999999997</v>
      </c>
      <c r="O97" s="13">
        <f>N97*VLOOKUP('Données projet'!$B$9,Paramètres!$A$1:$I$89,3,0)*VLOOKUP('Données projet'!$B$9,Paramètres!$A$1:$I$89,5,0)</f>
        <v>408.19147199999975</v>
      </c>
      <c r="P97" s="13">
        <f t="shared" si="87"/>
        <v>93.435396066328195</v>
      </c>
      <c r="Q97" s="20">
        <f t="shared" si="54"/>
        <v>873.66679521552112</v>
      </c>
      <c r="R97" s="59">
        <f t="shared" si="55"/>
        <v>1151.4021399742812</v>
      </c>
      <c r="S97" s="59">
        <f ca="1">AVERAGE(OFFSET($R$3,0,0,'Données projet'!$E$9+1,1))-AVERAGE(OFFSET($H$3,0,0,'Données projet'!$E$9+1,1))</f>
        <v>737.52606296329941</v>
      </c>
      <c r="T97" s="59">
        <f t="shared" si="88"/>
        <v>270.54143254083715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119.6108053622776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119.6108053622776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361.73170800000025</v>
      </c>
      <c r="AK97" s="13">
        <f t="shared" si="89"/>
        <v>83.973536969416926</v>
      </c>
      <c r="AL97" s="20">
        <f t="shared" si="58"/>
        <v>776.26996832173484</v>
      </c>
      <c r="AM97" s="59">
        <f t="shared" si="59"/>
        <v>1054.0053130804949</v>
      </c>
      <c r="AN97" s="59">
        <f ca="1">AVERAGE(OFFSET($AM$3,0,0,'Données projet'!$E$10+1,1))-AVERAGE(OFFSET($H$3,0,0,'Données projet'!$E$10+1,1))</f>
        <v>691.79662395689525</v>
      </c>
      <c r="AO97" s="59">
        <f t="shared" si="90"/>
        <v>213.38682325741539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101.85856347268971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101.85856347268971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689</v>
      </c>
      <c r="BE97" s="13">
        <f>BD97*VLOOKUP('Données projet'!$B$11,Paramètres!$A$1:$I$89,3,0)*VLOOKUP('Données projet'!$B$11,Paramètres!$A$1:$I$89,5,0)</f>
        <v>412.02199999999999</v>
      </c>
      <c r="BF97" s="13">
        <f t="shared" si="91"/>
        <v>94.209724877926391</v>
      </c>
      <c r="BG97" s="20">
        <f t="shared" si="61"/>
        <v>881.686920829055</v>
      </c>
      <c r="BH97" s="59">
        <f t="shared" si="62"/>
        <v>1159.4222655878152</v>
      </c>
      <c r="BI97" s="59">
        <f ca="1">AVERAGE(OFFSET($BH$3,0,0,'Données projet'!$E$11+1,1))-AVERAGE(OFFSET($H$3,0,0,'Données projet'!$E$11+1,1))</f>
        <v>525.88595000893986</v>
      </c>
      <c r="BJ97" s="59">
        <f t="shared" si="92"/>
        <v>458.67158147469263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74.172652806851573</v>
      </c>
      <c r="BQ97" s="21">
        <f>EXP(-LN(2)/25)*BQ96+(1-EXP(-LN(2)/25))/(LN(2)/25)*Calculateur!BL97*Calculateur!BN97*VLOOKUP('Données projet'!$B$11,Paramètres!$A$1:$I$89,3,0)*0.475*44/12</f>
        <v>9.9844782867170085</v>
      </c>
      <c r="BR97" s="21">
        <f>EXP(-LN(2)/2)*BR96+(1-EXP(-LN(2)/2))/(LN(2)/2)*BL97*BO97*VLOOKUP('Données projet'!$B$11,Paramètres!$A$1:$I$89,3,0)*0.475*44/12</f>
        <v>1.219213969682825E-11</v>
      </c>
      <c r="BS97" s="22">
        <f t="shared" si="63"/>
        <v>84.157131093580773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65.746003116025491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4.4080000000000004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16.16266666666667</v>
      </c>
      <c r="H98" s="66">
        <f t="shared" si="56"/>
        <v>192.01600000000005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10.754999999999995</v>
      </c>
      <c r="N98" s="13">
        <f>IF('Données projet'!$A$36&gt;35,N97+M98-V97,IF(A98&lt;'Données projet'!$A$36,$K$205^A98,IF(A98='Données projet'!$A$36,'Données projet'!$B$36,N97+M98-V97)))</f>
        <v>461.8949999999997</v>
      </c>
      <c r="O98" s="13">
        <f>N98*VLOOKUP('Données projet'!$B$9,Paramètres!$A$1:$I$89,3,0)*VLOOKUP('Données projet'!$B$9,Paramètres!$A$1:$I$89,5,0)</f>
        <v>417.92259599999971</v>
      </c>
      <c r="P98" s="13">
        <f t="shared" si="87"/>
        <v>95.400875561025359</v>
      </c>
      <c r="Q98" s="20">
        <f t="shared" si="54"/>
        <v>894.03837963545186</v>
      </c>
      <c r="R98" s="59">
        <f t="shared" si="55"/>
        <v>1172.0443146241025</v>
      </c>
      <c r="S98" s="59">
        <f ca="1">AVERAGE(OFFSET($R$3,0,0,'Données projet'!$E$9+1,1))-AVERAGE(OFFSET($H$3,0,0,'Données projet'!$E$9+1,1))</f>
        <v>737.52606296329941</v>
      </c>
      <c r="T98" s="59">
        <f t="shared" si="88"/>
        <v>270.54143254083715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117.26531042451086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117.26531042451086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310.86107520000024</v>
      </c>
      <c r="AK98" s="13">
        <f t="shared" si="89"/>
        <v>73.448627904500142</v>
      </c>
      <c r="AL98" s="20">
        <f t="shared" si="58"/>
        <v>669.33939957367147</v>
      </c>
      <c r="AM98" s="59">
        <f t="shared" si="59"/>
        <v>947.34533456232225</v>
      </c>
      <c r="AN98" s="59">
        <f ca="1">AVERAGE(OFFSET($AM$3,0,0,'Données projet'!$E$10+1,1))-AVERAGE(OFFSET($H$3,0,0,'Données projet'!$E$10+1,1))</f>
        <v>691.79662395689525</v>
      </c>
      <c r="AO98" s="59">
        <f t="shared" si="90"/>
        <v>213.38682325741539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99.861179170579391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99.861179170579391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689</v>
      </c>
      <c r="BE98" s="13">
        <f>BD98*VLOOKUP('Données projet'!$B$11,Paramètres!$A$1:$I$89,3,0)*VLOOKUP('Données projet'!$B$11,Paramètres!$A$1:$I$89,5,0)</f>
        <v>412.02199999999999</v>
      </c>
      <c r="BF98" s="13">
        <f t="shared" si="91"/>
        <v>94.209724877926391</v>
      </c>
      <c r="BG98" s="20">
        <f t="shared" si="61"/>
        <v>881.686920829055</v>
      </c>
      <c r="BH98" s="59">
        <f t="shared" si="62"/>
        <v>1159.6928558177058</v>
      </c>
      <c r="BI98" s="59">
        <f ca="1">AVERAGE(OFFSET($BH$3,0,0,'Données projet'!$E$11+1,1))-AVERAGE(OFFSET($H$3,0,0,'Données projet'!$E$11+1,1))</f>
        <v>525.88595000893986</v>
      </c>
      <c r="BJ98" s="59">
        <f t="shared" si="92"/>
        <v>458.67158147469263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72.718172326160257</v>
      </c>
      <c r="BQ98" s="21">
        <f>EXP(-LN(2)/25)*BQ97+(1-EXP(-LN(2)/25))/(LN(2)/25)*Calculateur!BL98*Calculateur!BN98*VLOOKUP('Données projet'!$B$11,Paramètres!$A$1:$I$89,3,0)*0.475*44/12</f>
        <v>9.7114522029058392</v>
      </c>
      <c r="BR98" s="21">
        <f>EXP(-LN(2)/2)*BR97+(1-EXP(-LN(2)/2))/(LN(2)/2)*BL98*BO98*VLOOKUP('Données projet'!$B$11,Paramètres!$A$1:$I$89,3,0)*0.475*44/12</f>
        <v>8.621144656800953E-12</v>
      </c>
      <c r="BS98" s="22">
        <f t="shared" si="63"/>
        <v>82.429624529074729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65.819800451450192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4.4080000000000004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16.16266666666667</v>
      </c>
      <c r="H99" s="66">
        <f t="shared" si="56"/>
        <v>192.01600000000005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10.754999999999995</v>
      </c>
      <c r="N99" s="13">
        <f>IF('Données projet'!$A$36&gt;35,N98+M99-V98,IF(A99&lt;'Données projet'!$A$36,$K$205^A99,IF(A99='Données projet'!$A$36,'Données projet'!$B$36,N98+M99-V98)))</f>
        <v>472.64999999999969</v>
      </c>
      <c r="O99" s="13">
        <f>N99*VLOOKUP('Données projet'!$B$9,Paramètres!$A$1:$I$89,3,0)*VLOOKUP('Données projet'!$B$9,Paramètres!$A$1:$I$89,5,0)</f>
        <v>427.65371999999974</v>
      </c>
      <c r="P99" s="13">
        <f t="shared" si="87"/>
        <v>97.361034687082608</v>
      </c>
      <c r="Q99" s="20">
        <f t="shared" ref="Q99:Q130" si="107">(O99+P99)*0.475*44/12</f>
        <v>914.40069774666847</v>
      </c>
      <c r="R99" s="59">
        <f t="shared" si="55"/>
        <v>1192.6725288296702</v>
      </c>
      <c r="S99" s="59">
        <f ca="1">AVERAGE(OFFSET($R$3,0,0,'Données projet'!$E$9+1,1))-AVERAGE(OFFSET($H$3,0,0,'Données projet'!$E$9+1,1))</f>
        <v>737.52606296329941</v>
      </c>
      <c r="T99" s="59">
        <f t="shared" si="88"/>
        <v>270.54143254083715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114.96580921186307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114.96580921186307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318.8469024000002</v>
      </c>
      <c r="AK99" s="13">
        <f t="shared" si="89"/>
        <v>75.113378897482889</v>
      </c>
      <c r="AL99" s="20">
        <f t="shared" si="58"/>
        <v>686.14748992644957</v>
      </c>
      <c r="AM99" s="59">
        <f t="shared" si="59"/>
        <v>964.41932100945144</v>
      </c>
      <c r="AN99" s="59">
        <f ca="1">AVERAGE(OFFSET($AM$3,0,0,'Données projet'!$E$10+1,1))-AVERAGE(OFFSET($H$3,0,0,'Données projet'!$E$10+1,1))</f>
        <v>691.79662395689525</v>
      </c>
      <c r="AO99" s="59">
        <f t="shared" si="90"/>
        <v>213.38682325741539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97.902962356349335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97.902962356349335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689</v>
      </c>
      <c r="BE99" s="13">
        <f>BD99*VLOOKUP('Données projet'!$B$11,Paramètres!$A$1:$I$89,3,0)*VLOOKUP('Données projet'!$B$11,Paramètres!$A$1:$I$89,5,0)</f>
        <v>412.02199999999999</v>
      </c>
      <c r="BF99" s="13">
        <f t="shared" si="91"/>
        <v>94.209724877926391</v>
      </c>
      <c r="BG99" s="20">
        <f t="shared" si="61"/>
        <v>881.686920829055</v>
      </c>
      <c r="BH99" s="59">
        <f t="shared" si="62"/>
        <v>1159.9587519120569</v>
      </c>
      <c r="BI99" s="59">
        <f ca="1">AVERAGE(OFFSET($BH$3,0,0,'Données projet'!$E$11+1,1))-AVERAGE(OFFSET($H$3,0,0,'Données projet'!$E$11+1,1))</f>
        <v>525.88595000893986</v>
      </c>
      <c r="BJ99" s="59">
        <f t="shared" si="92"/>
        <v>458.67158147469263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71.292213320549806</v>
      </c>
      <c r="BQ99" s="21">
        <f>EXP(-LN(2)/25)*BQ98+(1-EXP(-LN(2)/25))/(LN(2)/25)*Calculateur!BL99*Calculateur!BN99*VLOOKUP('Données projet'!$B$11,Paramètres!$A$1:$I$89,3,0)*0.475*44/12</f>
        <v>9.4458920317143029</v>
      </c>
      <c r="BR99" s="21">
        <f>EXP(-LN(2)/2)*BR98+(1-EXP(-LN(2)/2))/(LN(2)/2)*BL99*BO99*VLOOKUP('Données projet'!$B$11,Paramètres!$A$1:$I$89,3,0)*0.475*44/12</f>
        <v>6.0960698484141249E-12</v>
      </c>
      <c r="BS99" s="22">
        <f t="shared" si="63"/>
        <v>80.73810535227021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65.892317568091414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4.4080000000000004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16.16266666666667</v>
      </c>
      <c r="H100" s="66">
        <f t="shared" si="56"/>
        <v>192.01600000000005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10.754999999999995</v>
      </c>
      <c r="N100" s="13">
        <f>IF('Données projet'!$A$36&gt;35,N99+M100-V99,IF(A100&lt;'Données projet'!$A$36,$K$205^A100,IF(A100='Données projet'!$A$36,'Données projet'!$B$36,N99+M100-V99)))</f>
        <v>483.40499999999969</v>
      </c>
      <c r="O100" s="13">
        <f>N100*VLOOKUP('Données projet'!$B$9,Paramètres!$A$1:$I$89,3,0)*VLOOKUP('Données projet'!$B$9,Paramètres!$A$1:$I$89,5,0)</f>
        <v>437.3848439999997</v>
      </c>
      <c r="P100" s="13">
        <f t="shared" si="87"/>
        <v>99.316008444270537</v>
      </c>
      <c r="Q100" s="20">
        <f t="shared" si="107"/>
        <v>934.75398467377056</v>
      </c>
      <c r="R100" s="59">
        <f t="shared" si="55"/>
        <v>1213.2870991483412</v>
      </c>
      <c r="S100" s="59">
        <f ca="1">AVERAGE(OFFSET($R$3,0,0,'Données projet'!$E$9+1,1))-AVERAGE(OFFSET($H$3,0,0,'Données projet'!$E$9+1,1))</f>
        <v>737.52606296329941</v>
      </c>
      <c r="T100" s="59">
        <f t="shared" si="88"/>
        <v>270.54143254083715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112.71139981543807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112.71139981543807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326.83272960000022</v>
      </c>
      <c r="AK100" s="13">
        <f t="shared" si="89"/>
        <v>76.773283091004146</v>
      </c>
      <c r="AL100" s="20">
        <f t="shared" si="58"/>
        <v>702.94713877016591</v>
      </c>
      <c r="AM100" s="59">
        <f t="shared" si="59"/>
        <v>981.48025324473656</v>
      </c>
      <c r="AN100" s="59">
        <f ca="1">AVERAGE(OFFSET($AM$3,0,0,'Données projet'!$E$10+1,1))-AVERAGE(OFFSET($H$3,0,0,'Données projet'!$E$10+1,1))</f>
        <v>691.79662395689525</v>
      </c>
      <c r="AO100" s="59">
        <f t="shared" si="90"/>
        <v>213.38682325741539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95.983144979452007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95.983144979452007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689</v>
      </c>
      <c r="BE100" s="13">
        <f>BD100*VLOOKUP('Données projet'!$B$11,Paramètres!$A$1:$I$89,3,0)*VLOOKUP('Données projet'!$B$11,Paramètres!$A$1:$I$89,5,0)</f>
        <v>412.02199999999999</v>
      </c>
      <c r="BF100" s="13">
        <f t="shared" si="91"/>
        <v>94.209724877926391</v>
      </c>
      <c r="BG100" s="20">
        <f t="shared" si="61"/>
        <v>881.686920829055</v>
      </c>
      <c r="BH100" s="59">
        <f t="shared" si="62"/>
        <v>1160.2200353036255</v>
      </c>
      <c r="BI100" s="59">
        <f ca="1">AVERAGE(OFFSET($BH$3,0,0,'Données projet'!$E$11+1,1))-AVERAGE(OFFSET($H$3,0,0,'Données projet'!$E$11+1,1))</f>
        <v>525.88595000893986</v>
      </c>
      <c r="BJ100" s="59">
        <f t="shared" si="92"/>
        <v>458.67158147469263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69.894216501290259</v>
      </c>
      <c r="BQ100" s="21">
        <f>EXP(-LN(2)/25)*BQ99+(1-EXP(-LN(2)/25))/(LN(2)/25)*Calculateur!BL100*Calculateur!BN100*VLOOKUP('Données projet'!$B$11,Paramètres!$A$1:$I$89,3,0)*0.475*44/12</f>
        <v>9.1875936173692025</v>
      </c>
      <c r="BR100" s="21">
        <f>EXP(-LN(2)/2)*BR99+(1-EXP(-LN(2)/2))/(LN(2)/2)*BL100*BO100*VLOOKUP('Données projet'!$B$11,Paramètres!$A$1:$I$89,3,0)*0.475*44/12</f>
        <v>4.3105723284004765E-12</v>
      </c>
      <c r="BS100" s="22">
        <f t="shared" si="63"/>
        <v>79.081810118663768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65.963576674882887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4.4080000000000004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16.16266666666667</v>
      </c>
      <c r="H101" s="66">
        <f t="shared" si="56"/>
        <v>192.01600000000005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10.754999999999995</v>
      </c>
      <c r="N101" s="13">
        <f>IF('Données projet'!$A$36&gt;35,N100+M101-V100,IF(A101&lt;'Données projet'!$A$36,$K$205^A101,IF(A101='Données projet'!$A$36,'Données projet'!$B$36,N100+M101-V100)))</f>
        <v>494.15999999999968</v>
      </c>
      <c r="O101" s="13">
        <f>N101*VLOOKUP('Données projet'!$B$9,Paramètres!$A$1:$I$89,3,0)*VLOOKUP('Données projet'!$B$9,Paramètres!$A$1:$I$89,5,0)</f>
        <v>447.11596799999973</v>
      </c>
      <c r="P101" s="13">
        <f t="shared" si="87"/>
        <v>101.26592548233283</v>
      </c>
      <c r="Q101" s="20">
        <f t="shared" si="107"/>
        <v>955.09846448172914</v>
      </c>
      <c r="R101" s="59">
        <f t="shared" si="55"/>
        <v>1233.8883296651668</v>
      </c>
      <c r="S101" s="59">
        <f ca="1">AVERAGE(OFFSET($R$3,0,0,'Données projet'!$E$9+1,1))-AVERAGE(OFFSET($H$3,0,0,'Données projet'!$E$9+1,1))</f>
        <v>737.52606296329941</v>
      </c>
      <c r="T101" s="59">
        <f t="shared" si="88"/>
        <v>270.54143254083715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110.501198012223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110.501198012223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334.81855680000024</v>
      </c>
      <c r="AK101" s="13">
        <f t="shared" si="89"/>
        <v>78.428472535307989</v>
      </c>
      <c r="AL101" s="20">
        <f t="shared" si="58"/>
        <v>719.73857609232846</v>
      </c>
      <c r="AM101" s="59">
        <f t="shared" si="59"/>
        <v>998.52844127576623</v>
      </c>
      <c r="AN101" s="59">
        <f ca="1">AVERAGE(OFFSET($AM$3,0,0,'Données projet'!$E$10+1,1))-AVERAGE(OFFSET($H$3,0,0,'Données projet'!$E$10+1,1))</f>
        <v>691.79662395689525</v>
      </c>
      <c r="AO101" s="59">
        <f t="shared" si="90"/>
        <v>213.38682325741539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94.100974050342657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94.100974050342657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689</v>
      </c>
      <c r="BE101" s="13">
        <f>BD101*VLOOKUP('Données projet'!$B$11,Paramètres!$A$1:$I$89,3,0)*VLOOKUP('Données projet'!$B$11,Paramètres!$A$1:$I$89,5,0)</f>
        <v>412.02199999999999</v>
      </c>
      <c r="BF101" s="13">
        <f t="shared" si="91"/>
        <v>94.209724877926391</v>
      </c>
      <c r="BG101" s="20">
        <f t="shared" si="61"/>
        <v>881.686920829055</v>
      </c>
      <c r="BH101" s="59">
        <f t="shared" si="62"/>
        <v>1160.4767860124928</v>
      </c>
      <c r="BI101" s="59">
        <f ca="1">AVERAGE(OFFSET($BH$3,0,0,'Données projet'!$E$11+1,1))-AVERAGE(OFFSET($H$3,0,0,'Données projet'!$E$11+1,1))</f>
        <v>525.88595000893986</v>
      </c>
      <c r="BJ101" s="59">
        <f t="shared" si="92"/>
        <v>458.67158147469263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68.523633546962529</v>
      </c>
      <c r="BQ101" s="21">
        <f>EXP(-LN(2)/25)*BQ100+(1-EXP(-LN(2)/25))/(LN(2)/25)*Calculateur!BL101*Calculateur!BN101*VLOOKUP('Données projet'!$B$11,Paramètres!$A$1:$I$89,3,0)*0.475*44/12</f>
        <v>8.9363583867476919</v>
      </c>
      <c r="BR101" s="21">
        <f>EXP(-LN(2)/2)*BR100+(1-EXP(-LN(2)/2))/(LN(2)/2)*BL101*BO101*VLOOKUP('Données projet'!$B$11,Paramètres!$A$1:$I$89,3,0)*0.475*44/12</f>
        <v>3.0480349242070625E-12</v>
      </c>
      <c r="BS101" s="22">
        <f t="shared" si="63"/>
        <v>77.459991933713269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66.033599595483011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4.4080000000000004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16.16266666666667</v>
      </c>
      <c r="H102" s="66">
        <f t="shared" si="56"/>
        <v>192.01600000000005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10.754999999999995</v>
      </c>
      <c r="N102" s="13">
        <f>IF('Données projet'!$A$36&gt;35,N101+M102-V101,IF(A102&lt;'Données projet'!$A$36,$K$205^A102,IF(A102='Données projet'!$A$36,'Données projet'!$B$36,N101+M102-V101)))</f>
        <v>504.91499999999968</v>
      </c>
      <c r="O102" s="13">
        <f>N102*VLOOKUP('Données projet'!$B$9,Paramètres!$A$1:$I$89,3,0)*VLOOKUP('Données projet'!$B$9,Paramètres!$A$1:$I$89,5,0)</f>
        <v>456.84709199999969</v>
      </c>
      <c r="P102" s="13">
        <f t="shared" si="87"/>
        <v>103.21090853127453</v>
      </c>
      <c r="Q102" s="20">
        <f t="shared" si="107"/>
        <v>975.43435092530251</v>
      </c>
      <c r="R102" s="59">
        <f t="shared" si="55"/>
        <v>1254.4765127668172</v>
      </c>
      <c r="S102" s="59">
        <f ca="1">AVERAGE(OFFSET($R$3,0,0,'Données projet'!$E$9+1,1))-AVERAGE(OFFSET($H$3,0,0,'Données projet'!$E$9+1,1))</f>
        <v>737.52606296329941</v>
      </c>
      <c r="T102" s="59">
        <f t="shared" si="88"/>
        <v>270.54143254083715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108.33433691827899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108.33433691827899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342.8043840000002</v>
      </c>
      <c r="AK102" s="13">
        <f t="shared" si="89"/>
        <v>80.079072622257499</v>
      </c>
      <c r="AL102" s="20">
        <f t="shared" si="58"/>
        <v>736.52202028376553</v>
      </c>
      <c r="AM102" s="59">
        <f t="shared" si="59"/>
        <v>1015.5641821252802</v>
      </c>
      <c r="AN102" s="59">
        <f ca="1">AVERAGE(OFFSET($AM$3,0,0,'Données projet'!$E$10+1,1))-AVERAGE(OFFSET($H$3,0,0,'Données projet'!$E$10+1,1))</f>
        <v>691.79662395689525</v>
      </c>
      <c r="AO102" s="59">
        <f t="shared" si="90"/>
        <v>213.38682325741539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92.255711345142231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92.255711345142231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689</v>
      </c>
      <c r="BE102" s="13">
        <f>BD102*VLOOKUP('Données projet'!$B$11,Paramètres!$A$1:$I$89,3,0)*VLOOKUP('Données projet'!$B$11,Paramètres!$A$1:$I$89,5,0)</f>
        <v>412.02199999999999</v>
      </c>
      <c r="BF102" s="13">
        <f t="shared" si="91"/>
        <v>94.209724877926391</v>
      </c>
      <c r="BG102" s="20">
        <f t="shared" si="61"/>
        <v>881.686920829055</v>
      </c>
      <c r="BH102" s="59">
        <f t="shared" si="62"/>
        <v>1160.7290826705696</v>
      </c>
      <c r="BI102" s="59">
        <f ca="1">AVERAGE(OFFSET($BH$3,0,0,'Données projet'!$E$11+1,1))-AVERAGE(OFFSET($H$3,0,0,'Données projet'!$E$11+1,1))</f>
        <v>525.88595000893986</v>
      </c>
      <c r="BJ102" s="59">
        <f t="shared" si="92"/>
        <v>458.67158147469263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67.17992688839611</v>
      </c>
      <c r="BQ102" s="21">
        <f>EXP(-LN(2)/25)*BQ101+(1-EXP(-LN(2)/25))/(LN(2)/25)*Calculateur!BL102*Calculateur!BN102*VLOOKUP('Données projet'!$B$11,Paramètres!$A$1:$I$89,3,0)*0.475*44/12</f>
        <v>8.6919931967194124</v>
      </c>
      <c r="BR102" s="21">
        <f>EXP(-LN(2)/2)*BR101+(1-EXP(-LN(2)/2))/(LN(2)/2)*BL102*BO102*VLOOKUP('Données projet'!$B$11,Paramètres!$A$1:$I$89,3,0)*0.475*44/12</f>
        <v>2.1552861642002382E-12</v>
      </c>
      <c r="BS102" s="22">
        <f t="shared" si="63"/>
        <v>75.871920085117679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66.102407774958536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4.4080000000000004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16.16266666666667</v>
      </c>
      <c r="H103" s="66">
        <f t="shared" si="56"/>
        <v>192.01600000000005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515.66999999999996</v>
      </c>
      <c r="L103" s="12">
        <f>VLOOKUP(A103,'Données projet'!$A$35:$I$55,9,0)</f>
        <v>10.754999999999995</v>
      </c>
      <c r="M103" s="12">
        <f t="array" ref="M103">INDEX(L:L,MIN(IF(ISNUMBER(L103:L299),ROW(L103:L299),"")))</f>
        <v>10.754999999999995</v>
      </c>
      <c r="N103" s="13">
        <f>IF('Données projet'!$A$36&gt;35,N102+M103-V102,IF(A103&lt;'Données projet'!$A$36,$K$205^A103,IF(A103='Données projet'!$A$36,'Données projet'!$B$36,N102+M103-V102)))</f>
        <v>515.66999999999962</v>
      </c>
      <c r="O103" s="13">
        <f>N103*VLOOKUP('Données projet'!$B$9,Paramètres!$A$1:$I$89,3,0)*VLOOKUP('Données projet'!$B$9,Paramètres!$A$1:$I$89,5,0)</f>
        <v>466.57821599999966</v>
      </c>
      <c r="P103" s="13">
        <f t="shared" si="87"/>
        <v>105.15107479395371</v>
      </c>
      <c r="Q103" s="20">
        <f t="shared" si="107"/>
        <v>995.76184813280224</v>
      </c>
      <c r="R103" s="59">
        <f t="shared" si="55"/>
        <v>1275.0519298494269</v>
      </c>
      <c r="S103" s="59">
        <f ca="1">AVERAGE(OFFSET($R$3,0,0,'Données projet'!$E$9+1,1))-AVERAGE(OFFSET($H$3,0,0,'Données projet'!$E$9+1,1))</f>
        <v>737.52606296329941</v>
      </c>
      <c r="T103" s="59">
        <f t="shared" si="88"/>
        <v>270.54143254083715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85.23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142.86728121423491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142.86728121423491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350.79021120000021</v>
      </c>
      <c r="AK103" s="13">
        <f t="shared" si="89"/>
        <v>81.725202568243191</v>
      </c>
      <c r="AL103" s="20">
        <f t="shared" si="58"/>
        <v>753.29767897969066</v>
      </c>
      <c r="AM103" s="59">
        <f t="shared" si="59"/>
        <v>1032.5877606963154</v>
      </c>
      <c r="AN103" s="59">
        <f ca="1">AVERAGE(OFFSET($AM$3,0,0,'Données projet'!$E$10+1,1))-AVERAGE(OFFSET($H$3,0,0,'Données projet'!$E$10+1,1))</f>
        <v>691.79662395689525</v>
      </c>
      <c r="AO103" s="59">
        <f t="shared" si="90"/>
        <v>213.38682325741539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90.446633116091675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90.446633116091675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689</v>
      </c>
      <c r="BE103" s="13">
        <f>BD103*VLOOKUP('Données projet'!$B$11,Paramètres!$A$1:$I$89,3,0)*VLOOKUP('Données projet'!$B$11,Paramètres!$A$1:$I$89,5,0)</f>
        <v>412.02199999999999</v>
      </c>
      <c r="BF103" s="13">
        <f t="shared" si="91"/>
        <v>94.209724877926391</v>
      </c>
      <c r="BG103" s="20">
        <f t="shared" si="61"/>
        <v>881.686920829055</v>
      </c>
      <c r="BH103" s="59">
        <f t="shared" si="62"/>
        <v>1160.9770025456796</v>
      </c>
      <c r="BI103" s="59">
        <f ca="1">AVERAGE(OFFSET($BH$3,0,0,'Données projet'!$E$11+1,1))-AVERAGE(OFFSET($H$3,0,0,'Données projet'!$E$11+1,1))</f>
        <v>525.88595000893986</v>
      </c>
      <c r="BJ103" s="59">
        <f t="shared" si="92"/>
        <v>458.67158147469263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65.862569497824055</v>
      </c>
      <c r="BQ103" s="21">
        <f>EXP(-LN(2)/25)*BQ102+(1-EXP(-LN(2)/25))/(LN(2)/25)*Calculateur!BL103*Calculateur!BN103*VLOOKUP('Données projet'!$B$11,Paramètres!$A$1:$I$89,3,0)*0.475*44/12</f>
        <v>8.4543101856630631</v>
      </c>
      <c r="BR103" s="21">
        <f>EXP(-LN(2)/2)*BR102+(1-EXP(-LN(2)/2))/(LN(2)/2)*BL103*BO103*VLOOKUP('Données projet'!$B$11,Paramètres!$A$1:$I$89,3,0)*0.475*44/12</f>
        <v>1.5240174621035312E-12</v>
      </c>
      <c r="BS103" s="22">
        <f t="shared" si="63"/>
        <v>74.316879683488636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66.170022286352193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4.4080000000000004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16.16266666666667</v>
      </c>
      <c r="H104" s="66">
        <f t="shared" si="56"/>
        <v>192.01600000000005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10.060000000000002</v>
      </c>
      <c r="N104" s="13">
        <f>IF('Données projet'!$A$36&gt;35,N103+M104-V103,IF(A104&lt;'Données projet'!$A$36,$K$205^A104,IF(A104='Données projet'!$A$36,'Données projet'!$B$36,N103+M104-V103)))</f>
        <v>440.49999999999955</v>
      </c>
      <c r="O104" s="13">
        <f>N104*VLOOKUP('Données projet'!$B$9,Paramètres!$A$1:$I$89,3,0)*VLOOKUP('Données projet'!$B$9,Paramètres!$A$1:$I$89,5,0)</f>
        <v>398.56439999999958</v>
      </c>
      <c r="P104" s="13">
        <f t="shared" si="87"/>
        <v>91.48555847776619</v>
      </c>
      <c r="Q104" s="20">
        <f t="shared" si="107"/>
        <v>853.50367768210856</v>
      </c>
      <c r="R104" s="59">
        <f t="shared" si="55"/>
        <v>1133.0373784182761</v>
      </c>
      <c r="S104" s="59">
        <f ca="1">AVERAGE(OFFSET($R$3,0,0,'Données projet'!$E$9+1,1))-AVERAGE(OFFSET($H$3,0,0,'Données projet'!$E$9+1,1))</f>
        <v>737.52606296329941</v>
      </c>
      <c r="T104" s="59">
        <f t="shared" si="88"/>
        <v>270.54143254083715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140.06574097006089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140.06574097006089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358.77603840000023</v>
      </c>
      <c r="AK104" s="13">
        <f t="shared" si="89"/>
        <v>83.366975851878067</v>
      </c>
      <c r="AL104" s="20">
        <f t="shared" si="58"/>
        <v>770.0657498220213</v>
      </c>
      <c r="AM104" s="59">
        <f t="shared" si="59"/>
        <v>1049.5994505581889</v>
      </c>
      <c r="AN104" s="59">
        <f ca="1">AVERAGE(OFFSET($AM$3,0,0,'Données projet'!$E$10+1,1))-AVERAGE(OFFSET($H$3,0,0,'Données projet'!$E$10+1,1))</f>
        <v>691.79662395689525</v>
      </c>
      <c r="AO104" s="59">
        <f t="shared" si="90"/>
        <v>213.38682325741539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88.673029807684031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88.673029807684031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689</v>
      </c>
      <c r="BE104" s="13">
        <f>BD104*VLOOKUP('Données projet'!$B$11,Paramètres!$A$1:$I$89,3,0)*VLOOKUP('Données projet'!$B$11,Paramètres!$A$1:$I$89,5,0)</f>
        <v>412.02199999999999</v>
      </c>
      <c r="BF104" s="13">
        <f t="shared" si="91"/>
        <v>94.209724877926391</v>
      </c>
      <c r="BG104" s="20">
        <f t="shared" si="61"/>
        <v>881.686920829055</v>
      </c>
      <c r="BH104" s="59">
        <f t="shared" si="62"/>
        <v>1161.2206215652225</v>
      </c>
      <c r="BI104" s="59">
        <f ca="1">AVERAGE(OFFSET($BH$3,0,0,'Données projet'!$E$11+1,1))-AVERAGE(OFFSET($H$3,0,0,'Données projet'!$E$11+1,1))</f>
        <v>525.88595000893986</v>
      </c>
      <c r="BJ104" s="59">
        <f t="shared" si="92"/>
        <v>458.67158147469263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64.571044682172442</v>
      </c>
      <c r="BQ104" s="21">
        <f>EXP(-LN(2)/25)*BQ103+(1-EXP(-LN(2)/25))/(LN(2)/25)*Calculateur!BL104*Calculateur!BN104*VLOOKUP('Données projet'!$B$11,Paramètres!$A$1:$I$89,3,0)*0.475*44/12</f>
        <v>8.2231266290432572</v>
      </c>
      <c r="BR104" s="21">
        <f>EXP(-LN(2)/2)*BR103+(1-EXP(-LN(2)/2))/(LN(2)/2)*BL104*BO104*VLOOKUP('Données projet'!$B$11,Paramètres!$A$1:$I$89,3,0)*0.475*44/12</f>
        <v>1.0776430821001191E-12</v>
      </c>
      <c r="BS104" s="22">
        <f t="shared" si="63"/>
        <v>72.794171311216786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66.236463837136583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4.4080000000000004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16.16266666666667</v>
      </c>
      <c r="H105" s="66">
        <f t="shared" si="56"/>
        <v>192.01600000000005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10.060000000000002</v>
      </c>
      <c r="N105" s="13">
        <f>IF('Données projet'!$A$36&gt;35,N104+M105-V104,IF(A105&lt;'Données projet'!$A$36,$K$205^A105,IF(A105='Données projet'!$A$36,'Données projet'!$B$36,N104+M105-V104)))</f>
        <v>450.55999999999955</v>
      </c>
      <c r="O105" s="13">
        <f>N105*VLOOKUP('Données projet'!$B$9,Paramètres!$A$1:$I$89,3,0)*VLOOKUP('Données projet'!$B$9,Paramètres!$A$1:$I$89,5,0)</f>
        <v>407.66668799999957</v>
      </c>
      <c r="P105" s="13">
        <f t="shared" si="87"/>
        <v>93.329246968763528</v>
      </c>
      <c r="Q105" s="20">
        <f t="shared" si="107"/>
        <v>872.56792007059573</v>
      </c>
      <c r="R105" s="59">
        <f t="shared" si="55"/>
        <v>1152.3410135809675</v>
      </c>
      <c r="S105" s="59">
        <f ca="1">AVERAGE(OFFSET($R$3,0,0,'Données projet'!$E$9+1,1))-AVERAGE(OFFSET($H$3,0,0,'Données projet'!$E$9+1,1))</f>
        <v>737.52606296329941</v>
      </c>
      <c r="T105" s="59">
        <f t="shared" si="88"/>
        <v>270.54143254083715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137.31913722130432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137.31913722130432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366.76186560000025</v>
      </c>
      <c r="AK105" s="13">
        <f t="shared" si="89"/>
        <v>85.004500611622973</v>
      </c>
      <c r="AL105" s="20">
        <f t="shared" si="58"/>
        <v>786.82642115191038</v>
      </c>
      <c r="AM105" s="59">
        <f t="shared" si="59"/>
        <v>1066.599514662282</v>
      </c>
      <c r="AN105" s="59">
        <f ca="1">AVERAGE(OFFSET($AM$3,0,0,'Données projet'!$E$10+1,1))-AVERAGE(OFFSET($H$3,0,0,'Données projet'!$E$10+1,1))</f>
        <v>691.79662395689525</v>
      </c>
      <c r="AO105" s="59">
        <f t="shared" si="90"/>
        <v>213.38682325741539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86.934205778363065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86.934205778363065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689</v>
      </c>
      <c r="BE105" s="13">
        <f>BD105*VLOOKUP('Données projet'!$B$11,Paramètres!$A$1:$I$89,3,0)*VLOOKUP('Données projet'!$B$11,Paramètres!$A$1:$I$89,5,0)</f>
        <v>412.02199999999999</v>
      </c>
      <c r="BF105" s="13">
        <f t="shared" si="91"/>
        <v>94.209724877926391</v>
      </c>
      <c r="BG105" s="20">
        <f t="shared" si="61"/>
        <v>881.686920829055</v>
      </c>
      <c r="BH105" s="59">
        <f t="shared" si="62"/>
        <v>1161.4600143394266</v>
      </c>
      <c r="BI105" s="59">
        <f ca="1">AVERAGE(OFFSET($BH$3,0,0,'Données projet'!$E$11+1,1))-AVERAGE(OFFSET($H$3,0,0,'Données projet'!$E$11+1,1))</f>
        <v>525.88595000893986</v>
      </c>
      <c r="BJ105" s="59">
        <f t="shared" si="92"/>
        <v>458.67158147469263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63.304845880403406</v>
      </c>
      <c r="BQ105" s="21">
        <f>EXP(-LN(2)/25)*BQ104+(1-EXP(-LN(2)/25))/(LN(2)/25)*Calculateur!BL105*Calculateur!BN105*VLOOKUP('Données projet'!$B$11,Paramètres!$A$1:$I$89,3,0)*0.475*44/12</f>
        <v>7.998264798936634</v>
      </c>
      <c r="BR105" s="21">
        <f>EXP(-LN(2)/2)*BR104+(1-EXP(-LN(2)/2))/(LN(2)/2)*BL105*BO105*VLOOKUP('Données projet'!$B$11,Paramètres!$A$1:$I$89,3,0)*0.475*44/12</f>
        <v>7.6200873105176562E-13</v>
      </c>
      <c r="BS105" s="22">
        <f t="shared" si="63"/>
        <v>71.303110679340804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66.301752775555912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4.4080000000000004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16.16266666666667</v>
      </c>
      <c r="H106" s="66">
        <f t="shared" si="56"/>
        <v>192.01600000000005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10.060000000000002</v>
      </c>
      <c r="N106" s="13">
        <f>IF('Données projet'!$A$36&gt;35,N105+M106-V105,IF(A106&lt;'Données projet'!$A$36,$K$205^A106,IF(A106='Données projet'!$A$36,'Données projet'!$B$36,N105+M106-V105)))</f>
        <v>460.61999999999955</v>
      </c>
      <c r="O106" s="13">
        <f>N106*VLOOKUP('Données projet'!$B$9,Paramètres!$A$1:$I$89,3,0)*VLOOKUP('Données projet'!$B$9,Paramètres!$A$1:$I$89,5,0)</f>
        <v>416.76897599999961</v>
      </c>
      <c r="P106" s="13">
        <f t="shared" si="87"/>
        <v>95.168149602065114</v>
      </c>
      <c r="Q106" s="20">
        <f t="shared" si="107"/>
        <v>891.62382709026269</v>
      </c>
      <c r="R106" s="59">
        <f t="shared" si="55"/>
        <v>1171.6321604454083</v>
      </c>
      <c r="S106" s="59">
        <f ca="1">AVERAGE(OFFSET($R$3,0,0,'Données projet'!$E$9+1,1))-AVERAGE(OFFSET($H$3,0,0,'Données projet'!$E$9+1,1))</f>
        <v>737.52606296329941</v>
      </c>
      <c r="T106" s="59">
        <f t="shared" si="88"/>
        <v>270.54143254083715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134.62639269679798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134.62639269679798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374.74769280000021</v>
      </c>
      <c r="AK106" s="13">
        <f t="shared" si="89"/>
        <v>86.637880007805521</v>
      </c>
      <c r="AL106" s="20">
        <f t="shared" si="58"/>
        <v>803.57987264026167</v>
      </c>
      <c r="AM106" s="59">
        <f t="shared" si="59"/>
        <v>1083.5882059954072</v>
      </c>
      <c r="AN106" s="59">
        <f ca="1">AVERAGE(OFFSET($AM$3,0,0,'Données projet'!$E$10+1,1))-AVERAGE(OFFSET($H$3,0,0,'Données projet'!$E$10+1,1))</f>
        <v>691.79662395689525</v>
      </c>
      <c r="AO106" s="59">
        <f t="shared" si="90"/>
        <v>213.38682325741539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85.229479027679147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85.229479027679147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689</v>
      </c>
      <c r="BE106" s="13">
        <f>BD106*VLOOKUP('Données projet'!$B$11,Paramètres!$A$1:$I$89,3,0)*VLOOKUP('Données projet'!$B$11,Paramètres!$A$1:$I$89,5,0)</f>
        <v>412.02199999999999</v>
      </c>
      <c r="BF106" s="13">
        <f t="shared" si="91"/>
        <v>94.209724877926391</v>
      </c>
      <c r="BG106" s="20">
        <f t="shared" si="61"/>
        <v>881.686920829055</v>
      </c>
      <c r="BH106" s="59">
        <f t="shared" si="62"/>
        <v>1161.6952541842006</v>
      </c>
      <c r="BI106" s="59">
        <f ca="1">AVERAGE(OFFSET($BH$3,0,0,'Données projet'!$E$11+1,1))-AVERAGE(OFFSET($H$3,0,0,'Données projet'!$E$11+1,1))</f>
        <v>525.88595000893986</v>
      </c>
      <c r="BJ106" s="59">
        <f t="shared" si="92"/>
        <v>458.67158147469263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62.06347646483205</v>
      </c>
      <c r="BQ106" s="21">
        <f>EXP(-LN(2)/25)*BQ105+(1-EXP(-LN(2)/25))/(LN(2)/25)*Calculateur!BL106*Calculateur!BN106*VLOOKUP('Données projet'!$B$11,Paramètres!$A$1:$I$89,3,0)*0.475*44/12</f>
        <v>7.7795518273992466</v>
      </c>
      <c r="BR106" s="21">
        <f>EXP(-LN(2)/2)*BR105+(1-EXP(-LN(2)/2))/(LN(2)/2)*BL106*BO106*VLOOKUP('Données projet'!$B$11,Paramètres!$A$1:$I$89,3,0)*0.475*44/12</f>
        <v>5.3882154105005956E-13</v>
      </c>
      <c r="BS106" s="22">
        <f t="shared" si="63"/>
        <v>69.843028292231836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66.365909096857862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4.4080000000000004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16.16266666666667</v>
      </c>
      <c r="H107" s="66">
        <f t="shared" si="56"/>
        <v>192.01600000000005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10.060000000000002</v>
      </c>
      <c r="N107" s="13">
        <f>IF('Données projet'!$A$36&gt;35,N106+M107-V106,IF(A107&lt;'Données projet'!$A$36,$K$205^A107,IF(A107='Données projet'!$A$36,'Données projet'!$B$36,N106+M107-V106)))</f>
        <v>470.67999999999955</v>
      </c>
      <c r="O107" s="13">
        <f>N107*VLOOKUP('Données projet'!$B$9,Paramètres!$A$1:$I$89,3,0)*VLOOKUP('Données projet'!$B$9,Paramètres!$A$1:$I$89,5,0)</f>
        <v>425.87126399999954</v>
      </c>
      <c r="P107" s="13">
        <f t="shared" si="87"/>
        <v>97.002382938501356</v>
      </c>
      <c r="Q107" s="20">
        <f t="shared" si="107"/>
        <v>910.67160175122228</v>
      </c>
      <c r="R107" s="59">
        <f t="shared" si="55"/>
        <v>1190.9110940657522</v>
      </c>
      <c r="S107" s="59">
        <f ca="1">AVERAGE(OFFSET($R$3,0,0,'Données projet'!$E$9+1,1))-AVERAGE(OFFSET($H$3,0,0,'Données projet'!$E$9+1,1))</f>
        <v>737.52606296329941</v>
      </c>
      <c r="T107" s="59">
        <f t="shared" si="88"/>
        <v>270.54143254083715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131.98645125000525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131.98645125000525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382.73352000000023</v>
      </c>
      <c r="AK107" s="13">
        <f t="shared" si="89"/>
        <v>88.267212552908134</v>
      </c>
      <c r="AL107" s="20">
        <f t="shared" si="58"/>
        <v>820.32627586298202</v>
      </c>
      <c r="AM107" s="59">
        <f t="shared" si="59"/>
        <v>1100.5657681775119</v>
      </c>
      <c r="AN107" s="59">
        <f ca="1">AVERAGE(OFFSET($AM$3,0,0,'Données projet'!$E$10+1,1))-AVERAGE(OFFSET($H$3,0,0,'Données projet'!$E$10+1,1))</f>
        <v>691.79662395689525</v>
      </c>
      <c r="AO107" s="59">
        <f t="shared" si="90"/>
        <v>213.38682325741539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110.78483933901069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110.78483933901069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689</v>
      </c>
      <c r="BE107" s="13">
        <f>BD107*VLOOKUP('Données projet'!$B$11,Paramètres!$A$1:$I$89,3,0)*VLOOKUP('Données projet'!$B$11,Paramètres!$A$1:$I$89,5,0)</f>
        <v>412.02199999999999</v>
      </c>
      <c r="BF107" s="13">
        <f t="shared" si="91"/>
        <v>94.209724877926391</v>
      </c>
      <c r="BG107" s="20">
        <f t="shared" si="61"/>
        <v>881.686920829055</v>
      </c>
      <c r="BH107" s="59">
        <f t="shared" si="62"/>
        <v>1161.926413143585</v>
      </c>
      <c r="BI107" s="59">
        <f ca="1">AVERAGE(OFFSET($BH$3,0,0,'Données projet'!$E$11+1,1))-AVERAGE(OFFSET($H$3,0,0,'Données projet'!$E$11+1,1))</f>
        <v>525.88595000893986</v>
      </c>
      <c r="BJ107" s="59">
        <f t="shared" si="92"/>
        <v>458.67158147469263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60.846449546339471</v>
      </c>
      <c r="BQ107" s="21">
        <f>EXP(-LN(2)/25)*BQ106+(1-EXP(-LN(2)/25))/(LN(2)/25)*Calculateur!BL107*Calculateur!BN107*VLOOKUP('Données projet'!$B$11,Paramètres!$A$1:$I$89,3,0)*0.475*44/12</f>
        <v>7.5668195735701635</v>
      </c>
      <c r="BR107" s="21">
        <f>EXP(-LN(2)/2)*BR106+(1-EXP(-LN(2)/2))/(LN(2)/2)*BL107*BO107*VLOOKUP('Données projet'!$B$11,Paramètres!$A$1:$I$89,3,0)*0.475*44/12</f>
        <v>3.8100436552588281E-13</v>
      </c>
      <c r="BS107" s="22">
        <f t="shared" si="63"/>
        <v>68.413269119910012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66.428952449417267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4.4080000000000004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16.16266666666667</v>
      </c>
      <c r="H108" s="66">
        <f t="shared" si="56"/>
        <v>192.01600000000005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10.060000000000002</v>
      </c>
      <c r="N108" s="13">
        <f>IF('Données projet'!$A$36&gt;35,N107+M108-V107,IF(A108&lt;'Données projet'!$A$36,$K$205^A108,IF(A108='Données projet'!$A$36,'Données projet'!$B$36,N107+M108-V107)))</f>
        <v>480.73999999999955</v>
      </c>
      <c r="O108" s="13">
        <f>N108*VLOOKUP('Données projet'!$B$9,Paramètres!$A$1:$I$89,3,0)*VLOOKUP('Données projet'!$B$9,Paramètres!$A$1:$I$89,5,0)</f>
        <v>434.97355199999959</v>
      </c>
      <c r="P108" s="13">
        <f t="shared" si="87"/>
        <v>98.83205827167825</v>
      </c>
      <c r="Q108" s="20">
        <f t="shared" si="107"/>
        <v>929.71143788983875</v>
      </c>
      <c r="R108" s="59">
        <f t="shared" si="55"/>
        <v>1210.178079072602</v>
      </c>
      <c r="S108" s="59">
        <f ca="1">AVERAGE(OFFSET($R$3,0,0,'Données projet'!$E$9+1,1))-AVERAGE(OFFSET($H$3,0,0,'Données projet'!$E$9+1,1))</f>
        <v>737.52606296329941</v>
      </c>
      <c r="T108" s="59">
        <f t="shared" si="88"/>
        <v>270.54143254083715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129.39827744477881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129.39827744477881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333.3121740000002</v>
      </c>
      <c r="AK108" s="13">
        <f t="shared" si="89"/>
        <v>78.116605704426632</v>
      </c>
      <c r="AL108" s="20">
        <f t="shared" si="58"/>
        <v>716.57179131854343</v>
      </c>
      <c r="AM108" s="59">
        <f t="shared" si="59"/>
        <v>997.03843250130672</v>
      </c>
      <c r="AN108" s="59">
        <f ca="1">AVERAGE(OFFSET($AM$3,0,0,'Données projet'!$E$10+1,1))-AVERAGE(OFFSET($H$3,0,0,'Données projet'!$E$10+1,1))</f>
        <v>691.79662395689525</v>
      </c>
      <c r="AO108" s="59">
        <f t="shared" si="90"/>
        <v>213.38682325741539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108.6124162116525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108.6124162116525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689</v>
      </c>
      <c r="BE108" s="13">
        <f>BD108*VLOOKUP('Données projet'!$B$11,Paramètres!$A$1:$I$89,3,0)*VLOOKUP('Données projet'!$B$11,Paramètres!$A$1:$I$89,5,0)</f>
        <v>412.02199999999999</v>
      </c>
      <c r="BF108" s="13">
        <f t="shared" si="91"/>
        <v>94.209724877926391</v>
      </c>
      <c r="BG108" s="20">
        <f t="shared" si="61"/>
        <v>881.686920829055</v>
      </c>
      <c r="BH108" s="59">
        <f t="shared" si="62"/>
        <v>1162.1535620118182</v>
      </c>
      <c r="BI108" s="59">
        <f ca="1">AVERAGE(OFFSET($BH$3,0,0,'Données projet'!$E$11+1,1))-AVERAGE(OFFSET($H$3,0,0,'Données projet'!$E$11+1,1))</f>
        <v>525.88595000893986</v>
      </c>
      <c r="BJ108" s="59">
        <f t="shared" si="92"/>
        <v>458.67158147469263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59.653287783405403</v>
      </c>
      <c r="BQ108" s="21">
        <f>EXP(-LN(2)/25)*BQ107+(1-EXP(-LN(2)/25))/(LN(2)/25)*Calculateur!BL108*Calculateur!BN108*VLOOKUP('Données projet'!$B$11,Paramètres!$A$1:$I$89,3,0)*0.475*44/12</f>
        <v>7.3599044944091405</v>
      </c>
      <c r="BR108" s="21">
        <f>EXP(-LN(2)/2)*BR107+(1-EXP(-LN(2)/2))/(LN(2)/2)*BL108*BO108*VLOOKUP('Données projet'!$B$11,Paramètres!$A$1:$I$89,3,0)*0.475*44/12</f>
        <v>2.6941077052502978E-13</v>
      </c>
      <c r="BS108" s="22">
        <f t="shared" si="63"/>
        <v>67.013192277814809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66.490902140753604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4.4080000000000004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16.16266666666667</v>
      </c>
      <c r="H109" s="66">
        <f t="shared" si="56"/>
        <v>192.01600000000005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10.060000000000002</v>
      </c>
      <c r="N109" s="13">
        <f>IF('Données projet'!$A$36&gt;35,N108+M109-V108,IF(A109&lt;'Données projet'!$A$36,$K$205^A109,IF(A109='Données projet'!$A$36,'Données projet'!$B$36,N108+M109-V108)))</f>
        <v>490.79999999999956</v>
      </c>
      <c r="O109" s="13">
        <f>N109*VLOOKUP('Données projet'!$B$9,Paramètres!$A$1:$I$89,3,0)*VLOOKUP('Données projet'!$B$9,Paramètres!$A$1:$I$89,5,0)</f>
        <v>444.07583999999957</v>
      </c>
      <c r="P109" s="13">
        <f t="shared" si="87"/>
        <v>100.65728197115644</v>
      </c>
      <c r="Q109" s="20">
        <f t="shared" si="107"/>
        <v>948.74352076643015</v>
      </c>
      <c r="R109" s="59">
        <f t="shared" si="55"/>
        <v>1229.4333702923914</v>
      </c>
      <c r="S109" s="59">
        <f ca="1">AVERAGE(OFFSET($R$3,0,0,'Données projet'!$E$9+1,1))-AVERAGE(OFFSET($H$3,0,0,'Données projet'!$E$9+1,1))</f>
        <v>737.52606296329941</v>
      </c>
      <c r="T109" s="59">
        <f t="shared" si="88"/>
        <v>270.54143254083715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126.86085614924274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126.86085614924274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341.1676320000002</v>
      </c>
      <c r="AK109" s="13">
        <f t="shared" si="89"/>
        <v>79.741138430245854</v>
      </c>
      <c r="AL109" s="20">
        <f t="shared" si="58"/>
        <v>733.08277516601174</v>
      </c>
      <c r="AM109" s="59">
        <f t="shared" si="59"/>
        <v>1013.7726246919731</v>
      </c>
      <c r="AN109" s="59">
        <f ca="1">AVERAGE(OFFSET($AM$3,0,0,'Données projet'!$E$10+1,1))-AVERAGE(OFFSET($H$3,0,0,'Données projet'!$E$10+1,1))</f>
        <v>691.79662395689525</v>
      </c>
      <c r="AO109" s="59">
        <f t="shared" si="90"/>
        <v>213.38682325741539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106.48259297677454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106.48259297677454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689</v>
      </c>
      <c r="BE109" s="13">
        <f>BD109*VLOOKUP('Données projet'!$B$11,Paramètres!$A$1:$I$89,3,0)*VLOOKUP('Données projet'!$B$11,Paramètres!$A$1:$I$89,5,0)</f>
        <v>412.02199999999999</v>
      </c>
      <c r="BF109" s="13">
        <f t="shared" si="91"/>
        <v>94.209724877926391</v>
      </c>
      <c r="BG109" s="20">
        <f t="shared" si="61"/>
        <v>881.686920829055</v>
      </c>
      <c r="BH109" s="59">
        <f t="shared" si="62"/>
        <v>1162.3767703550163</v>
      </c>
      <c r="BI109" s="59">
        <f ca="1">AVERAGE(OFFSET($BH$3,0,0,'Données projet'!$E$11+1,1))-AVERAGE(OFFSET($H$3,0,0,'Données projet'!$E$11+1,1))</f>
        <v>525.88595000893986</v>
      </c>
      <c r="BJ109" s="59">
        <f t="shared" si="92"/>
        <v>458.67158147469263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58.483523194885663</v>
      </c>
      <c r="BQ109" s="21">
        <f>EXP(-LN(2)/25)*BQ108+(1-EXP(-LN(2)/25))/(LN(2)/25)*Calculateur!BL109*Calculateur!BN109*VLOOKUP('Données projet'!$B$11,Paramètres!$A$1:$I$89,3,0)*0.475*44/12</f>
        <v>7.1586475189689667</v>
      </c>
      <c r="BR109" s="21">
        <f>EXP(-LN(2)/2)*BR108+(1-EXP(-LN(2)/2))/(LN(2)/2)*BL109*BO109*VLOOKUP('Données projet'!$B$11,Paramètres!$A$1:$I$89,3,0)*0.475*44/12</f>
        <v>1.905021827629414E-13</v>
      </c>
      <c r="BS109" s="22">
        <f t="shared" si="63"/>
        <v>65.64217071385481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66.551777143443999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4.4080000000000004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16.16266666666667</v>
      </c>
      <c r="H110" s="66">
        <f t="shared" si="56"/>
        <v>192.01600000000005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10.060000000000002</v>
      </c>
      <c r="N110" s="13">
        <f>IF('Données projet'!$A$36&gt;35,N109+M110-V109,IF(A110&lt;'Données projet'!$A$36,$K$205^A110,IF(A110='Données projet'!$A$36,'Données projet'!$B$36,N109+M110-V109)))</f>
        <v>500.85999999999956</v>
      </c>
      <c r="O110" s="13">
        <f>N110*VLOOKUP('Données projet'!$B$9,Paramètres!$A$1:$I$89,3,0)*VLOOKUP('Données projet'!$B$9,Paramètres!$A$1:$I$89,5,0)</f>
        <v>453.17812799999962</v>
      </c>
      <c r="P110" s="13">
        <f t="shared" si="87"/>
        <v>102.47815579669938</v>
      </c>
      <c r="Q110" s="20">
        <f t="shared" si="107"/>
        <v>967.76802761258398</v>
      </c>
      <c r="R110" s="59">
        <f t="shared" si="55"/>
        <v>1248.677213316008</v>
      </c>
      <c r="S110" s="59">
        <f ca="1">AVERAGE(OFFSET($R$3,0,0,'Données projet'!$E$9+1,1))-AVERAGE(OFFSET($H$3,0,0,'Données projet'!$E$9+1,1))</f>
        <v>737.52606296329941</v>
      </c>
      <c r="T110" s="59">
        <f t="shared" si="88"/>
        <v>270.54143254083715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124.37319213763794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124.37319213763794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349.0230900000002</v>
      </c>
      <c r="AK110" s="13">
        <f t="shared" si="89"/>
        <v>81.361322612341581</v>
      </c>
      <c r="AL110" s="20">
        <f t="shared" si="58"/>
        <v>749.58618529982857</v>
      </c>
      <c r="AM110" s="59">
        <f t="shared" si="59"/>
        <v>1030.4953710032526</v>
      </c>
      <c r="AN110" s="59">
        <f ca="1">AVERAGE(OFFSET($AM$3,0,0,'Données projet'!$E$10+1,1))-AVERAGE(OFFSET($H$3,0,0,'Données projet'!$E$10+1,1))</f>
        <v>691.79662395689525</v>
      </c>
      <c r="AO110" s="59">
        <f t="shared" si="90"/>
        <v>213.38682325741539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104.39453427646863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104.39453427646863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689</v>
      </c>
      <c r="BE110" s="13">
        <f>BD110*VLOOKUP('Données projet'!$B$11,Paramètres!$A$1:$I$89,3,0)*VLOOKUP('Données projet'!$B$11,Paramètres!$A$1:$I$89,5,0)</f>
        <v>412.02199999999999</v>
      </c>
      <c r="BF110" s="13">
        <f t="shared" si="91"/>
        <v>94.209724877926391</v>
      </c>
      <c r="BG110" s="20">
        <f t="shared" si="61"/>
        <v>881.686920829055</v>
      </c>
      <c r="BH110" s="59">
        <f t="shared" si="62"/>
        <v>1162.5961065324791</v>
      </c>
      <c r="BI110" s="59">
        <f ca="1">AVERAGE(OFFSET($BH$3,0,0,'Données projet'!$E$11+1,1))-AVERAGE(OFFSET($H$3,0,0,'Données projet'!$E$11+1,1))</f>
        <v>525.88595000893986</v>
      </c>
      <c r="BJ110" s="59">
        <f t="shared" si="92"/>
        <v>458.67158147469263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57.336696976460843</v>
      </c>
      <c r="BQ110" s="21">
        <f>EXP(-LN(2)/25)*BQ109+(1-EXP(-LN(2)/25))/(LN(2)/25)*Calculateur!BL110*Calculateur!BN110*VLOOKUP('Données projet'!$B$11,Paramètres!$A$1:$I$89,3,0)*0.475*44/12</f>
        <v>6.9628939261058482</v>
      </c>
      <c r="BR110" s="21">
        <f>EXP(-LN(2)/2)*BR109+(1-EXP(-LN(2)/2))/(LN(2)/2)*BL110*BO110*VLOOKUP('Données projet'!$B$11,Paramètres!$A$1:$I$89,3,0)*0.475*44/12</f>
        <v>1.3470538526251489E-13</v>
      </c>
      <c r="BS110" s="22">
        <f t="shared" si="63"/>
        <v>64.29959090256682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66.611596100933838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4.4080000000000004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16.16266666666667</v>
      </c>
      <c r="H111" s="66">
        <f t="shared" si="56"/>
        <v>192.01600000000005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10.060000000000002</v>
      </c>
      <c r="N111" s="13">
        <f>IF('Données projet'!$A$36&gt;35,N110+M111-V110,IF(A111&lt;'Données projet'!$A$36,$K$205^A111,IF(A111='Données projet'!$A$36,'Données projet'!$B$36,N110+M111-V110)))</f>
        <v>510.91999999999956</v>
      </c>
      <c r="O111" s="13">
        <f>N111*VLOOKUP('Données projet'!$B$9,Paramètres!$A$1:$I$89,3,0)*VLOOKUP('Données projet'!$B$9,Paramètres!$A$1:$I$89,5,0)</f>
        <v>462.28041599999955</v>
      </c>
      <c r="P111" s="13">
        <f t="shared" si="87"/>
        <v>104.29477718656059</v>
      </c>
      <c r="Q111" s="20">
        <f t="shared" si="107"/>
        <v>986.7851281332587</v>
      </c>
      <c r="R111" s="59">
        <f t="shared" si="55"/>
        <v>1267.9098450218289</v>
      </c>
      <c r="S111" s="59">
        <f ca="1">AVERAGE(OFFSET($R$3,0,0,'Données projet'!$E$9+1,1))-AVERAGE(OFFSET($H$3,0,0,'Données projet'!$E$9+1,1))</f>
        <v>737.52606296329941</v>
      </c>
      <c r="T111" s="59">
        <f t="shared" si="88"/>
        <v>270.54143254083715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121.9343096999755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121.9343096999755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356.87854800000019</v>
      </c>
      <c r="AK111" s="13">
        <f t="shared" si="89"/>
        <v>82.977267391318492</v>
      </c>
      <c r="AL111" s="20">
        <f t="shared" si="58"/>
        <v>766.08221180654664</v>
      </c>
      <c r="AM111" s="59">
        <f t="shared" si="59"/>
        <v>1047.2069286951169</v>
      </c>
      <c r="AN111" s="59">
        <f ca="1">AVERAGE(OFFSET($AM$3,0,0,'Données projet'!$E$10+1,1))-AVERAGE(OFFSET($H$3,0,0,'Données projet'!$E$10+1,1))</f>
        <v>691.79662395689525</v>
      </c>
      <c r="AO111" s="59">
        <f t="shared" si="90"/>
        <v>213.38682325741539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102.34742113368567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102.34742113368567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689</v>
      </c>
      <c r="BE111" s="13">
        <f>BD111*VLOOKUP('Données projet'!$B$11,Paramètres!$A$1:$I$89,3,0)*VLOOKUP('Données projet'!$B$11,Paramètres!$A$1:$I$89,5,0)</f>
        <v>412.02199999999999</v>
      </c>
      <c r="BF111" s="13">
        <f t="shared" si="91"/>
        <v>94.209724877926391</v>
      </c>
      <c r="BG111" s="20">
        <f t="shared" si="61"/>
        <v>881.686920829055</v>
      </c>
      <c r="BH111" s="59">
        <f t="shared" si="62"/>
        <v>1162.8116377176252</v>
      </c>
      <c r="BI111" s="59">
        <f ca="1">AVERAGE(OFFSET($BH$3,0,0,'Données projet'!$E$11+1,1))-AVERAGE(OFFSET($H$3,0,0,'Données projet'!$E$11+1,1))</f>
        <v>525.88595000893986</v>
      </c>
      <c r="BJ111" s="59">
        <f t="shared" si="92"/>
        <v>458.67158147469263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56.212359320684406</v>
      </c>
      <c r="BQ111" s="21">
        <f>EXP(-LN(2)/25)*BQ110+(1-EXP(-LN(2)/25))/(LN(2)/25)*Calculateur!BL111*Calculateur!BN111*VLOOKUP('Données projet'!$B$11,Paramètres!$A$1:$I$89,3,0)*0.475*44/12</f>
        <v>6.7724932255338057</v>
      </c>
      <c r="BR111" s="21">
        <f>EXP(-LN(2)/2)*BR110+(1-EXP(-LN(2)/2))/(LN(2)/2)*BL111*BO111*VLOOKUP('Données projet'!$B$11,Paramètres!$A$1:$I$89,3,0)*0.475*44/12</f>
        <v>9.5251091381470702E-14</v>
      </c>
      <c r="BS111" s="22">
        <f t="shared" si="63"/>
        <v>62.984852546218306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66.670377333246392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4.4080000000000004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16.16266666666667</v>
      </c>
      <c r="H112" s="66">
        <f t="shared" si="56"/>
        <v>192.01600000000005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10.060000000000002</v>
      </c>
      <c r="N112" s="13">
        <f>IF('Données projet'!$A$36&gt;35,N111+M112-V111,IF(A112&lt;'Données projet'!$A$36,$K$205^A112,IF(A112='Données projet'!$A$36,'Données projet'!$B$36,N111+M112-V111)))</f>
        <v>520.97999999999956</v>
      </c>
      <c r="O112" s="13">
        <f>N112*VLOOKUP('Données projet'!$B$9,Paramètres!$A$1:$I$89,3,0)*VLOOKUP('Données projet'!$B$9,Paramètres!$A$1:$I$89,5,0)</f>
        <v>471.38270399999959</v>
      </c>
      <c r="P112" s="13">
        <f t="shared" si="87"/>
        <v>106.10723952242445</v>
      </c>
      <c r="Q112" s="20">
        <f t="shared" si="107"/>
        <v>1005.7949849682217</v>
      </c>
      <c r="R112" s="59">
        <f t="shared" si="55"/>
        <v>1287.1314940577311</v>
      </c>
      <c r="S112" s="59">
        <f ca="1">AVERAGE(OFFSET($R$3,0,0,'Données projet'!$E$9+1,1))-AVERAGE(OFFSET($H$3,0,0,'Données projet'!$E$9+1,1))</f>
        <v>737.52606296329941</v>
      </c>
      <c r="T112" s="59">
        <f t="shared" si="88"/>
        <v>270.54143254083715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119.54325225934421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119.54325225934421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364.73400600000019</v>
      </c>
      <c r="AK112" s="13">
        <f t="shared" si="89"/>
        <v>84.589076828709338</v>
      </c>
      <c r="AL112" s="20">
        <f t="shared" si="58"/>
        <v>782.57103592666908</v>
      </c>
      <c r="AM112" s="59">
        <f t="shared" si="59"/>
        <v>1063.9075450161786</v>
      </c>
      <c r="AN112" s="59">
        <f ca="1">AVERAGE(OFFSET($AM$3,0,0,'Données projet'!$E$10+1,1))-AVERAGE(OFFSET($H$3,0,0,'Données projet'!$E$10+1,1))</f>
        <v>691.79662395689525</v>
      </c>
      <c r="AO112" s="59">
        <f t="shared" si="90"/>
        <v>213.38682325741539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100.34045063101695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100.34045063101695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689</v>
      </c>
      <c r="BE112" s="13">
        <f>BD112*VLOOKUP('Données projet'!$B$11,Paramètres!$A$1:$I$89,3,0)*VLOOKUP('Données projet'!$B$11,Paramètres!$A$1:$I$89,5,0)</f>
        <v>412.02199999999999</v>
      </c>
      <c r="BF112" s="13">
        <f t="shared" si="91"/>
        <v>94.209724877926391</v>
      </c>
      <c r="BG112" s="20">
        <f t="shared" si="61"/>
        <v>881.686920829055</v>
      </c>
      <c r="BH112" s="59">
        <f t="shared" si="62"/>
        <v>1163.0234299185645</v>
      </c>
      <c r="BI112" s="59">
        <f ca="1">AVERAGE(OFFSET($BH$3,0,0,'Données projet'!$E$11+1,1))-AVERAGE(OFFSET($H$3,0,0,'Données projet'!$E$11+1,1))</f>
        <v>525.88595000893986</v>
      </c>
      <c r="BJ112" s="59">
        <f t="shared" si="92"/>
        <v>458.67158147469263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55.110069240559497</v>
      </c>
      <c r="BQ112" s="21">
        <f>EXP(-LN(2)/25)*BQ111+(1-EXP(-LN(2)/25))/(LN(2)/25)*Calculateur!BL112*Calculateur!BN112*VLOOKUP('Données projet'!$B$11,Paramètres!$A$1:$I$89,3,0)*0.475*44/12</f>
        <v>6.5872990421316437</v>
      </c>
      <c r="BR112" s="21">
        <f>EXP(-LN(2)/2)*BR111+(1-EXP(-LN(2)/2))/(LN(2)/2)*BL112*BO112*VLOOKUP('Données projet'!$B$11,Paramètres!$A$1:$I$89,3,0)*0.475*44/12</f>
        <v>6.7352692631257445E-14</v>
      </c>
      <c r="BS112" s="22">
        <f t="shared" si="63"/>
        <v>61.697368282691208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66.728138842593467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4.4080000000000004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16.16266666666667</v>
      </c>
      <c r="H113" s="66">
        <f t="shared" si="56"/>
        <v>192.01600000000005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531.04</v>
      </c>
      <c r="L113" s="12">
        <f>VLOOKUP(A113,'Données projet'!$A$35:$I$55,9,0)</f>
        <v>10.060000000000002</v>
      </c>
      <c r="M113" s="12">
        <f t="array" ref="M113">INDEX(L:L,MIN(IF(ISNUMBER(L113:L309),ROW(L113:L309),"")))</f>
        <v>10.060000000000002</v>
      </c>
      <c r="N113" s="13">
        <f>IF('Données projet'!$A$36&gt;35,N112+M113-V112,IF(A113&lt;'Données projet'!$A$36,$K$205^A113,IF(A113='Données projet'!$A$36,'Données projet'!$B$36,N112+M113-V112)))</f>
        <v>531.03999999999951</v>
      </c>
      <c r="O113" s="13">
        <f>N113*VLOOKUP('Données projet'!$B$9,Paramètres!$A$1:$I$89,3,0)*VLOOKUP('Données projet'!$B$9,Paramètres!$A$1:$I$89,5,0)</f>
        <v>480.48499199999958</v>
      </c>
      <c r="P113" s="13">
        <f t="shared" si="87"/>
        <v>107.91563237330452</v>
      </c>
      <c r="Q113" s="20">
        <f t="shared" si="107"/>
        <v>1024.797754116838</v>
      </c>
      <c r="R113" s="59">
        <f t="shared" si="55"/>
        <v>1306.3423812860967</v>
      </c>
      <c r="S113" s="59">
        <f ca="1">AVERAGE(OFFSET($R$3,0,0,'Données projet'!$E$9+1,1))-AVERAGE(OFFSET($H$3,0,0,'Données projet'!$E$9+1,1))</f>
        <v>737.52606296329941</v>
      </c>
      <c r="T113" s="59">
        <f t="shared" si="88"/>
        <v>270.54143254083715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67.22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146.11031847558075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146.11031847558075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372.58946400000019</v>
      </c>
      <c r="AK113" s="13">
        <f t="shared" si="89"/>
        <v>86.196850247558444</v>
      </c>
      <c r="AL113" s="20">
        <f t="shared" si="58"/>
        <v>799.05283064783123</v>
      </c>
      <c r="AM113" s="59">
        <f t="shared" si="59"/>
        <v>1080.5974578170901</v>
      </c>
      <c r="AN113" s="59">
        <f ca="1">AVERAGE(OFFSET($AM$3,0,0,'Données projet'!$E$10+1,1))-AVERAGE(OFFSET($H$3,0,0,'Données projet'!$E$10+1,1))</f>
        <v>691.79662395689525</v>
      </c>
      <c r="AO113" s="59">
        <f t="shared" si="90"/>
        <v>213.38682325741539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98.372835595774433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98.372835595774433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689</v>
      </c>
      <c r="BE113" s="13">
        <f>BD113*VLOOKUP('Données projet'!$B$11,Paramètres!$A$1:$I$89,3,0)*VLOOKUP('Données projet'!$B$11,Paramètres!$A$1:$I$89,5,0)</f>
        <v>412.02199999999999</v>
      </c>
      <c r="BF113" s="13">
        <f t="shared" si="91"/>
        <v>94.209724877926391</v>
      </c>
      <c r="BG113" s="20">
        <f t="shared" si="61"/>
        <v>881.686920829055</v>
      </c>
      <c r="BH113" s="59">
        <f t="shared" si="62"/>
        <v>1163.2315479983138</v>
      </c>
      <c r="BI113" s="59">
        <f ca="1">AVERAGE(OFFSET($BH$3,0,0,'Données projet'!$E$11+1,1))-AVERAGE(OFFSET($H$3,0,0,'Données projet'!$E$11+1,1))</f>
        <v>525.88595000893986</v>
      </c>
      <c r="BJ113" s="59">
        <f t="shared" si="92"/>
        <v>458.67158147469263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54.02939439657527</v>
      </c>
      <c r="BQ113" s="21">
        <f>EXP(-LN(2)/25)*BQ112+(1-EXP(-LN(2)/25))/(LN(2)/25)*Calculateur!BL113*Calculateur!BN113*VLOOKUP('Données projet'!$B$11,Paramètres!$A$1:$I$89,3,0)*0.475*44/12</f>
        <v>6.4071690034135527</v>
      </c>
      <c r="BR113" s="21">
        <f>EXP(-LN(2)/2)*BR112+(1-EXP(-LN(2)/2))/(LN(2)/2)*BL113*BO113*VLOOKUP('Données projet'!$B$11,Paramètres!$A$1:$I$89,3,0)*0.475*44/12</f>
        <v>4.7625545690735351E-14</v>
      </c>
      <c r="BS113" s="22">
        <f t="shared" si="63"/>
        <v>60.43656339998887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66.784898318888764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4.4080000000000004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16.16266666666667</v>
      </c>
      <c r="H114" s="66">
        <f t="shared" si="56"/>
        <v>192.01600000000005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10.118000000000006</v>
      </c>
      <c r="N114" s="13">
        <f>IF('Données projet'!$A$36&gt;35,N113+M114-V113,IF(A114&lt;'Données projet'!$A$36,$K$205^A114,IF(A114='Données projet'!$A$36,'Données projet'!$B$36,N113+M114-V113)))</f>
        <v>473.93799999999953</v>
      </c>
      <c r="O114" s="13">
        <f>N114*VLOOKUP('Données projet'!$B$9,Paramètres!$A$1:$I$89,3,0)*VLOOKUP('Données projet'!$B$9,Paramètres!$A$1:$I$89,5,0)</f>
        <v>428.81910239999951</v>
      </c>
      <c r="P114" s="13">
        <f t="shared" si="87"/>
        <v>97.59542964993237</v>
      </c>
      <c r="Q114" s="20">
        <f t="shared" si="107"/>
        <v>916.83864332029782</v>
      </c>
      <c r="R114" s="59">
        <f t="shared" si="55"/>
        <v>1198.5877781859047</v>
      </c>
      <c r="S114" s="59">
        <f ca="1">AVERAGE(OFFSET($R$3,0,0,'Données projet'!$E$9+1,1))-AVERAGE(OFFSET($H$3,0,0,'Données projet'!$E$9+1,1))</f>
        <v>737.52606296329941</v>
      </c>
      <c r="T114" s="59">
        <f t="shared" si="88"/>
        <v>270.54143254083715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143.24518424876916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143.24518424876916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380.44492200000019</v>
      </c>
      <c r="AK114" s="13">
        <f t="shared" si="89"/>
        <v>87.800682543471467</v>
      </c>
      <c r="AL114" s="20">
        <f t="shared" si="58"/>
        <v>815.52776124654645</v>
      </c>
      <c r="AM114" s="59">
        <f t="shared" si="59"/>
        <v>1097.2768961121533</v>
      </c>
      <c r="AN114" s="59">
        <f ca="1">AVERAGE(OFFSET($AM$3,0,0,'Données projet'!$E$10+1,1))-AVERAGE(OFFSET($H$3,0,0,'Données projet'!$E$10+1,1))</f>
        <v>691.79662395689525</v>
      </c>
      <c r="AO114" s="59">
        <f t="shared" si="90"/>
        <v>213.38682325741539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96.443804291246352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96.443804291246352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689</v>
      </c>
      <c r="BE114" s="13">
        <f>BD114*VLOOKUP('Données projet'!$B$11,Paramètres!$A$1:$I$89,3,0)*VLOOKUP('Données projet'!$B$11,Paramètres!$A$1:$I$89,5,0)</f>
        <v>412.02199999999999</v>
      </c>
      <c r="BF114" s="13">
        <f t="shared" si="91"/>
        <v>94.209724877926391</v>
      </c>
      <c r="BG114" s="20">
        <f t="shared" si="61"/>
        <v>881.686920829055</v>
      </c>
      <c r="BH114" s="59">
        <f t="shared" si="62"/>
        <v>1163.4360556946617</v>
      </c>
      <c r="BI114" s="59">
        <f ca="1">AVERAGE(OFFSET($BH$3,0,0,'Données projet'!$E$11+1,1))-AVERAGE(OFFSET($H$3,0,0,'Données projet'!$E$11+1,1))</f>
        <v>525.88595000893986</v>
      </c>
      <c r="BJ114" s="59">
        <f t="shared" si="92"/>
        <v>458.67158147469263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52.969910927135004</v>
      </c>
      <c r="BQ114" s="21">
        <f>EXP(-LN(2)/25)*BQ113+(1-EXP(-LN(2)/25))/(LN(2)/25)*Calculateur!BL114*Calculateur!BN114*VLOOKUP('Données projet'!$B$11,Paramètres!$A$1:$I$89,3,0)*0.475*44/12</f>
        <v>6.2319646300768348</v>
      </c>
      <c r="BR114" s="21">
        <f>EXP(-LN(2)/2)*BR113+(1-EXP(-LN(2)/2))/(LN(2)/2)*BL114*BO114*VLOOKUP('Données projet'!$B$11,Paramètres!$A$1:$I$89,3,0)*0.475*44/12</f>
        <v>3.3676346315628723E-14</v>
      </c>
      <c r="BS114" s="22">
        <f t="shared" si="63"/>
        <v>59.201875557211871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66.840673145165496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4.4080000000000004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16.16266666666667</v>
      </c>
      <c r="H115" s="66">
        <f t="shared" si="56"/>
        <v>192.01600000000005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10.118000000000006</v>
      </c>
      <c r="N115" s="13">
        <f>IF('Données projet'!$A$36&gt;35,N114+M115-V114,IF(A115&lt;'Données projet'!$A$36,$K$205^A115,IF(A115='Données projet'!$A$36,'Données projet'!$B$36,N114+M115-V114)))</f>
        <v>484.05599999999953</v>
      </c>
      <c r="O115" s="13">
        <f>N115*VLOOKUP('Données projet'!$B$9,Paramètres!$A$1:$I$89,3,0)*VLOOKUP('Données projet'!$B$9,Paramètres!$A$1:$I$89,5,0)</f>
        <v>437.97386879999954</v>
      </c>
      <c r="P115" s="13">
        <f t="shared" si="87"/>
        <v>99.434179411722852</v>
      </c>
      <c r="Q115" s="20">
        <f t="shared" si="107"/>
        <v>935.98568396874987</v>
      </c>
      <c r="R115" s="59">
        <f t="shared" si="55"/>
        <v>1217.9357787793838</v>
      </c>
      <c r="S115" s="59">
        <f ca="1">AVERAGE(OFFSET($R$3,0,0,'Données projet'!$E$9+1,1))-AVERAGE(OFFSET($H$3,0,0,'Données projet'!$E$9+1,1))</f>
        <v>737.52606296329941</v>
      </c>
      <c r="T115" s="59">
        <f t="shared" si="88"/>
        <v>270.54143254083715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140.43623355658602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140.43623355658602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388.30038000000019</v>
      </c>
      <c r="AK115" s="13">
        <f t="shared" si="89"/>
        <v>89.400664469249762</v>
      </c>
      <c r="AL115" s="20">
        <f t="shared" si="58"/>
        <v>831.99598578394352</v>
      </c>
      <c r="AM115" s="59">
        <f t="shared" si="59"/>
        <v>1113.9460805945776</v>
      </c>
      <c r="AN115" s="59">
        <f ca="1">AVERAGE(OFFSET($AM$3,0,0,'Données projet'!$E$10+1,1))-AVERAGE(OFFSET($H$3,0,0,'Données projet'!$E$10+1,1))</f>
        <v>691.79662395689525</v>
      </c>
      <c r="AO115" s="59">
        <f t="shared" si="90"/>
        <v>213.38682325741539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94.552600114007149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94.552600114007149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689</v>
      </c>
      <c r="BE115" s="13">
        <f>BD115*VLOOKUP('Données projet'!$B$11,Paramètres!$A$1:$I$89,3,0)*VLOOKUP('Données projet'!$B$11,Paramètres!$A$1:$I$89,5,0)</f>
        <v>412.02199999999999</v>
      </c>
      <c r="BF115" s="13">
        <f t="shared" si="91"/>
        <v>94.209724877926391</v>
      </c>
      <c r="BG115" s="20">
        <f t="shared" si="61"/>
        <v>881.686920829055</v>
      </c>
      <c r="BH115" s="59">
        <f t="shared" si="62"/>
        <v>1163.637015639689</v>
      </c>
      <c r="BI115" s="59">
        <f ca="1">AVERAGE(OFFSET($BH$3,0,0,'Données projet'!$E$11+1,1))-AVERAGE(OFFSET($H$3,0,0,'Données projet'!$E$11+1,1))</f>
        <v>525.88595000893986</v>
      </c>
      <c r="BJ115" s="59">
        <f t="shared" si="92"/>
        <v>458.67158147469263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51.931203282309355</v>
      </c>
      <c r="BQ115" s="21">
        <f>EXP(-LN(2)/25)*BQ114+(1-EXP(-LN(2)/25))/(LN(2)/25)*Calculateur!BL115*Calculateur!BN115*VLOOKUP('Données projet'!$B$11,Paramètres!$A$1:$I$89,3,0)*0.475*44/12</f>
        <v>6.0615512295426068</v>
      </c>
      <c r="BR115" s="21">
        <f>EXP(-LN(2)/2)*BR114+(1-EXP(-LN(2)/2))/(LN(2)/2)*BL115*BO115*VLOOKUP('Données projet'!$B$11,Paramètres!$A$1:$I$89,3,0)*0.475*44/12</f>
        <v>2.3812772845367676E-14</v>
      </c>
      <c r="BS115" s="22">
        <f t="shared" si="63"/>
        <v>57.992754511851984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66.895480402900176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4.4080000000000004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16.16266666666667</v>
      </c>
      <c r="H116" s="66">
        <f t="shared" si="56"/>
        <v>192.01600000000005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10.118000000000006</v>
      </c>
      <c r="N116" s="13">
        <f>IF('Données projet'!$A$36&gt;35,N115+M116-V115,IF(A116&lt;'Données projet'!$A$36,$K$205^A116,IF(A116='Données projet'!$A$36,'Données projet'!$B$36,N115+M116-V115)))</f>
        <v>494.17399999999952</v>
      </c>
      <c r="O116" s="13">
        <f>N116*VLOOKUP('Données projet'!$B$9,Paramètres!$A$1:$I$89,3,0)*VLOOKUP('Données projet'!$B$9,Paramètres!$A$1:$I$89,5,0)</f>
        <v>447.12863519999956</v>
      </c>
      <c r="P116" s="13">
        <f t="shared" si="87"/>
        <v>101.26846048706624</v>
      </c>
      <c r="Q116" s="20">
        <f t="shared" si="107"/>
        <v>955.12494165497276</v>
      </c>
      <c r="R116" s="59">
        <f t="shared" si="55"/>
        <v>1237.2725102048666</v>
      </c>
      <c r="S116" s="59">
        <f ca="1">AVERAGE(OFFSET($R$3,0,0,'Données projet'!$E$9+1,1))-AVERAGE(OFFSET($H$3,0,0,'Données projet'!$E$9+1,1))</f>
        <v>737.52606296329941</v>
      </c>
      <c r="T116" s="59">
        <f t="shared" si="88"/>
        <v>270.54143254083715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137.68236467418583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137.68236467418583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396.15583800000019</v>
      </c>
      <c r="AK116" s="13">
        <f t="shared" si="89"/>
        <v>90.996882895841352</v>
      </c>
      <c r="AL116" s="20">
        <f t="shared" si="58"/>
        <v>848.45765556025719</v>
      </c>
      <c r="AM116" s="59">
        <f t="shared" si="59"/>
        <v>1130.6052241101511</v>
      </c>
      <c r="AN116" s="59">
        <f ca="1">AVERAGE(OFFSET($AM$3,0,0,'Données projet'!$E$10+1,1))-AVERAGE(OFFSET($H$3,0,0,'Données projet'!$E$10+1,1))</f>
        <v>691.79662395689525</v>
      </c>
      <c r="AO116" s="59">
        <f t="shared" si="90"/>
        <v>213.38682325741539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92.698481297162957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92.698481297162957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689</v>
      </c>
      <c r="BE116" s="13">
        <f>BD116*VLOOKUP('Données projet'!$B$11,Paramètres!$A$1:$I$89,3,0)*VLOOKUP('Données projet'!$B$11,Paramètres!$A$1:$I$89,5,0)</f>
        <v>412.02199999999999</v>
      </c>
      <c r="BF116" s="13">
        <f t="shared" si="91"/>
        <v>94.209724877926391</v>
      </c>
      <c r="BG116" s="20">
        <f t="shared" si="61"/>
        <v>881.686920829055</v>
      </c>
      <c r="BH116" s="59">
        <f t="shared" si="62"/>
        <v>1163.834489378949</v>
      </c>
      <c r="BI116" s="59">
        <f ca="1">AVERAGE(OFFSET($BH$3,0,0,'Données projet'!$E$11+1,1))-AVERAGE(OFFSET($H$3,0,0,'Données projet'!$E$11+1,1))</f>
        <v>525.88595000893986</v>
      </c>
      <c r="BJ116" s="59">
        <f t="shared" si="92"/>
        <v>458.67158147469263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50.912864060849635</v>
      </c>
      <c r="BQ116" s="21">
        <f>EXP(-LN(2)/25)*BQ115+(1-EXP(-LN(2)/25))/(LN(2)/25)*Calculateur!BL116*Calculateur!BN116*VLOOKUP('Données projet'!$B$11,Paramètres!$A$1:$I$89,3,0)*0.475*44/12</f>
        <v>5.895797792407639</v>
      </c>
      <c r="BR116" s="21">
        <f>EXP(-LN(2)/2)*BR115+(1-EXP(-LN(2)/2))/(LN(2)/2)*BL116*BO116*VLOOKUP('Données projet'!$B$11,Paramètres!$A$1:$I$89,3,0)*0.475*44/12</f>
        <v>1.6838173157814361E-14</v>
      </c>
      <c r="BS116" s="22">
        <f t="shared" si="63"/>
        <v>56.808661853257291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66.949336877243823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4.4080000000000004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16.16266666666667</v>
      </c>
      <c r="H117" s="66">
        <f t="shared" si="56"/>
        <v>192.01600000000005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10.118000000000006</v>
      </c>
      <c r="N117" s="13">
        <f>IF('Données projet'!$A$36&gt;35,N116+M117-V116,IF(A117&lt;'Données projet'!$A$36,$K$205^A117,IF(A117='Données projet'!$A$36,'Données projet'!$B$36,N116+M117-V116)))</f>
        <v>504.29199999999952</v>
      </c>
      <c r="O117" s="13">
        <f>N117*VLOOKUP('Données projet'!$B$9,Paramètres!$A$1:$I$89,3,0)*VLOOKUP('Données projet'!$B$9,Paramètres!$A$1:$I$89,5,0)</f>
        <v>456.28340159999954</v>
      </c>
      <c r="P117" s="13">
        <f t="shared" si="87"/>
        <v>103.09837491311735</v>
      </c>
      <c r="Q117" s="20">
        <f t="shared" si="107"/>
        <v>974.25659409367847</v>
      </c>
      <c r="R117" s="59">
        <f t="shared" si="55"/>
        <v>1256.5982106549416</v>
      </c>
      <c r="S117" s="59">
        <f ca="1">AVERAGE(OFFSET($R$3,0,0,'Données projet'!$E$9+1,1))-AVERAGE(OFFSET($H$3,0,0,'Données projet'!$E$9+1,1))</f>
        <v>737.52606296329941</v>
      </c>
      <c r="T117" s="59">
        <f t="shared" si="88"/>
        <v>270.54143254083715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134.98249748087537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134.98249748087537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404.01129600000019</v>
      </c>
      <c r="AK117" s="13">
        <f t="shared" si="89"/>
        <v>92.589421052009186</v>
      </c>
      <c r="AL117" s="20">
        <f t="shared" si="58"/>
        <v>864.91291553224971</v>
      </c>
      <c r="AM117" s="59">
        <f t="shared" si="59"/>
        <v>1147.2545320935128</v>
      </c>
      <c r="AN117" s="59">
        <f ca="1">AVERAGE(OFFSET($AM$3,0,0,'Données projet'!$E$10+1,1))-AVERAGE(OFFSET($H$3,0,0,'Données projet'!$E$10+1,1))</f>
        <v>691.79662395689525</v>
      </c>
      <c r="AO117" s="59">
        <f t="shared" si="90"/>
        <v>213.38682325741539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116.2437167493509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116.2437167493509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689</v>
      </c>
      <c r="BE117" s="13">
        <f>BD117*VLOOKUP('Données projet'!$B$11,Paramètres!$A$1:$I$89,3,0)*VLOOKUP('Données projet'!$B$11,Paramètres!$A$1:$I$89,5,0)</f>
        <v>412.02199999999999</v>
      </c>
      <c r="BF117" s="13">
        <f t="shared" si="91"/>
        <v>94.209724877926391</v>
      </c>
      <c r="BG117" s="20">
        <f t="shared" si="61"/>
        <v>881.686920829055</v>
      </c>
      <c r="BH117" s="59">
        <f t="shared" si="62"/>
        <v>1164.028537390318</v>
      </c>
      <c r="BI117" s="59">
        <f ca="1">AVERAGE(OFFSET($BH$3,0,0,'Données projet'!$E$11+1,1))-AVERAGE(OFFSET($H$3,0,0,'Données projet'!$E$11+1,1))</f>
        <v>525.88595000893986</v>
      </c>
      <c r="BJ117" s="59">
        <f t="shared" si="92"/>
        <v>458.67158147469263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49.914493850397143</v>
      </c>
      <c r="BQ117" s="21">
        <f>EXP(-LN(2)/25)*BQ116+(1-EXP(-LN(2)/25))/(LN(2)/25)*Calculateur!BL117*Calculateur!BN117*VLOOKUP('Données projet'!$B$11,Paramètres!$A$1:$I$89,3,0)*0.475*44/12</f>
        <v>5.7345768917277216</v>
      </c>
      <c r="BR117" s="21">
        <f>EXP(-LN(2)/2)*BR116+(1-EXP(-LN(2)/2))/(LN(2)/2)*BL117*BO117*VLOOKUP('Données projet'!$B$11,Paramètres!$A$1:$I$89,3,0)*0.475*44/12</f>
        <v>1.1906386422683838E-14</v>
      </c>
      <c r="BS117" s="22">
        <f t="shared" si="63"/>
        <v>55.649070742124877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67.002259062162651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4.4080000000000004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16.16266666666667</v>
      </c>
      <c r="H118" s="66">
        <f t="shared" si="56"/>
        <v>192.01600000000005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10.118000000000006</v>
      </c>
      <c r="N118" s="13">
        <f>IF('Données projet'!$A$36&gt;35,N117+M118-V117,IF(A118&lt;'Données projet'!$A$36,$K$205^A118,IF(A118='Données projet'!$A$36,'Données projet'!$B$36,N117+M118-V117)))</f>
        <v>514.40999999999951</v>
      </c>
      <c r="O118" s="13">
        <f>N118*VLOOKUP('Données projet'!$B$9,Paramètres!$A$1:$I$89,3,0)*VLOOKUP('Données projet'!$B$9,Paramètres!$A$1:$I$89,5,0)</f>
        <v>465.43816799999956</v>
      </c>
      <c r="P118" s="13">
        <f t="shared" si="87"/>
        <v>104.92402039841517</v>
      </c>
      <c r="Q118" s="20">
        <f t="shared" si="107"/>
        <v>993.3808114605722</v>
      </c>
      <c r="R118" s="59">
        <f t="shared" si="55"/>
        <v>1275.9131097340335</v>
      </c>
      <c r="S118" s="59">
        <f ca="1">AVERAGE(OFFSET($R$3,0,0,'Données projet'!$E$9+1,1))-AVERAGE(OFFSET($H$3,0,0,'Données projet'!$E$9+1,1))</f>
        <v>737.52606296329941</v>
      </c>
      <c r="T118" s="59">
        <f t="shared" si="88"/>
        <v>270.54143254083715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132.33557303646933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132.33557303646933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358.58857320000016</v>
      </c>
      <c r="AK118" s="13">
        <f t="shared" si="89"/>
        <v>83.32848476329724</v>
      </c>
      <c r="AL118" s="20">
        <f t="shared" si="58"/>
        <v>769.67220928607628</v>
      </c>
      <c r="AM118" s="59">
        <f t="shared" si="59"/>
        <v>1052.2045075595374</v>
      </c>
      <c r="AN118" s="59">
        <f ca="1">AVERAGE(OFFSET($AM$3,0,0,'Données projet'!$E$10+1,1))-AVERAGE(OFFSET($H$3,0,0,'Données projet'!$E$10+1,1))</f>
        <v>691.79662395689525</v>
      </c>
      <c r="AO118" s="59">
        <f t="shared" si="90"/>
        <v>213.38682325741539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113.96424836556238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113.96424836556238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689</v>
      </c>
      <c r="BE118" s="13">
        <f>BD118*VLOOKUP('Données projet'!$B$11,Paramètres!$A$1:$I$89,3,0)*VLOOKUP('Données projet'!$B$11,Paramètres!$A$1:$I$89,5,0)</f>
        <v>412.02199999999999</v>
      </c>
      <c r="BF118" s="13">
        <f t="shared" si="91"/>
        <v>94.209724877926391</v>
      </c>
      <c r="BG118" s="20">
        <f t="shared" si="61"/>
        <v>881.686920829055</v>
      </c>
      <c r="BH118" s="59">
        <f t="shared" si="62"/>
        <v>1164.2192191025163</v>
      </c>
      <c r="BI118" s="59">
        <f ca="1">AVERAGE(OFFSET($BH$3,0,0,'Données projet'!$E$11+1,1))-AVERAGE(OFFSET($H$3,0,0,'Données projet'!$E$11+1,1))</f>
        <v>525.88595000893986</v>
      </c>
      <c r="BJ118" s="59">
        <f t="shared" si="92"/>
        <v>458.67158147469263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48.935701070825928</v>
      </c>
      <c r="BQ118" s="21">
        <f>EXP(-LN(2)/25)*BQ117+(1-EXP(-LN(2)/25))/(LN(2)/25)*Calculateur!BL118*Calculateur!BN118*VLOOKUP('Données projet'!$B$11,Paramètres!$A$1:$I$89,3,0)*0.475*44/12</f>
        <v>5.5777645850551352</v>
      </c>
      <c r="BR118" s="21">
        <f>EXP(-LN(2)/2)*BR117+(1-EXP(-LN(2)/2))/(LN(2)/2)*BL118*BO118*VLOOKUP('Données projet'!$B$11,Paramètres!$A$1:$I$89,3,0)*0.475*44/12</f>
        <v>8.4190865789071807E-15</v>
      </c>
      <c r="BS118" s="22">
        <f t="shared" si="63"/>
        <v>54.51346565588107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67.054263165489417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4.4080000000000004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16.16266666666667</v>
      </c>
      <c r="H119" s="66">
        <f t="shared" si="56"/>
        <v>192.01600000000005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10.118000000000006</v>
      </c>
      <c r="N119" s="13">
        <f>IF('Données projet'!$A$36&gt;35,N118+M119-V118,IF(A119&lt;'Données projet'!$A$36,$K$205^A119,IF(A119='Données projet'!$A$36,'Données projet'!$B$36,N118+M119-V118)))</f>
        <v>524.52799999999957</v>
      </c>
      <c r="O119" s="13">
        <f>N119*VLOOKUP('Données projet'!$B$9,Paramètres!$A$1:$I$89,3,0)*VLOOKUP('Données projet'!$B$9,Paramètres!$A$1:$I$89,5,0)</f>
        <v>474.59293439999959</v>
      </c>
      <c r="P119" s="13">
        <f t="shared" si="87"/>
        <v>106.74549058797768</v>
      </c>
      <c r="Q119" s="20">
        <f t="shared" si="107"/>
        <v>1012.4977568540604</v>
      </c>
      <c r="R119" s="59">
        <f t="shared" si="55"/>
        <v>1295.2174289383136</v>
      </c>
      <c r="S119" s="59">
        <f ca="1">AVERAGE(OFFSET($R$3,0,0,'Données projet'!$E$9+1,1))-AVERAGE(OFFSET($H$3,0,0,'Données projet'!$E$9+1,1))</f>
        <v>737.52606296329941</v>
      </c>
      <c r="T119" s="59">
        <f t="shared" si="88"/>
        <v>270.54143254083715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129.7405531659536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129.7405531659536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366.52206240000015</v>
      </c>
      <c r="AK119" s="13">
        <f t="shared" si="89"/>
        <v>84.955388912632017</v>
      </c>
      <c r="AL119" s="20">
        <f t="shared" si="58"/>
        <v>786.32322770283429</v>
      </c>
      <c r="AM119" s="59">
        <f t="shared" si="59"/>
        <v>1069.0428997870874</v>
      </c>
      <c r="AN119" s="59">
        <f ca="1">AVERAGE(OFFSET($AM$3,0,0,'Données projet'!$E$10+1,1))-AVERAGE(OFFSET($H$3,0,0,'Données projet'!$E$10+1,1))</f>
        <v>691.79662395689525</v>
      </c>
      <c r="AO119" s="59">
        <f t="shared" si="90"/>
        <v>213.38682325741539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111.72947896644153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111.72947896644153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689</v>
      </c>
      <c r="BE119" s="13">
        <f>BD119*VLOOKUP('Données projet'!$B$11,Paramètres!$A$1:$I$89,3,0)*VLOOKUP('Données projet'!$B$11,Paramètres!$A$1:$I$89,5,0)</f>
        <v>412.02199999999999</v>
      </c>
      <c r="BF119" s="13">
        <f t="shared" si="91"/>
        <v>94.209724877926391</v>
      </c>
      <c r="BG119" s="20">
        <f t="shared" si="61"/>
        <v>881.686920829055</v>
      </c>
      <c r="BH119" s="59">
        <f t="shared" si="62"/>
        <v>1164.406592913308</v>
      </c>
      <c r="BI119" s="59">
        <f ca="1">AVERAGE(OFFSET($BH$3,0,0,'Données projet'!$E$11+1,1))-AVERAGE(OFFSET($H$3,0,0,'Données projet'!$E$11+1,1))</f>
        <v>525.88595000893986</v>
      </c>
      <c r="BJ119" s="59">
        <f t="shared" si="92"/>
        <v>458.67158147469263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47.976101820657455</v>
      </c>
      <c r="BQ119" s="21">
        <f>EXP(-LN(2)/25)*BQ118+(1-EXP(-LN(2)/25))/(LN(2)/25)*Calculateur!BL119*Calculateur!BN119*VLOOKUP('Données projet'!$B$11,Paramètres!$A$1:$I$89,3,0)*0.475*44/12</f>
        <v>5.425240319154911</v>
      </c>
      <c r="BR119" s="21">
        <f>EXP(-LN(2)/2)*BR118+(1-EXP(-LN(2)/2))/(LN(2)/2)*BL119*BO119*VLOOKUP('Données projet'!$B$11,Paramètres!$A$1:$I$89,3,0)*0.475*44/12</f>
        <v>5.9531932113419189E-15</v>
      </c>
      <c r="BS119" s="22">
        <f t="shared" si="63"/>
        <v>53.401342139812371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67.105365113887217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4.4080000000000004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16.16266666666667</v>
      </c>
      <c r="H120" s="66">
        <f t="shared" si="56"/>
        <v>192.01600000000005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10.118000000000006</v>
      </c>
      <c r="N120" s="13">
        <f>IF('Données projet'!$A$36&gt;35,N119+M120-V119,IF(A120&lt;'Données projet'!$A$36,$K$205^A120,IF(A120='Données projet'!$A$36,'Données projet'!$B$36,N119+M120-V119)))</f>
        <v>534.64599999999962</v>
      </c>
      <c r="O120" s="13">
        <f>N120*VLOOKUP('Données projet'!$B$9,Paramètres!$A$1:$I$89,3,0)*VLOOKUP('Données projet'!$B$9,Paramètres!$A$1:$I$89,5,0)</f>
        <v>483.74770079999962</v>
      </c>
      <c r="P120" s="13">
        <f t="shared" si="87"/>
        <v>108.56287530736564</v>
      </c>
      <c r="Q120" s="20">
        <f t="shared" si="107"/>
        <v>1031.6075867203278</v>
      </c>
      <c r="R120" s="59">
        <f t="shared" si="55"/>
        <v>1314.5113820986608</v>
      </c>
      <c r="S120" s="59">
        <f ca="1">AVERAGE(OFFSET($R$3,0,0,'Données projet'!$E$9+1,1))-AVERAGE(OFFSET($H$3,0,0,'Données projet'!$E$9+1,1))</f>
        <v>737.52606296329941</v>
      </c>
      <c r="T120" s="59">
        <f t="shared" si="88"/>
        <v>270.54143254083715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127.19642005229285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127.19642005229285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374.45555160000015</v>
      </c>
      <c r="AK120" s="13">
        <f t="shared" si="89"/>
        <v>86.578198872694799</v>
      </c>
      <c r="AL120" s="20">
        <f t="shared" si="58"/>
        <v>802.96711540661033</v>
      </c>
      <c r="AM120" s="59">
        <f t="shared" si="59"/>
        <v>1085.8709107849431</v>
      </c>
      <c r="AN120" s="59">
        <f ca="1">AVERAGE(OFFSET($AM$3,0,0,'Données projet'!$E$10+1,1))-AVERAGE(OFFSET($H$3,0,0,'Données projet'!$E$10+1,1))</f>
        <v>691.79662395689525</v>
      </c>
      <c r="AO120" s="59">
        <f t="shared" si="90"/>
        <v>213.38682325741539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109.53853203216271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109.53853203216271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689</v>
      </c>
      <c r="BE120" s="13">
        <f>BD120*VLOOKUP('Données projet'!$B$11,Paramètres!$A$1:$I$89,3,0)*VLOOKUP('Données projet'!$B$11,Paramètres!$A$1:$I$89,5,0)</f>
        <v>412.02199999999999</v>
      </c>
      <c r="BF120" s="13">
        <f t="shared" si="91"/>
        <v>94.209724877926391</v>
      </c>
      <c r="BG120" s="20">
        <f t="shared" si="61"/>
        <v>881.686920829055</v>
      </c>
      <c r="BH120" s="59">
        <f t="shared" si="62"/>
        <v>1164.5907162073879</v>
      </c>
      <c r="BI120" s="59">
        <f ca="1">AVERAGE(OFFSET($BH$3,0,0,'Données projet'!$E$11+1,1))-AVERAGE(OFFSET($H$3,0,0,'Données projet'!$E$11+1,1))</f>
        <v>525.88595000893986</v>
      </c>
      <c r="BJ120" s="59">
        <f t="shared" si="92"/>
        <v>458.67158147469263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47.035319726487039</v>
      </c>
      <c r="BQ120" s="21">
        <f>EXP(-LN(2)/25)*BQ119+(1-EXP(-LN(2)/25))/(LN(2)/25)*Calculateur!BL120*Calculateur!BN120*VLOOKUP('Données projet'!$B$11,Paramètres!$A$1:$I$89,3,0)*0.475*44/12</f>
        <v>5.2768868373266313</v>
      </c>
      <c r="BR120" s="21">
        <f>EXP(-LN(2)/2)*BR119+(1-EXP(-LN(2)/2))/(LN(2)/2)*BL120*BO120*VLOOKUP('Données projet'!$B$11,Paramètres!$A$1:$I$89,3,0)*0.475*44/12</f>
        <v>4.2095432894535903E-15</v>
      </c>
      <c r="BS120" s="22">
        <f t="shared" si="63"/>
        <v>52.312206563813675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67.155580557727163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4.4080000000000004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16.16266666666667</v>
      </c>
      <c r="H121" s="66">
        <f t="shared" si="56"/>
        <v>192.01600000000005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10.118000000000006</v>
      </c>
      <c r="N121" s="13">
        <f>IF('Données projet'!$A$36&gt;35,N120+M121-V120,IF(A121&lt;'Données projet'!$A$36,$K$205^A121,IF(A121='Données projet'!$A$36,'Données projet'!$B$36,N120+M121-V120)))</f>
        <v>544.76399999999967</v>
      </c>
      <c r="O121" s="13">
        <f>N121*VLOOKUP('Données projet'!$B$9,Paramètres!$A$1:$I$89,3,0)*VLOOKUP('Données projet'!$B$9,Paramètres!$A$1:$I$89,5,0)</f>
        <v>492.90246719999965</v>
      </c>
      <c r="P121" s="13">
        <f t="shared" si="87"/>
        <v>110.37626078774746</v>
      </c>
      <c r="Q121" s="20">
        <f t="shared" si="107"/>
        <v>1050.7104512453261</v>
      </c>
      <c r="R121" s="59">
        <f t="shared" si="55"/>
        <v>1333.7951757902244</v>
      </c>
      <c r="S121" s="59">
        <f ca="1">AVERAGE(OFFSET($R$3,0,0,'Données projet'!$E$9+1,1))-AVERAGE(OFFSET($H$3,0,0,'Données projet'!$E$9+1,1))</f>
        <v>737.52606296329941</v>
      </c>
      <c r="T121" s="59">
        <f t="shared" si="88"/>
        <v>270.54143254083715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124.70217583722302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124.70217583722302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382.38904080000009</v>
      </c>
      <c r="AK121" s="13">
        <f t="shared" si="89"/>
        <v>88.197011378102573</v>
      </c>
      <c r="AL121" s="20">
        <f t="shared" si="58"/>
        <v>819.60404087686209</v>
      </c>
      <c r="AM121" s="59">
        <f t="shared" si="59"/>
        <v>1102.6887654217605</v>
      </c>
      <c r="AN121" s="59">
        <f ca="1">AVERAGE(OFFSET($AM$3,0,0,'Données projet'!$E$10+1,1))-AVERAGE(OFFSET($H$3,0,0,'Données projet'!$E$10+1,1))</f>
        <v>691.79662395689525</v>
      </c>
      <c r="AO121" s="59">
        <f t="shared" si="90"/>
        <v>213.38682325741539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107.39054823091941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107.39054823091941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689</v>
      </c>
      <c r="BE121" s="13">
        <f>BD121*VLOOKUP('Données projet'!$B$11,Paramètres!$A$1:$I$89,3,0)*VLOOKUP('Données projet'!$B$11,Paramètres!$A$1:$I$89,5,0)</f>
        <v>412.02199999999999</v>
      </c>
      <c r="BF121" s="13">
        <f t="shared" si="91"/>
        <v>94.209724877926391</v>
      </c>
      <c r="BG121" s="20">
        <f t="shared" si="61"/>
        <v>881.686920829055</v>
      </c>
      <c r="BH121" s="59">
        <f t="shared" si="62"/>
        <v>1164.7716453739533</v>
      </c>
      <c r="BI121" s="59">
        <f ca="1">AVERAGE(OFFSET($BH$3,0,0,'Données projet'!$E$11+1,1))-AVERAGE(OFFSET($H$3,0,0,'Données projet'!$E$11+1,1))</f>
        <v>525.88595000893986</v>
      </c>
      <c r="BJ121" s="59">
        <f t="shared" si="92"/>
        <v>458.67158147469263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46.112985795362889</v>
      </c>
      <c r="BQ121" s="21">
        <f>EXP(-LN(2)/25)*BQ120+(1-EXP(-LN(2)/25))/(LN(2)/25)*Calculateur!BL121*Calculateur!BN121*VLOOKUP('Données projet'!$B$11,Paramètres!$A$1:$I$89,3,0)*0.475*44/12</f>
        <v>5.1325900892605167</v>
      </c>
      <c r="BR121" s="21">
        <f>EXP(-LN(2)/2)*BR120+(1-EXP(-LN(2)/2))/(LN(2)/2)*BL121*BO121*VLOOKUP('Données projet'!$B$11,Paramètres!$A$1:$I$89,3,0)*0.475*44/12</f>
        <v>2.9765966056709594E-15</v>
      </c>
      <c r="BS121" s="22">
        <f t="shared" si="63"/>
        <v>51.245575884623406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67.204924875881389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4.4080000000000004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16.16266666666667</v>
      </c>
      <c r="H122" s="66">
        <f t="shared" si="56"/>
        <v>192.01600000000005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10.118000000000006</v>
      </c>
      <c r="N122" s="13">
        <f>IF('Données projet'!$A$36&gt;35,N121+M122-V121,IF(A122&lt;'Données projet'!$A$36,$K$205^A122,IF(A122='Données projet'!$A$36,'Données projet'!$B$36,N121+M122-V121)))</f>
        <v>554.88199999999972</v>
      </c>
      <c r="O122" s="13">
        <f>N122*VLOOKUP('Données projet'!$B$9,Paramètres!$A$1:$I$89,3,0)*VLOOKUP('Données projet'!$B$9,Paramètres!$A$1:$I$89,5,0)</f>
        <v>502.05723359999968</v>
      </c>
      <c r="P122" s="13">
        <f t="shared" si="87"/>
        <v>112.18572987377097</v>
      </c>
      <c r="Q122" s="20">
        <f t="shared" si="107"/>
        <v>1069.806494716817</v>
      </c>
      <c r="R122" s="59">
        <f t="shared" si="55"/>
        <v>1353.0690097117381</v>
      </c>
      <c r="S122" s="59">
        <f ca="1">AVERAGE(OFFSET($R$3,0,0,'Données projet'!$E$9+1,1))-AVERAGE(OFFSET($H$3,0,0,'Données projet'!$E$9+1,1))</f>
        <v>737.52606296329941</v>
      </c>
      <c r="T122" s="59">
        <f t="shared" si="88"/>
        <v>270.54143254083715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122.25684222987196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122.25684222987196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390.32253000000014</v>
      </c>
      <c r="AK122" s="13">
        <f t="shared" si="89"/>
        <v>89.811918920133635</v>
      </c>
      <c r="AL122" s="20">
        <f t="shared" si="58"/>
        <v>836.23416520256615</v>
      </c>
      <c r="AM122" s="59">
        <f t="shared" si="59"/>
        <v>1119.4966801974872</v>
      </c>
      <c r="AN122" s="59">
        <f ca="1">AVERAGE(OFFSET($AM$3,0,0,'Données projet'!$E$10+1,1))-AVERAGE(OFFSET($H$3,0,0,'Données projet'!$E$10+1,1))</f>
        <v>691.79662395689525</v>
      </c>
      <c r="AO122" s="59">
        <f t="shared" si="90"/>
        <v>213.38682325741539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105.28468508187774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105.28468508187774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689</v>
      </c>
      <c r="BE122" s="13">
        <f>BD122*VLOOKUP('Données projet'!$B$11,Paramètres!$A$1:$I$89,3,0)*VLOOKUP('Données projet'!$B$11,Paramètres!$A$1:$I$89,5,0)</f>
        <v>412.02199999999999</v>
      </c>
      <c r="BF122" s="13">
        <f t="shared" si="91"/>
        <v>94.209724877926391</v>
      </c>
      <c r="BG122" s="20">
        <f t="shared" si="61"/>
        <v>881.686920829055</v>
      </c>
      <c r="BH122" s="59">
        <f t="shared" si="62"/>
        <v>1164.949435823976</v>
      </c>
      <c r="BI122" s="59">
        <f ca="1">AVERAGE(OFFSET($BH$3,0,0,'Données projet'!$E$11+1,1))-AVERAGE(OFFSET($H$3,0,0,'Données projet'!$E$11+1,1))</f>
        <v>525.88595000893986</v>
      </c>
      <c r="BJ122" s="59">
        <f t="shared" si="92"/>
        <v>458.67158147469263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45.208738270059932</v>
      </c>
      <c r="BQ122" s="21">
        <f>EXP(-LN(2)/25)*BQ121+(1-EXP(-LN(2)/25))/(LN(2)/25)*Calculateur!BL122*Calculateur!BN122*VLOOKUP('Données projet'!$B$11,Paramètres!$A$1:$I$89,3,0)*0.475*44/12</f>
        <v>4.992239143358506</v>
      </c>
      <c r="BR122" s="21">
        <f>EXP(-LN(2)/2)*BR121+(1-EXP(-LN(2)/2))/(LN(2)/2)*BL122*BO122*VLOOKUP('Données projet'!$B$11,Paramètres!$A$1:$I$89,3,0)*0.475*44/12</f>
        <v>2.1047716447267952E-15</v>
      </c>
      <c r="BS122" s="22">
        <f t="shared" si="63"/>
        <v>50.200977413418435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67.253413180433014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4.4080000000000004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16.16266666666667</v>
      </c>
      <c r="H123" s="66">
        <f t="shared" si="56"/>
        <v>192.01600000000005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565</v>
      </c>
      <c r="L123" s="12">
        <f>VLOOKUP(A123,'Données projet'!$A$35:$I$55,9,0)</f>
        <v>10.118000000000006</v>
      </c>
      <c r="M123" s="12">
        <f t="array" ref="M123">INDEX(L:L,MIN(IF(ISNUMBER(L123:L319),ROW(L123:L319),"")))</f>
        <v>10.118000000000006</v>
      </c>
      <c r="N123" s="13">
        <f>IF('Données projet'!$A$36&gt;35,N122+M123-V122,IF(A123&lt;'Données projet'!$A$36,$K$205^A123,IF(A123='Données projet'!$A$36,'Données projet'!$B$36,N122+M123-V122)))</f>
        <v>564.99999999999977</v>
      </c>
      <c r="O123" s="13">
        <f>N123*VLOOKUP('Données projet'!$B$9,Paramètres!$A$1:$I$89,3,0)*VLOOKUP('Données projet'!$B$9,Paramètres!$A$1:$I$89,5,0)</f>
        <v>511.21199999999976</v>
      </c>
      <c r="P123" s="13">
        <f t="shared" si="87"/>
        <v>113.99136221584421</v>
      </c>
      <c r="Q123" s="20">
        <f t="shared" si="107"/>
        <v>1088.8958558592615</v>
      </c>
      <c r="R123" s="59">
        <f t="shared" si="55"/>
        <v>1372.3330770373773</v>
      </c>
      <c r="S123" s="59">
        <f ca="1">AVERAGE(OFFSET($R$3,0,0,'Données projet'!$E$9+1,1))-AVERAGE(OFFSET($H$3,0,0,'Données projet'!$E$9+1,1))</f>
        <v>737.52606296329941</v>
      </c>
      <c r="T123" s="59">
        <f t="shared" si="88"/>
        <v>270.54143254083715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60.46</v>
      </c>
      <c r="W123" s="16">
        <f>IF(ISNA(VLOOKUP(A123,'Données projet'!$A$35:$I$55,5,0)),0%,VLOOKUP(A123,'Données projet'!$A$35:$I$55,5,0)*VLOOKUP('Données projet'!$B$9,Paramètres!$A$1:$I$89,7,0))</f>
        <v>0.43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145.86322920237291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145.86322920237291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398.25601920000014</v>
      </c>
      <c r="AK123" s="13">
        <f t="shared" si="89"/>
        <v>91.42301001526657</v>
      </c>
      <c r="AL123" s="20">
        <f t="shared" si="58"/>
        <v>852.85764254992284</v>
      </c>
      <c r="AM123" s="59">
        <f t="shared" si="59"/>
        <v>1136.2948637280385</v>
      </c>
      <c r="AN123" s="59">
        <f ca="1">AVERAGE(OFFSET($AM$3,0,0,'Données projet'!$E$10+1,1))-AVERAGE(OFFSET($H$3,0,0,'Données projet'!$E$10+1,1))</f>
        <v>691.79662395689525</v>
      </c>
      <c r="AO123" s="59">
        <f t="shared" si="90"/>
        <v>213.38682325741539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103.22011662473908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103.22011662473908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689</v>
      </c>
      <c r="BE123" s="13">
        <f>BD123*VLOOKUP('Données projet'!$B$11,Paramètres!$A$1:$I$89,3,0)*VLOOKUP('Données projet'!$B$11,Paramètres!$A$1:$I$89,5,0)</f>
        <v>412.02199999999999</v>
      </c>
      <c r="BF123" s="13">
        <f t="shared" si="91"/>
        <v>94.209724877926391</v>
      </c>
      <c r="BG123" s="20">
        <f t="shared" si="61"/>
        <v>881.686920829055</v>
      </c>
      <c r="BH123" s="59">
        <f t="shared" si="62"/>
        <v>1165.1241420071706</v>
      </c>
      <c r="BI123" s="59">
        <f ca="1">AVERAGE(OFFSET($BH$3,0,0,'Données projet'!$E$11+1,1))-AVERAGE(OFFSET($H$3,0,0,'Données projet'!$E$11+1,1))</f>
        <v>525.88595000893986</v>
      </c>
      <c r="BJ123" s="59">
        <f t="shared" si="92"/>
        <v>458.67158147469263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44.322222487191638</v>
      </c>
      <c r="BQ123" s="21">
        <f>EXP(-LN(2)/25)*BQ122+(1-EXP(-LN(2)/25))/(LN(2)/25)*Calculateur!BL123*Calculateur!BN123*VLOOKUP('Données projet'!$B$11,Paramètres!$A$1:$I$89,3,0)*0.475*44/12</f>
        <v>4.8557261014529214</v>
      </c>
      <c r="BR123" s="21">
        <f>EXP(-LN(2)/2)*BR122+(1-EXP(-LN(2)/2))/(LN(2)/2)*BL123*BO123*VLOOKUP('Données projet'!$B$11,Paramètres!$A$1:$I$89,3,0)*0.475*44/12</f>
        <v>1.4882983028354797E-15</v>
      </c>
      <c r="BS123" s="22">
        <f t="shared" si="63"/>
        <v>49.177948588644561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67.301060321304277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4.4080000000000004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16.16266666666667</v>
      </c>
      <c r="H124" s="66">
        <f t="shared" si="56"/>
        <v>192.01600000000005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10.186999999999994</v>
      </c>
      <c r="N124" s="13">
        <f>IF('Données projet'!$A$36&gt;35,N123+M124-V123,IF(A124&lt;'Données projet'!$A$36,$K$205^A124,IF(A124='Données projet'!$A$36,'Données projet'!$B$36,N123+M124-V123)))</f>
        <v>514.72699999999975</v>
      </c>
      <c r="O124" s="13">
        <f>N124*VLOOKUP('Données projet'!$B$9,Paramètres!$A$1:$I$89,3,0)*VLOOKUP('Données projet'!$B$9,Paramètres!$A$1:$I$89,5,0)</f>
        <v>465.72498959999973</v>
      </c>
      <c r="P124" s="13">
        <f t="shared" si="87"/>
        <v>104.9811504896077</v>
      </c>
      <c r="Q124" s="20">
        <f t="shared" si="107"/>
        <v>993.97986065606619</v>
      </c>
      <c r="R124" s="59">
        <f t="shared" si="55"/>
        <v>1277.5887572556826</v>
      </c>
      <c r="S124" s="59">
        <f ca="1">AVERAGE(OFFSET($R$3,0,0,'Données projet'!$E$9+1,1))-AVERAGE(OFFSET($H$3,0,0,'Données projet'!$E$9+1,1))</f>
        <v>737.52606296329941</v>
      </c>
      <c r="T124" s="59">
        <f t="shared" si="88"/>
        <v>270.54143254083715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143.00294024549936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143.00294024549936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406.18950840000008</v>
      </c>
      <c r="AK124" s="13">
        <f t="shared" si="89"/>
        <v>93.030369451717448</v>
      </c>
      <c r="AL124" s="20">
        <f t="shared" si="58"/>
        <v>869.47462059174131</v>
      </c>
      <c r="AM124" s="59">
        <f t="shared" si="59"/>
        <v>1153.0835171913577</v>
      </c>
      <c r="AN124" s="59">
        <f ca="1">AVERAGE(OFFSET($AM$3,0,0,'Données projet'!$E$10+1,1))-AVERAGE(OFFSET($H$3,0,0,'Données projet'!$E$10+1,1))</f>
        <v>691.79662395689525</v>
      </c>
      <c r="AO124" s="59">
        <f t="shared" si="90"/>
        <v>213.38682325741539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101.1960330957825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101.1960330957825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689</v>
      </c>
      <c r="BE124" s="13">
        <f>BD124*VLOOKUP('Données projet'!$B$11,Paramètres!$A$1:$I$89,3,0)*VLOOKUP('Données projet'!$B$11,Paramètres!$A$1:$I$89,5,0)</f>
        <v>412.02199999999999</v>
      </c>
      <c r="BF124" s="13">
        <f t="shared" si="91"/>
        <v>94.209724877926391</v>
      </c>
      <c r="BG124" s="20">
        <f t="shared" si="61"/>
        <v>881.686920829055</v>
      </c>
      <c r="BH124" s="59">
        <f t="shared" si="62"/>
        <v>1165.2958174286714</v>
      </c>
      <c r="BI124" s="59">
        <f ca="1">AVERAGE(OFFSET($BH$3,0,0,'Données projet'!$E$11+1,1))-AVERAGE(OFFSET($H$3,0,0,'Données projet'!$E$11+1,1))</f>
        <v>525.88595000893986</v>
      </c>
      <c r="BJ124" s="59">
        <f t="shared" si="92"/>
        <v>458.67158147469263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43.453090738104152</v>
      </c>
      <c r="BQ124" s="21">
        <f>EXP(-LN(2)/25)*BQ123+(1-EXP(-LN(2)/25))/(LN(2)/25)*Calculateur!BL124*Calculateur!BN124*VLOOKUP('Données projet'!$B$11,Paramètres!$A$1:$I$89,3,0)*0.475*44/12</f>
        <v>4.7229460158571532</v>
      </c>
      <c r="BR124" s="21">
        <f>EXP(-LN(2)/2)*BR123+(1-EXP(-LN(2)/2))/(LN(2)/2)*BL124*BO124*VLOOKUP('Données projet'!$B$11,Paramètres!$A$1:$I$89,3,0)*0.475*44/12</f>
        <v>1.0523858223633976E-15</v>
      </c>
      <c r="BS124" s="22">
        <f t="shared" si="63"/>
        <v>48.176036753961306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67.347880890804475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4.4080000000000004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16.16266666666667</v>
      </c>
      <c r="H125" s="66">
        <f t="shared" si="56"/>
        <v>192.01600000000005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10.186999999999994</v>
      </c>
      <c r="N125" s="13">
        <f>IF('Données projet'!$A$36&gt;35,N124+M125-V124,IF(A125&lt;'Données projet'!$A$36,$K$205^A125,IF(A125='Données projet'!$A$36,'Données projet'!$B$36,N124+M125-V124)))</f>
        <v>524.91399999999976</v>
      </c>
      <c r="O125" s="13">
        <f>N125*VLOOKUP('Données projet'!$B$9,Paramètres!$A$1:$I$89,3,0)*VLOOKUP('Données projet'!$B$9,Paramètres!$A$1:$I$89,5,0)</f>
        <v>474.94218719999981</v>
      </c>
      <c r="P125" s="13">
        <f t="shared" si="87"/>
        <v>106.81489790824931</v>
      </c>
      <c r="Q125" s="20">
        <f t="shared" si="107"/>
        <v>1013.2269232302006</v>
      </c>
      <c r="R125" s="59">
        <f t="shared" si="55"/>
        <v>1297.0045170665635</v>
      </c>
      <c r="S125" s="59">
        <f ca="1">AVERAGE(OFFSET($R$3,0,0,'Données projet'!$E$9+1,1))-AVERAGE(OFFSET($H$3,0,0,'Données projet'!$E$9+1,1))</f>
        <v>737.52606296329941</v>
      </c>
      <c r="T125" s="59">
        <f t="shared" si="88"/>
        <v>270.54143254083715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140.19873981046609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140.19873981046609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414.12299760000008</v>
      </c>
      <c r="AK125" s="13">
        <f t="shared" si="89"/>
        <v>94.634078516170817</v>
      </c>
      <c r="AL125" s="20">
        <f t="shared" si="58"/>
        <v>886.08524090233095</v>
      </c>
      <c r="AM125" s="59">
        <f t="shared" si="59"/>
        <v>1169.8628347386939</v>
      </c>
      <c r="AN125" s="59">
        <f ca="1">AVERAGE(OFFSET($AM$3,0,0,'Données projet'!$E$10+1,1))-AVERAGE(OFFSET($H$3,0,0,'Données projet'!$E$10+1,1))</f>
        <v>691.79662395689525</v>
      </c>
      <c r="AO125" s="59">
        <f t="shared" si="90"/>
        <v>213.38682325741539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99.211640610259707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99.211640610259707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689</v>
      </c>
      <c r="BE125" s="13">
        <f>BD125*VLOOKUP('Données projet'!$B$11,Paramètres!$A$1:$I$89,3,0)*VLOOKUP('Données projet'!$B$11,Paramètres!$A$1:$I$89,5,0)</f>
        <v>412.02199999999999</v>
      </c>
      <c r="BF125" s="13">
        <f t="shared" si="91"/>
        <v>94.209724877926391</v>
      </c>
      <c r="BG125" s="20">
        <f t="shared" si="61"/>
        <v>881.686920829055</v>
      </c>
      <c r="BH125" s="59">
        <f t="shared" si="62"/>
        <v>1165.4645146654179</v>
      </c>
      <c r="BI125" s="59">
        <f ca="1">AVERAGE(OFFSET($BH$3,0,0,'Données projet'!$E$11+1,1))-AVERAGE(OFFSET($H$3,0,0,'Données projet'!$E$11+1,1))</f>
        <v>525.88595000893986</v>
      </c>
      <c r="BJ125" s="59">
        <f t="shared" si="92"/>
        <v>458.67158147469263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42.601002132498252</v>
      </c>
      <c r="BQ125" s="21">
        <f>EXP(-LN(2)/25)*BQ124+(1-EXP(-LN(2)/25))/(LN(2)/25)*Calculateur!BL125*Calculateur!BN125*VLOOKUP('Données projet'!$B$11,Paramètres!$A$1:$I$89,3,0)*0.475*44/12</f>
        <v>4.5937968086846031</v>
      </c>
      <c r="BR125" s="21">
        <f>EXP(-LN(2)/2)*BR124+(1-EXP(-LN(2)/2))/(LN(2)/2)*BL125*BO125*VLOOKUP('Données projet'!$B$11,Paramètres!$A$1:$I$89,3,0)*0.475*44/12</f>
        <v>7.4414915141773986E-16</v>
      </c>
      <c r="BS125" s="22">
        <f t="shared" si="63"/>
        <v>47.194798941182853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67.393889228098956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4.4080000000000004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16.16266666666667</v>
      </c>
      <c r="H126" s="66">
        <f t="shared" si="56"/>
        <v>192.01600000000005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10.186999999999994</v>
      </c>
      <c r="N126" s="13">
        <f>IF('Données projet'!$A$36&gt;35,N125+M126-V125,IF(A126&lt;'Données projet'!$A$36,$K$205^A126,IF(A126='Données projet'!$A$36,'Données projet'!$B$36,N125+M126-V125)))</f>
        <v>535.10099999999977</v>
      </c>
      <c r="O126" s="13">
        <f>N126*VLOOKUP('Données projet'!$B$9,Paramètres!$A$1:$I$89,3,0)*VLOOKUP('Données projet'!$B$9,Paramètres!$A$1:$I$89,5,0)</f>
        <v>484.15938479999977</v>
      </c>
      <c r="P126" s="13">
        <f t="shared" si="87"/>
        <v>108.64450734079013</v>
      </c>
      <c r="Q126" s="20">
        <f t="shared" si="107"/>
        <v>1032.4667788118757</v>
      </c>
      <c r="R126" s="59">
        <f t="shared" si="55"/>
        <v>1316.4101433650778</v>
      </c>
      <c r="S126" s="59">
        <f ca="1">AVERAGE(OFFSET($R$3,0,0,'Données projet'!$E$9+1,1))-AVERAGE(OFFSET($H$3,0,0,'Données projet'!$E$9+1,1))</f>
        <v>737.52606296329941</v>
      </c>
      <c r="T126" s="59">
        <f t="shared" si="88"/>
        <v>270.54143254083715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137.44952803557044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137.44952803557044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422.05648680000002</v>
      </c>
      <c r="AK126" s="13">
        <f t="shared" si="89"/>
        <v>96.234215202646766</v>
      </c>
      <c r="AL126" s="20">
        <f t="shared" si="58"/>
        <v>902.68963932127645</v>
      </c>
      <c r="AM126" s="59">
        <f t="shared" si="59"/>
        <v>1186.6330038744786</v>
      </c>
      <c r="AN126" s="59">
        <f ca="1">AVERAGE(OFFSET($AM$3,0,0,'Données projet'!$E$10+1,1))-AVERAGE(OFFSET($H$3,0,0,'Données projet'!$E$10+1,1))</f>
        <v>691.79662395689525</v>
      </c>
      <c r="AO126" s="59">
        <f t="shared" si="90"/>
        <v>213.38682325741539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97.266160851018114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97.266160851018114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689</v>
      </c>
      <c r="BE126" s="13">
        <f>BD126*VLOOKUP('Données projet'!$B$11,Paramètres!$A$1:$I$89,3,0)*VLOOKUP('Données projet'!$B$11,Paramètres!$A$1:$I$89,5,0)</f>
        <v>412.02199999999999</v>
      </c>
      <c r="BF126" s="13">
        <f t="shared" si="91"/>
        <v>94.209724877926391</v>
      </c>
      <c r="BG126" s="20">
        <f t="shared" si="61"/>
        <v>881.686920829055</v>
      </c>
      <c r="BH126" s="59">
        <f t="shared" si="62"/>
        <v>1165.6302853822572</v>
      </c>
      <c r="BI126" s="59">
        <f ca="1">AVERAGE(OFFSET($BH$3,0,0,'Données projet'!$E$11+1,1))-AVERAGE(OFFSET($H$3,0,0,'Données projet'!$E$11+1,1))</f>
        <v>525.88595000893986</v>
      </c>
      <c r="BJ126" s="59">
        <f t="shared" si="92"/>
        <v>458.67158147469263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41.765622464725553</v>
      </c>
      <c r="BQ126" s="21">
        <f>EXP(-LN(2)/25)*BQ125+(1-EXP(-LN(2)/25))/(LN(2)/25)*Calculateur!BL126*Calculateur!BN126*VLOOKUP('Données projet'!$B$11,Paramètres!$A$1:$I$89,3,0)*0.475*44/12</f>
        <v>4.4681791933738477</v>
      </c>
      <c r="BR126" s="21">
        <f>EXP(-LN(2)/2)*BR125+(1-EXP(-LN(2)/2))/(LN(2)/2)*BL126*BO126*VLOOKUP('Données projet'!$B$11,Paramètres!$A$1:$I$89,3,0)*0.475*44/12</f>
        <v>5.2619291118169879E-16</v>
      </c>
      <c r="BS126" s="22">
        <f t="shared" si="63"/>
        <v>46.233801658099402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67.439099423600609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4.4080000000000004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16.16266666666667</v>
      </c>
      <c r="H127" s="66">
        <f t="shared" si="56"/>
        <v>192.01600000000005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10.186999999999994</v>
      </c>
      <c r="N127" s="13">
        <f>IF('Données projet'!$A$36&gt;35,N126+M127-V126,IF(A127&lt;'Données projet'!$A$36,$K$205^A127,IF(A127='Données projet'!$A$36,'Données projet'!$B$36,N126+M127-V126)))</f>
        <v>545.28799999999978</v>
      </c>
      <c r="O127" s="13">
        <f>N127*VLOOKUP('Données projet'!$B$9,Paramètres!$A$1:$I$89,3,0)*VLOOKUP('Données projet'!$B$9,Paramètres!$A$1:$I$89,5,0)</f>
        <v>493.37658239999979</v>
      </c>
      <c r="P127" s="13">
        <f t="shared" si="87"/>
        <v>110.47006664723473</v>
      </c>
      <c r="Q127" s="20">
        <f t="shared" si="107"/>
        <v>1051.6995804239334</v>
      </c>
      <c r="R127" s="59">
        <f t="shared" si="55"/>
        <v>1335.8058399426457</v>
      </c>
      <c r="S127" s="59">
        <f ca="1">AVERAGE(OFFSET($R$3,0,0,'Données projet'!$E$9+1,1))-AVERAGE(OFFSET($H$3,0,0,'Données projet'!$E$9+1,1))</f>
        <v>737.52606296329941</v>
      </c>
      <c r="T127" s="59">
        <f t="shared" si="88"/>
        <v>270.54143254083715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134.7542266267269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134.7542266267269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429.98997600000007</v>
      </c>
      <c r="AK127" s="13">
        <f t="shared" si="89"/>
        <v>97.83085440521765</v>
      </c>
      <c r="AL127" s="20">
        <f t="shared" si="58"/>
        <v>919.28794628908747</v>
      </c>
      <c r="AM127" s="59">
        <f t="shared" si="59"/>
        <v>1203.3942058077998</v>
      </c>
      <c r="AN127" s="59">
        <f ca="1">AVERAGE(OFFSET($AM$3,0,0,'Données projet'!$E$10+1,1))-AVERAGE(OFFSET($H$3,0,0,'Données projet'!$E$10+1,1))</f>
        <v>691.79662395689525</v>
      </c>
      <c r="AO127" s="59">
        <f t="shared" si="90"/>
        <v>213.38682325741539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119.12052483680684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119.12052483680684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689</v>
      </c>
      <c r="BE127" s="13">
        <f>BD127*VLOOKUP('Données projet'!$B$11,Paramètres!$A$1:$I$89,3,0)*VLOOKUP('Données projet'!$B$11,Paramètres!$A$1:$I$89,5,0)</f>
        <v>412.02199999999999</v>
      </c>
      <c r="BF127" s="13">
        <f t="shared" si="91"/>
        <v>94.209724877926391</v>
      </c>
      <c r="BG127" s="20">
        <f t="shared" si="61"/>
        <v>881.686920829055</v>
      </c>
      <c r="BH127" s="59">
        <f t="shared" si="62"/>
        <v>1165.7931803477672</v>
      </c>
      <c r="BI127" s="59">
        <f ca="1">AVERAGE(OFFSET($BH$3,0,0,'Données projet'!$E$11+1,1))-AVERAGE(OFFSET($H$3,0,0,'Données projet'!$E$11+1,1))</f>
        <v>525.88595000893986</v>
      </c>
      <c r="BJ127" s="59">
        <f t="shared" si="92"/>
        <v>458.67158147469263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40.946624082706592</v>
      </c>
      <c r="BQ127" s="21">
        <f>EXP(-LN(2)/25)*BQ126+(1-EXP(-LN(2)/25))/(LN(2)/25)*Calculateur!BL127*Calculateur!BN127*VLOOKUP('Données projet'!$B$11,Paramètres!$A$1:$I$89,3,0)*0.475*44/12</f>
        <v>4.345996598359708</v>
      </c>
      <c r="BR127" s="21">
        <f>EXP(-LN(2)/2)*BR126+(1-EXP(-LN(2)/2))/(LN(2)/2)*BL127*BO127*VLOOKUP('Données projet'!$B$11,Paramètres!$A$1:$I$89,3,0)*0.475*44/12</f>
        <v>3.7207457570886993E-16</v>
      </c>
      <c r="BS127" s="22">
        <f t="shared" si="63"/>
        <v>45.292620681066296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67.483525323285178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4.4080000000000004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16.16266666666667</v>
      </c>
      <c r="H128" s="66">
        <f t="shared" si="56"/>
        <v>192.01600000000005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10.186999999999994</v>
      </c>
      <c r="N128" s="13">
        <f>IF('Données projet'!$A$36&gt;35,N127+M128-V127,IF(A128&lt;'Données projet'!$A$36,$K$205^A128,IF(A128='Données projet'!$A$36,'Données projet'!$B$36,N127+M128-V127)))</f>
        <v>555.4749999999998</v>
      </c>
      <c r="O128" s="13">
        <f>N128*VLOOKUP('Données projet'!$B$9,Paramètres!$A$1:$I$89,3,0)*VLOOKUP('Données projet'!$B$9,Paramètres!$A$1:$I$89,5,0)</f>
        <v>502.59377999999987</v>
      </c>
      <c r="P128" s="13">
        <f t="shared" si="87"/>
        <v>112.29166021692112</v>
      </c>
      <c r="Q128" s="20">
        <f t="shared" si="107"/>
        <v>1070.9254750444707</v>
      </c>
      <c r="R128" s="59">
        <f t="shared" si="55"/>
        <v>1355.19180366522</v>
      </c>
      <c r="S128" s="59">
        <f ca="1">AVERAGE(OFFSET($R$3,0,0,'Données projet'!$E$9+1,1))-AVERAGE(OFFSET($H$3,0,0,'Données projet'!$E$9+1,1))</f>
        <v>737.52606296329941</v>
      </c>
      <c r="T128" s="59">
        <f t="shared" si="88"/>
        <v>270.54143254083715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132.11177843453925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132.11177843453925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388.08627000000007</v>
      </c>
      <c r="AK128" s="13">
        <f t="shared" si="89"/>
        <v>89.357105305889561</v>
      </c>
      <c r="AL128" s="20">
        <f t="shared" si="58"/>
        <v>831.5472119910911</v>
      </c>
      <c r="AM128" s="59">
        <f t="shared" si="59"/>
        <v>1115.8135406118404</v>
      </c>
      <c r="AN128" s="59">
        <f ca="1">AVERAGE(OFFSET($AM$3,0,0,'Données projet'!$E$10+1,1))-AVERAGE(OFFSET($H$3,0,0,'Données projet'!$E$10+1,1))</f>
        <v>691.79662395689525</v>
      </c>
      <c r="AO128" s="59">
        <f t="shared" si="90"/>
        <v>213.38682325741539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116.78464400110299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116.78464400110299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689</v>
      </c>
      <c r="BE128" s="13">
        <f>BD128*VLOOKUP('Données projet'!$B$11,Paramètres!$A$1:$I$89,3,0)*VLOOKUP('Données projet'!$B$11,Paramètres!$A$1:$I$89,5,0)</f>
        <v>412.02199999999999</v>
      </c>
      <c r="BF128" s="13">
        <f t="shared" si="91"/>
        <v>94.209724877926391</v>
      </c>
      <c r="BG128" s="20">
        <f t="shared" si="61"/>
        <v>881.686920829055</v>
      </c>
      <c r="BH128" s="59">
        <f t="shared" si="62"/>
        <v>1165.9532494498044</v>
      </c>
      <c r="BI128" s="59">
        <f ca="1">AVERAGE(OFFSET($BH$3,0,0,'Données projet'!$E$11+1,1))-AVERAGE(OFFSET($H$3,0,0,'Données projet'!$E$11+1,1))</f>
        <v>525.88595000893986</v>
      </c>
      <c r="BJ128" s="59">
        <f t="shared" si="92"/>
        <v>458.67158147469263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40.143685759419334</v>
      </c>
      <c r="BQ128" s="21">
        <f>EXP(-LN(2)/25)*BQ127+(1-EXP(-LN(2)/25))/(LN(2)/25)*Calculateur!BL128*Calculateur!BN128*VLOOKUP('Données projet'!$B$11,Paramètres!$A$1:$I$89,3,0)*0.475*44/12</f>
        <v>4.2271550928315333</v>
      </c>
      <c r="BR128" s="21">
        <f>EXP(-LN(2)/2)*BR127+(1-EXP(-LN(2)/2))/(LN(2)/2)*BL128*BO128*VLOOKUP('Données projet'!$B$11,Paramètres!$A$1:$I$89,3,0)*0.475*44/12</f>
        <v>2.630964555908494E-16</v>
      </c>
      <c r="BS128" s="22">
        <f t="shared" si="63"/>
        <v>44.370840852250865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67.527180532931624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4.4080000000000004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16.16266666666667</v>
      </c>
      <c r="H129" s="66">
        <f t="shared" si="56"/>
        <v>192.01600000000005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10.186999999999994</v>
      </c>
      <c r="N129" s="13">
        <f>IF('Données projet'!$A$36&gt;35,N128+M129-V128,IF(A129&lt;'Données projet'!$A$36,$K$205^A129,IF(A129='Données projet'!$A$36,'Données projet'!$B$36,N128+M129-V128)))</f>
        <v>565.66199999999981</v>
      </c>
      <c r="O129" s="13">
        <f>N129*VLOOKUP('Données projet'!$B$9,Paramètres!$A$1:$I$89,3,0)*VLOOKUP('Données projet'!$B$9,Paramètres!$A$1:$I$89,5,0)</f>
        <v>511.81097759999983</v>
      </c>
      <c r="P129" s="13">
        <f t="shared" si="87"/>
        <v>114.10936916671025</v>
      </c>
      <c r="Q129" s="20">
        <f t="shared" si="107"/>
        <v>1090.1446039520199</v>
      </c>
      <c r="R129" s="59">
        <f t="shared" si="55"/>
        <v>1374.5682248337469</v>
      </c>
      <c r="S129" s="59">
        <f ca="1">AVERAGE(OFFSET($R$3,0,0,'Données projet'!$E$9+1,1))-AVERAGE(OFFSET($H$3,0,0,'Données projet'!$E$9+1,1))</f>
        <v>737.52606296329941</v>
      </c>
      <c r="T129" s="59">
        <f t="shared" si="88"/>
        <v>270.54143254083715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129.52114703966615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129.52114703966615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396.17011200000002</v>
      </c>
      <c r="AK129" s="13">
        <f t="shared" si="89"/>
        <v>90.99977997888567</v>
      </c>
      <c r="AL129" s="20">
        <f t="shared" si="58"/>
        <v>848.48756186322589</v>
      </c>
      <c r="AM129" s="59">
        <f t="shared" si="59"/>
        <v>1132.9111827449528</v>
      </c>
      <c r="AN129" s="59">
        <f ca="1">AVERAGE(OFFSET($AM$3,0,0,'Données projet'!$E$10+1,1))-AVERAGE(OFFSET($H$3,0,0,'Données projet'!$E$10+1,1))</f>
        <v>691.79662395689525</v>
      </c>
      <c r="AO129" s="59">
        <f t="shared" si="90"/>
        <v>213.38682325741539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114.49456836384067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114.49456836384067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689</v>
      </c>
      <c r="BE129" s="13">
        <f>BD129*VLOOKUP('Données projet'!$B$11,Paramètres!$A$1:$I$89,3,0)*VLOOKUP('Données projet'!$B$11,Paramètres!$A$1:$I$89,5,0)</f>
        <v>412.02199999999999</v>
      </c>
      <c r="BF129" s="13">
        <f t="shared" si="91"/>
        <v>94.209724877926391</v>
      </c>
      <c r="BG129" s="20">
        <f t="shared" si="61"/>
        <v>881.686920829055</v>
      </c>
      <c r="BH129" s="59">
        <f t="shared" si="62"/>
        <v>1166.1105417107819</v>
      </c>
      <c r="BI129" s="59">
        <f ca="1">AVERAGE(OFFSET($BH$3,0,0,'Données projet'!$E$11+1,1))-AVERAGE(OFFSET($H$3,0,0,'Données projet'!$E$11+1,1))</f>
        <v>525.88595000893986</v>
      </c>
      <c r="BJ129" s="59">
        <f t="shared" si="92"/>
        <v>458.67158147469263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39.356492566907718</v>
      </c>
      <c r="BQ129" s="21">
        <f>EXP(-LN(2)/25)*BQ128+(1-EXP(-LN(2)/25))/(LN(2)/25)*Calculateur!BL129*Calculateur!BN129*VLOOKUP('Données projet'!$B$11,Paramètres!$A$1:$I$89,3,0)*0.475*44/12</f>
        <v>4.1115633145216304</v>
      </c>
      <c r="BR129" s="21">
        <f>EXP(-LN(2)/2)*BR128+(1-EXP(-LN(2)/2))/(LN(2)/2)*BL129*BO129*VLOOKUP('Données projet'!$B$11,Paramètres!$A$1:$I$89,3,0)*0.475*44/12</f>
        <v>1.8603728785443497E-16</v>
      </c>
      <c r="BS129" s="22">
        <f t="shared" si="63"/>
        <v>43.468055881429351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67.570078422289143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4.4080000000000004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16.16266666666667</v>
      </c>
      <c r="H130" s="66">
        <f t="shared" si="56"/>
        <v>192.01600000000005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10.186999999999994</v>
      </c>
      <c r="N130" s="13">
        <f>IF('Données projet'!$A$36&gt;35,N129+M130-V129,IF(A130&lt;'Données projet'!$A$36,$K$205^A130,IF(A130='Données projet'!$A$36,'Données projet'!$B$36,N129+M130-V129)))</f>
        <v>575.84899999999982</v>
      </c>
      <c r="O130" s="13">
        <f>N130*VLOOKUP('Données projet'!$B$9,Paramètres!$A$1:$I$89,3,0)*VLOOKUP('Données projet'!$B$9,Paramètres!$A$1:$I$89,5,0)</f>
        <v>521.02817519999985</v>
      </c>
      <c r="P130" s="13">
        <f t="shared" si="87"/>
        <v>115.92327152449572</v>
      </c>
      <c r="Q130" s="20">
        <f t="shared" si="107"/>
        <v>1109.3571030451628</v>
      </c>
      <c r="R130" s="59">
        <f t="shared" si="55"/>
        <v>1393.9352875187922</v>
      </c>
      <c r="S130" s="59">
        <f ca="1">AVERAGE(OFFSET($R$3,0,0,'Données projet'!$E$9+1,1))-AVERAGE(OFFSET($H$3,0,0,'Données projet'!$E$9+1,1))</f>
        <v>737.52606296329941</v>
      </c>
      <c r="T130" s="59">
        <f t="shared" si="88"/>
        <v>270.54143254083715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126.98131634631737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126.98131634631737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404.25395400000002</v>
      </c>
      <c r="AK130" s="13">
        <f t="shared" si="89"/>
        <v>92.638557414542902</v>
      </c>
      <c r="AL130" s="20">
        <f t="shared" si="58"/>
        <v>865.42112404699549</v>
      </c>
      <c r="AM130" s="59">
        <f t="shared" si="59"/>
        <v>1149.9993085206247</v>
      </c>
      <c r="AN130" s="59">
        <f ca="1">AVERAGE(OFFSET($AM$3,0,0,'Données projet'!$E$10+1,1))-AVERAGE(OFFSET($H$3,0,0,'Données projet'!$E$10+1,1))</f>
        <v>691.79662395689525</v>
      </c>
      <c r="AO130" s="59">
        <f t="shared" si="90"/>
        <v>213.38682325741539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112.24939971301684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112.24939971301684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689</v>
      </c>
      <c r="BE130" s="13">
        <f>BD130*VLOOKUP('Données projet'!$B$11,Paramètres!$A$1:$I$89,3,0)*VLOOKUP('Données projet'!$B$11,Paramètres!$A$1:$I$89,5,0)</f>
        <v>412.02199999999999</v>
      </c>
      <c r="BF130" s="13">
        <f t="shared" si="91"/>
        <v>94.209724877926391</v>
      </c>
      <c r="BG130" s="20">
        <f t="shared" si="61"/>
        <v>881.686920829055</v>
      </c>
      <c r="BH130" s="59">
        <f t="shared" si="62"/>
        <v>1166.2651053026843</v>
      </c>
      <c r="BI130" s="59">
        <f ca="1">AVERAGE(OFFSET($BH$3,0,0,'Données projet'!$E$11+1,1))-AVERAGE(OFFSET($H$3,0,0,'Données projet'!$E$11+1,1))</f>
        <v>525.88595000893986</v>
      </c>
      <c r="BJ130" s="59">
        <f t="shared" si="92"/>
        <v>458.67158147469263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38.584735752760821</v>
      </c>
      <c r="BQ130" s="21">
        <f>EXP(-LN(2)/25)*BQ129+(1-EXP(-LN(2)/25))/(LN(2)/25)*Calculateur!BL130*Calculateur!BN130*VLOOKUP('Données projet'!$B$11,Paramètres!$A$1:$I$89,3,0)*0.475*44/12</f>
        <v>3.9991323994683188</v>
      </c>
      <c r="BR130" s="21">
        <f>EXP(-LN(2)/2)*BR129+(1-EXP(-LN(2)/2))/(LN(2)/2)*BL130*BO130*VLOOKUP('Données projet'!$B$11,Paramètres!$A$1:$I$89,3,0)*0.475*44/12</f>
        <v>1.315482277954247E-16</v>
      </c>
      <c r="BS130" s="22">
        <f t="shared" si="63"/>
        <v>42.583868152229137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67.61223212917163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4.4080000000000004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16.16266666666667</v>
      </c>
      <c r="H131" s="66">
        <f t="shared" si="56"/>
        <v>192.01600000000005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10.186999999999994</v>
      </c>
      <c r="N131" s="13">
        <f>IF('Données projet'!$A$36&gt;35,N130+M131-V130,IF(A131&lt;'Données projet'!$A$36,$K$205^A131,IF(A131='Données projet'!$A$36,'Données projet'!$B$36,N130+M131-V130)))</f>
        <v>586.03599999999983</v>
      </c>
      <c r="O131" s="13">
        <f>N131*VLOOKUP('Données projet'!$B$9,Paramètres!$A$1:$I$89,3,0)*VLOOKUP('Données projet'!$B$9,Paramètres!$A$1:$I$89,5,0)</f>
        <v>530.24537279999981</v>
      </c>
      <c r="P131" s="13">
        <f t="shared" si="87"/>
        <v>117.73344239935948</v>
      </c>
      <c r="Q131" s="20">
        <f t="shared" ref="Q131:Q153" si="108">(O131+P131)*0.475*44/12</f>
        <v>1128.5631031388839</v>
      </c>
      <c r="R131" s="59">
        <f t="shared" ref="R131:R194" si="109">Q131+(I131+J131)*44/12</f>
        <v>1413.2931698716486</v>
      </c>
      <c r="S131" s="59">
        <f ca="1">AVERAGE(OFFSET($R$3,0,0,'Données projet'!$E$9+1,1))-AVERAGE(OFFSET($H$3,0,0,'Données projet'!$E$9+1,1))</f>
        <v>737.52606296329941</v>
      </c>
      <c r="T131" s="59">
        <f t="shared" si="88"/>
        <v>270.54143254083715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124.49129018372142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124.49129018372142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412.33779600000008</v>
      </c>
      <c r="AK131" s="13">
        <f t="shared" si="89"/>
        <v>94.273524527573883</v>
      </c>
      <c r="AL131" s="20">
        <f t="shared" si="58"/>
        <v>882.34804991885801</v>
      </c>
      <c r="AM131" s="59">
        <f t="shared" si="59"/>
        <v>1167.0781166516226</v>
      </c>
      <c r="AN131" s="59">
        <f ca="1">AVERAGE(OFFSET($AM$3,0,0,'Données projet'!$E$10+1,1))-AVERAGE(OFFSET($H$3,0,0,'Données projet'!$E$10+1,1))</f>
        <v>691.79662395689525</v>
      </c>
      <c r="AO131" s="59">
        <f t="shared" si="90"/>
        <v>213.38682325741539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110.04825745001801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110.04825745001801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689</v>
      </c>
      <c r="BE131" s="13">
        <f>BD131*VLOOKUP('Données projet'!$B$11,Paramètres!$A$1:$I$89,3,0)*VLOOKUP('Données projet'!$B$11,Paramètres!$A$1:$I$89,5,0)</f>
        <v>412.02199999999999</v>
      </c>
      <c r="BF131" s="13">
        <f t="shared" si="91"/>
        <v>94.209724877926391</v>
      </c>
      <c r="BG131" s="20">
        <f t="shared" si="61"/>
        <v>881.686920829055</v>
      </c>
      <c r="BH131" s="59">
        <f t="shared" si="62"/>
        <v>1166.4169875618197</v>
      </c>
      <c r="BI131" s="59">
        <f ca="1">AVERAGE(OFFSET($BH$3,0,0,'Données projet'!$E$11+1,1))-AVERAGE(OFFSET($H$3,0,0,'Données projet'!$E$11+1,1))</f>
        <v>525.88595000893986</v>
      </c>
      <c r="BJ131" s="59">
        <f t="shared" si="92"/>
        <v>458.67158147469263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37.828112619014163</v>
      </c>
      <c r="BQ131" s="21">
        <f>EXP(-LN(2)/25)*BQ130+(1-EXP(-LN(2)/25))/(LN(2)/25)*Calculateur!BL131*Calculateur!BN131*VLOOKUP('Données projet'!$B$11,Paramètres!$A$1:$I$89,3,0)*0.475*44/12</f>
        <v>3.8897759136996251</v>
      </c>
      <c r="BR131" s="21">
        <f>EXP(-LN(2)/2)*BR130+(1-EXP(-LN(2)/2))/(LN(2)/2)*BL131*BO131*VLOOKUP('Données projet'!$B$11,Paramètres!$A$1:$I$89,3,0)*0.475*44/12</f>
        <v>9.3018643927217483E-17</v>
      </c>
      <c r="BS131" s="22">
        <f t="shared" si="63"/>
        <v>41.717888532713786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67.653654563481268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4.4080000000000004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16.16266666666667</v>
      </c>
      <c r="H132" s="66">
        <f t="shared" ref="H132:H195" si="110">(B132+E132+F132)*44/12+(C132+D132)*0.475*44/12</f>
        <v>192.01600000000005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10.186999999999994</v>
      </c>
      <c r="N132" s="13">
        <f>IF('Données projet'!$A$36&gt;35,N131+M132-V131,IF(A132&lt;'Données projet'!$A$36,$K$205^A132,IF(A132='Données projet'!$A$36,'Données projet'!$B$36,N131+M132-V131)))</f>
        <v>596.22299999999984</v>
      </c>
      <c r="O132" s="13">
        <f>N132*VLOOKUP('Données projet'!$B$9,Paramètres!$A$1:$I$89,3,0)*VLOOKUP('Données projet'!$B$9,Paramètres!$A$1:$I$89,5,0)</f>
        <v>539.46257039999989</v>
      </c>
      <c r="P132" s="13">
        <f t="shared" si="87"/>
        <v>119.53995413956184</v>
      </c>
      <c r="Q132" s="20">
        <f t="shared" si="108"/>
        <v>1147.7627302397366</v>
      </c>
      <c r="R132" s="59">
        <f t="shared" si="109"/>
        <v>1432.6420444139985</v>
      </c>
      <c r="S132" s="59">
        <f ca="1">AVERAGE(OFFSET($R$3,0,0,'Données projet'!$E$9+1,1))-AVERAGE(OFFSET($H$3,0,0,'Données projet'!$E$9+1,1))</f>
        <v>737.52606296329941</v>
      </c>
      <c r="T132" s="59">
        <f t="shared" si="88"/>
        <v>270.54143254083715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122.05009191540798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122.05009191540798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420.42163800000003</v>
      </c>
      <c r="AK132" s="13">
        <f t="shared" si="89"/>
        <v>95.904764629861944</v>
      </c>
      <c r="AL132" s="20">
        <f t="shared" ref="AL132:AL153" si="112">(AJ132+AK132)*0.475*44/12</f>
        <v>899.26848458034283</v>
      </c>
      <c r="AM132" s="59">
        <f t="shared" ref="AM132:AM195" si="113">AL132+(AD132+AE132)*44/12</f>
        <v>1184.1477987546048</v>
      </c>
      <c r="AN132" s="59">
        <f ca="1">AVERAGE(OFFSET($AM$3,0,0,'Données projet'!$E$10+1,1))-AVERAGE(OFFSET($H$3,0,0,'Données projet'!$E$10+1,1))</f>
        <v>691.79662395689525</v>
      </c>
      <c r="AO132" s="59">
        <f t="shared" si="90"/>
        <v>213.38682325741539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107.89027824423238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107.89027824423238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689</v>
      </c>
      <c r="BE132" s="13">
        <f>BD132*VLOOKUP('Données projet'!$B$11,Paramètres!$A$1:$I$89,3,0)*VLOOKUP('Données projet'!$B$11,Paramètres!$A$1:$I$89,5,0)</f>
        <v>412.02199999999999</v>
      </c>
      <c r="BF132" s="13">
        <f t="shared" si="91"/>
        <v>94.209724877926391</v>
      </c>
      <c r="BG132" s="20">
        <f t="shared" ref="BG132:BG153" si="115">(BE132+BF132)*0.475*44/12</f>
        <v>881.686920829055</v>
      </c>
      <c r="BH132" s="59">
        <f t="shared" ref="BH132:BH195" si="116">BG132+(AY132+AZ132)*44/12</f>
        <v>1166.5662350033169</v>
      </c>
      <c r="BI132" s="59">
        <f ca="1">AVERAGE(OFFSET($BH$3,0,0,'Données projet'!$E$11+1,1))-AVERAGE(OFFSET($H$3,0,0,'Données projet'!$E$11+1,1))</f>
        <v>525.88595000893986</v>
      </c>
      <c r="BJ132" s="59">
        <f t="shared" si="92"/>
        <v>458.67158147469263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37.086326403425737</v>
      </c>
      <c r="BQ132" s="21">
        <f>EXP(-LN(2)/25)*BQ131+(1-EXP(-LN(2)/25))/(LN(2)/25)*Calculateur!BL132*Calculateur!BN132*VLOOKUP('Données projet'!$B$11,Paramètres!$A$1:$I$89,3,0)*0.475*44/12</f>
        <v>3.7834097867850836</v>
      </c>
      <c r="BR132" s="21">
        <f>EXP(-LN(2)/2)*BR131+(1-EXP(-LN(2)/2))/(LN(2)/2)*BL132*BO132*VLOOKUP('Données projet'!$B$11,Paramètres!$A$1:$I$89,3,0)*0.475*44/12</f>
        <v>6.5774113897712349E-17</v>
      </c>
      <c r="BS132" s="22">
        <f t="shared" ref="BS132:BS153" si="117">SUM(BP132:BR132)</f>
        <v>40.869736190210823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67.694358411162327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4.4080000000000004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16.16266666666667</v>
      </c>
      <c r="H133" s="66">
        <f t="shared" si="110"/>
        <v>192.01600000000005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606.41</v>
      </c>
      <c r="L133" s="12">
        <f>VLOOKUP(A133,'Données projet'!$A$35:$I$55,9,0)</f>
        <v>10.186999999999994</v>
      </c>
      <c r="M133" s="12">
        <f t="array" ref="M133">INDEX(L:L,MIN(IF(ISNUMBER(L133:L329),ROW(L133:L329),"")))</f>
        <v>10.186999999999994</v>
      </c>
      <c r="N133" s="13">
        <f>IF('Données projet'!$A$36&gt;35,N132+M133-V132,IF(A133&lt;'Données projet'!$A$36,$K$205^A133,IF(A133='Données projet'!$A$36,'Données projet'!$B$36,N132+M133-V132)))</f>
        <v>606.40999999999985</v>
      </c>
      <c r="O133" s="13">
        <f>N133*VLOOKUP('Données projet'!$B$9,Paramètres!$A$1:$I$89,3,0)*VLOOKUP('Données projet'!$B$9,Paramètres!$A$1:$I$89,5,0)</f>
        <v>548.67976799999985</v>
      </c>
      <c r="P133" s="13">
        <f t="shared" ref="P133:P196" si="141">EXP(-1.0587+0.8836*LN(O133)+0.284)</f>
        <v>121.34287647942783</v>
      </c>
      <c r="Q133" s="20">
        <f t="shared" si="108"/>
        <v>1166.9561058016695</v>
      </c>
      <c r="R133" s="59">
        <f t="shared" si="109"/>
        <v>1451.9820783079861</v>
      </c>
      <c r="S133" s="59">
        <f ca="1">AVERAGE(OFFSET($R$3,0,0,'Données projet'!$E$9+1,1))-AVERAGE(OFFSET($H$3,0,0,'Données projet'!$E$9+1,1))</f>
        <v>737.52606296329941</v>
      </c>
      <c r="T133" s="59">
        <f t="shared" ref="T133:T196" si="142">$T$3</f>
        <v>270.54143254083715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69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149.33357627039217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149.33357627039217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428.50548000000009</v>
      </c>
      <c r="AK133" s="13">
        <f t="shared" ref="AK133:AK153" si="143">EXP(-1.0587+0.8836*LN(AJ133)+0.284)</f>
        <v>97.532357646161373</v>
      </c>
      <c r="AL133" s="20">
        <f t="shared" si="112"/>
        <v>916.18256723373122</v>
      </c>
      <c r="AM133" s="59">
        <f t="shared" si="113"/>
        <v>1201.2085397400476</v>
      </c>
      <c r="AN133" s="59">
        <f ca="1">AVERAGE(OFFSET($AM$3,0,0,'Données projet'!$E$10+1,1))-AVERAGE(OFFSET($H$3,0,0,'Données projet'!$E$10+1,1))</f>
        <v>691.79662395689525</v>
      </c>
      <c r="AO133" s="59">
        <f t="shared" ref="AO133:AO196" si="144">$AO$3</f>
        <v>213.38682325741539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105.77461569443484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105.77461569443484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689</v>
      </c>
      <c r="BE133" s="13">
        <f>BD133*VLOOKUP('Données projet'!$B$11,Paramètres!$A$1:$I$89,3,0)*VLOOKUP('Données projet'!$B$11,Paramètres!$A$1:$I$89,5,0)</f>
        <v>412.02199999999999</v>
      </c>
      <c r="BF133" s="13">
        <f t="shared" ref="BF133:BF153" si="145">EXP(-1.0587+0.8836*LN(BE133)+0.284)</f>
        <v>94.209724877926391</v>
      </c>
      <c r="BG133" s="20">
        <f t="shared" si="115"/>
        <v>881.686920829055</v>
      </c>
      <c r="BH133" s="59">
        <f t="shared" si="116"/>
        <v>1166.7128933353715</v>
      </c>
      <c r="BI133" s="59">
        <f ca="1">AVERAGE(OFFSET($BH$3,0,0,'Données projet'!$E$11+1,1))-AVERAGE(OFFSET($H$3,0,0,'Données projet'!$E$11+1,1))</f>
        <v>525.88595000893986</v>
      </c>
      <c r="BJ133" s="59">
        <f t="shared" ref="BJ133:BJ196" si="146">$BJ$3</f>
        <v>458.67158147469263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36.359086163080086</v>
      </c>
      <c r="BQ133" s="21">
        <f>EXP(-LN(2)/25)*BQ132+(1-EXP(-LN(2)/25))/(LN(2)/25)*Calculateur!BL133*Calculateur!BN133*VLOOKUP('Données projet'!$B$11,Paramètres!$A$1:$I$89,3,0)*0.475*44/12</f>
        <v>3.679952247204572</v>
      </c>
      <c r="BR133" s="21">
        <f>EXP(-LN(2)/2)*BR132+(1-EXP(-LN(2)/2))/(LN(2)/2)*BL133*BO133*VLOOKUP('Données projet'!$B$11,Paramètres!$A$1:$I$89,3,0)*0.475*44/12</f>
        <v>4.6509321963608741E-17</v>
      </c>
      <c r="BS133" s="22">
        <f t="shared" si="117"/>
        <v>40.039038410284661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67.734356138086298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4.4080000000000004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16.16266666666667</v>
      </c>
      <c r="H134" s="66">
        <f t="shared" si="110"/>
        <v>192.01600000000005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10.163999999999998</v>
      </c>
      <c r="N134" s="13">
        <f>IF('Données projet'!$A$36&gt;35,N133+M134-V133,IF(A134&lt;'Données projet'!$A$36,$K$205^A134,IF(A134='Données projet'!$A$36,'Données projet'!$B$36,N133+M134-V133)))</f>
        <v>547.57399999999984</v>
      </c>
      <c r="O134" s="13">
        <f>N134*VLOOKUP('Données projet'!$B$9,Paramètres!$A$1:$I$89,3,0)*VLOOKUP('Données projet'!$B$9,Paramètres!$A$1:$I$89,5,0)</f>
        <v>495.44495519999981</v>
      </c>
      <c r="P134" s="13">
        <f t="shared" si="141"/>
        <v>110.87918107650623</v>
      </c>
      <c r="Q134" s="20">
        <f t="shared" si="108"/>
        <v>1056.0145373482478</v>
      </c>
      <c r="R134" s="59">
        <f t="shared" si="109"/>
        <v>1341.1846239924366</v>
      </c>
      <c r="S134" s="59">
        <f ca="1">AVERAGE(OFFSET($R$3,0,0,'Données projet'!$E$9+1,1))-AVERAGE(OFFSET($H$3,0,0,'Données projet'!$E$9+1,1))</f>
        <v>737.52606296329941</v>
      </c>
      <c r="T134" s="59">
        <f t="shared" si="142"/>
        <v>270.54143254083715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146.40523592421746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146.40523592421746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436.58932200000004</v>
      </c>
      <c r="AK134" s="13">
        <f t="shared" si="143"/>
        <v>99.156380313060154</v>
      </c>
      <c r="AL134" s="20">
        <f t="shared" si="112"/>
        <v>933.09043152857976</v>
      </c>
      <c r="AM134" s="59">
        <f t="shared" si="113"/>
        <v>1218.2605181727686</v>
      </c>
      <c r="AN134" s="59">
        <f ca="1">AVERAGE(OFFSET($AM$3,0,0,'Données projet'!$E$10+1,1))-AVERAGE(OFFSET($H$3,0,0,'Données projet'!$E$10+1,1))</f>
        <v>691.79662395689525</v>
      </c>
      <c r="AO134" s="59">
        <f t="shared" si="144"/>
        <v>213.38682325741539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103.70043999681211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103.70043999681211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689</v>
      </c>
      <c r="BE134" s="13">
        <f>BD134*VLOOKUP('Données projet'!$B$11,Paramètres!$A$1:$I$89,3,0)*VLOOKUP('Données projet'!$B$11,Paramètres!$A$1:$I$89,5,0)</f>
        <v>412.02199999999999</v>
      </c>
      <c r="BF134" s="13">
        <f t="shared" si="145"/>
        <v>94.209724877926391</v>
      </c>
      <c r="BG134" s="20">
        <f t="shared" si="115"/>
        <v>881.686920829055</v>
      </c>
      <c r="BH134" s="59">
        <f t="shared" si="116"/>
        <v>1166.8570074732438</v>
      </c>
      <c r="BI134" s="59">
        <f ca="1">AVERAGE(OFFSET($BH$3,0,0,'Données projet'!$E$11+1,1))-AVERAGE(OFFSET($H$3,0,0,'Données projet'!$E$11+1,1))</f>
        <v>525.88595000893986</v>
      </c>
      <c r="BJ134" s="59">
        <f t="shared" si="146"/>
        <v>458.67158147469263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35.64610666027486</v>
      </c>
      <c r="BQ134" s="21">
        <f>EXP(-LN(2)/25)*BQ133+(1-EXP(-LN(2)/25))/(LN(2)/25)*Calculateur!BL134*Calculateur!BN134*VLOOKUP('Données projet'!$B$11,Paramètres!$A$1:$I$89,3,0)*0.475*44/12</f>
        <v>3.5793237594844851</v>
      </c>
      <c r="BR134" s="21">
        <f>EXP(-LN(2)/2)*BR133+(1-EXP(-LN(2)/2))/(LN(2)/2)*BL134*BO134*VLOOKUP('Données projet'!$B$11,Paramètres!$A$1:$I$89,3,0)*0.475*44/12</f>
        <v>3.2887056948856174E-17</v>
      </c>
      <c r="BS134" s="22">
        <f t="shared" si="117"/>
        <v>39.225430419759348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67.773659993869643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4.4080000000000004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16.16266666666667</v>
      </c>
      <c r="H135" s="66">
        <f t="shared" si="110"/>
        <v>192.01600000000005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10.163999999999998</v>
      </c>
      <c r="N135" s="13">
        <f>IF('Données projet'!$A$36&gt;35,N134+M135-V134,IF(A135&lt;'Données projet'!$A$36,$K$205^A135,IF(A135='Données projet'!$A$36,'Données projet'!$B$36,N134+M135-V134)))</f>
        <v>557.73799999999983</v>
      </c>
      <c r="O135" s="13">
        <f>N135*VLOOKUP('Données projet'!$B$9,Paramètres!$A$1:$I$89,3,0)*VLOOKUP('Données projet'!$B$9,Paramètres!$A$1:$I$89,5,0)</f>
        <v>504.64134239999987</v>
      </c>
      <c r="P135" s="13">
        <f t="shared" si="141"/>
        <v>112.69578958899113</v>
      </c>
      <c r="Q135" s="20">
        <f t="shared" si="108"/>
        <v>1075.1955048808261</v>
      </c>
      <c r="R135" s="59">
        <f t="shared" si="109"/>
        <v>1360.5072056047859</v>
      </c>
      <c r="S135" s="59">
        <f ca="1">AVERAGE(OFFSET($R$3,0,0,'Données projet'!$E$9+1,1))-AVERAGE(OFFSET($H$3,0,0,'Données projet'!$E$9+1,1))</f>
        <v>737.52606296329941</v>
      </c>
      <c r="T135" s="59">
        <f t="shared" si="142"/>
        <v>270.54143254083715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143.53431854612001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143.53431854612001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444.6731640000001</v>
      </c>
      <c r="AK135" s="13">
        <f t="shared" si="143"/>
        <v>100.77690636279087</v>
      </c>
      <c r="AL135" s="20">
        <f t="shared" si="112"/>
        <v>949.99220588186074</v>
      </c>
      <c r="AM135" s="59">
        <f t="shared" si="113"/>
        <v>1235.3039066058207</v>
      </c>
      <c r="AN135" s="59">
        <f ca="1">AVERAGE(OFFSET($AM$3,0,0,'Données projet'!$E$10+1,1))-AVERAGE(OFFSET($H$3,0,0,'Données projet'!$E$10+1,1))</f>
        <v>691.79662395689525</v>
      </c>
      <c r="AO135" s="59">
        <f t="shared" si="144"/>
        <v>213.38682325741539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101.6669376194975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101.6669376194975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689</v>
      </c>
      <c r="BE135" s="13">
        <f>BD135*VLOOKUP('Données projet'!$B$11,Paramètres!$A$1:$I$89,3,0)*VLOOKUP('Données projet'!$B$11,Paramètres!$A$1:$I$89,5,0)</f>
        <v>412.02199999999999</v>
      </c>
      <c r="BF135" s="13">
        <f t="shared" si="145"/>
        <v>94.209724877926391</v>
      </c>
      <c r="BG135" s="20">
        <f t="shared" si="115"/>
        <v>881.686920829055</v>
      </c>
      <c r="BH135" s="59">
        <f t="shared" si="116"/>
        <v>1166.9986215530148</v>
      </c>
      <c r="BI135" s="59">
        <f ca="1">AVERAGE(OFFSET($BH$3,0,0,'Données projet'!$E$11+1,1))-AVERAGE(OFFSET($H$3,0,0,'Données projet'!$E$11+1,1))</f>
        <v>525.88595000893986</v>
      </c>
      <c r="BJ135" s="59">
        <f t="shared" si="146"/>
        <v>458.67158147469263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34.947108250645094</v>
      </c>
      <c r="BQ135" s="21">
        <f>EXP(-LN(2)/25)*BQ134+(1-EXP(-LN(2)/25))/(LN(2)/25)*Calculateur!BL135*Calculateur!BN135*VLOOKUP('Données projet'!$B$11,Paramètres!$A$1:$I$89,3,0)*0.475*44/12</f>
        <v>3.4814469630529259</v>
      </c>
      <c r="BR135" s="21">
        <f>EXP(-LN(2)/2)*BR134+(1-EXP(-LN(2)/2))/(LN(2)/2)*BL135*BO135*VLOOKUP('Données projet'!$B$11,Paramètres!$A$1:$I$89,3,0)*0.475*44/12</f>
        <v>2.3254660981804371E-17</v>
      </c>
      <c r="BS135" s="22">
        <f t="shared" si="117"/>
        <v>38.428555213698019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67.812282015625414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4.4080000000000004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16.16266666666667</v>
      </c>
      <c r="H136" s="66">
        <f t="shared" si="110"/>
        <v>192.01600000000005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10.163999999999998</v>
      </c>
      <c r="N136" s="13">
        <f>IF('Données projet'!$A$36&gt;35,N135+M136-V135,IF(A136&lt;'Données projet'!$A$36,$K$205^A136,IF(A136='Données projet'!$A$36,'Données projet'!$B$36,N135+M136-V135)))</f>
        <v>567.90199999999982</v>
      </c>
      <c r="O136" s="13">
        <f>N136*VLOOKUP('Données projet'!$B$9,Paramètres!$A$1:$I$89,3,0)*VLOOKUP('Données projet'!$B$9,Paramètres!$A$1:$I$89,5,0)</f>
        <v>513.83772959999976</v>
      </c>
      <c r="P136" s="13">
        <f t="shared" si="141"/>
        <v>114.5085485190572</v>
      </c>
      <c r="Q136" s="20">
        <f t="shared" si="108"/>
        <v>1094.3697677240241</v>
      </c>
      <c r="R136" s="59">
        <f t="shared" si="109"/>
        <v>1379.8206258400728</v>
      </c>
      <c r="S136" s="59">
        <f ca="1">AVERAGE(OFFSET($R$3,0,0,'Données projet'!$E$9+1,1))-AVERAGE(OFFSET($H$3,0,0,'Données projet'!$E$9+1,1))</f>
        <v>737.52606296329941</v>
      </c>
      <c r="T136" s="59">
        <f t="shared" si="142"/>
        <v>270.54143254083715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140.71969810672033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140.71969810672033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452.75700600000005</v>
      </c>
      <c r="AK136" s="13">
        <f t="shared" si="143"/>
        <v>102.39400669329594</v>
      </c>
      <c r="AL136" s="20">
        <f t="shared" si="112"/>
        <v>966.88801377415712</v>
      </c>
      <c r="AM136" s="59">
        <f t="shared" si="113"/>
        <v>1252.3388718902056</v>
      </c>
      <c r="AN136" s="59">
        <f ca="1">AVERAGE(OFFSET($AM$3,0,0,'Données projet'!$E$10+1,1))-AVERAGE(OFFSET($H$3,0,0,'Données projet'!$E$10+1,1))</f>
        <v>691.79662395689525</v>
      </c>
      <c r="AO136" s="59">
        <f t="shared" si="144"/>
        <v>213.38682325741539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99.673310983488051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99.673310983488051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689</v>
      </c>
      <c r="BE136" s="13">
        <f>BD136*VLOOKUP('Données projet'!$B$11,Paramètres!$A$1:$I$89,3,0)*VLOOKUP('Données projet'!$B$11,Paramètres!$A$1:$I$89,5,0)</f>
        <v>412.02199999999999</v>
      </c>
      <c r="BF136" s="13">
        <f t="shared" si="145"/>
        <v>94.209724877926391</v>
      </c>
      <c r="BG136" s="20">
        <f t="shared" si="115"/>
        <v>881.686920829055</v>
      </c>
      <c r="BH136" s="59">
        <f t="shared" si="116"/>
        <v>1167.1377789451035</v>
      </c>
      <c r="BI136" s="59">
        <f ca="1">AVERAGE(OFFSET($BH$3,0,0,'Données projet'!$E$11+1,1))-AVERAGE(OFFSET($H$3,0,0,'Données projet'!$E$11+1,1))</f>
        <v>525.88595000893986</v>
      </c>
      <c r="BJ136" s="59">
        <f t="shared" si="146"/>
        <v>458.67158147469263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34.261816773481236</v>
      </c>
      <c r="BQ136" s="21">
        <f>EXP(-LN(2)/25)*BQ135+(1-EXP(-LN(2)/25))/(LN(2)/25)*Calculateur!BL136*Calculateur!BN136*VLOOKUP('Données projet'!$B$11,Paramètres!$A$1:$I$89,3,0)*0.475*44/12</f>
        <v>3.3862466127669046</v>
      </c>
      <c r="BR136" s="21">
        <f>EXP(-LN(2)/2)*BR135+(1-EXP(-LN(2)/2))/(LN(2)/2)*BL136*BO136*VLOOKUP('Données projet'!$B$11,Paramètres!$A$1:$I$89,3,0)*0.475*44/12</f>
        <v>1.6443528474428087E-17</v>
      </c>
      <c r="BS136" s="22">
        <f t="shared" si="117"/>
        <v>37.64806338624814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67.85023403164962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4.4080000000000004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16.16266666666667</v>
      </c>
      <c r="H137" s="66">
        <f t="shared" si="110"/>
        <v>192.01600000000005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10.163999999999998</v>
      </c>
      <c r="N137" s="13">
        <f>IF('Données projet'!$A$36&gt;35,N136+M137-V136,IF(A137&lt;'Données projet'!$A$36,$K$205^A137,IF(A137='Données projet'!$A$36,'Données projet'!$B$36,N136+M137-V136)))</f>
        <v>578.0659999999998</v>
      </c>
      <c r="O137" s="13">
        <f>N137*VLOOKUP('Données projet'!$B$9,Paramètres!$A$1:$I$89,3,0)*VLOOKUP('Données projet'!$B$9,Paramètres!$A$1:$I$89,5,0)</f>
        <v>523.03411679999988</v>
      </c>
      <c r="P137" s="13">
        <f t="shared" si="141"/>
        <v>116.31753471233222</v>
      </c>
      <c r="Q137" s="20">
        <f t="shared" si="108"/>
        <v>1113.5374597173118</v>
      </c>
      <c r="R137" s="59">
        <f t="shared" si="109"/>
        <v>1399.1250611558057</v>
      </c>
      <c r="S137" s="59">
        <f ca="1">AVERAGE(OFFSET($R$3,0,0,'Données projet'!$E$9+1,1))-AVERAGE(OFFSET($H$3,0,0,'Données projet'!$E$9+1,1))</f>
        <v>737.52606296329941</v>
      </c>
      <c r="T137" s="59">
        <f t="shared" si="142"/>
        <v>270.54143254083715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137.96027065738832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137.96027065738832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460.84084800000011</v>
      </c>
      <c r="AK137" s="13">
        <f t="shared" si="143"/>
        <v>104.0077495258046</v>
      </c>
      <c r="AL137" s="20">
        <f t="shared" si="112"/>
        <v>983.77797402410977</v>
      </c>
      <c r="AM137" s="59">
        <f t="shared" si="113"/>
        <v>1269.3655754626038</v>
      </c>
      <c r="AN137" s="59">
        <f ca="1">AVERAGE(OFFSET($AM$3,0,0,'Données projet'!$E$10+1,1))-AVERAGE(OFFSET($H$3,0,0,'Données projet'!$E$10+1,1))</f>
        <v>691.79662395689525</v>
      </c>
      <c r="AO137" s="59">
        <f t="shared" si="144"/>
        <v>213.38682325741539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122.57514764045364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122.57514764045364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689</v>
      </c>
      <c r="BE137" s="13">
        <f>BD137*VLOOKUP('Données projet'!$B$11,Paramètres!$A$1:$I$89,3,0)*VLOOKUP('Données projet'!$B$11,Paramètres!$A$1:$I$89,5,0)</f>
        <v>412.02199999999999</v>
      </c>
      <c r="BF137" s="13">
        <f t="shared" si="145"/>
        <v>94.209724877926391</v>
      </c>
      <c r="BG137" s="20">
        <f t="shared" si="115"/>
        <v>881.686920829055</v>
      </c>
      <c r="BH137" s="59">
        <f t="shared" si="116"/>
        <v>1167.2745222675489</v>
      </c>
      <c r="BI137" s="59">
        <f ca="1">AVERAGE(OFFSET($BH$3,0,0,'Données projet'!$E$11+1,1))-AVERAGE(OFFSET($H$3,0,0,'Données projet'!$E$11+1,1))</f>
        <v>525.88595000893986</v>
      </c>
      <c r="BJ137" s="59">
        <f t="shared" si="146"/>
        <v>458.67158147469263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33.589963444198027</v>
      </c>
      <c r="BQ137" s="21">
        <f>EXP(-LN(2)/25)*BQ136+(1-EXP(-LN(2)/25))/(LN(2)/25)*Calculateur!BL137*Calculateur!BN137*VLOOKUP('Données projet'!$B$11,Paramètres!$A$1:$I$89,3,0)*0.475*44/12</f>
        <v>3.2936495210658236</v>
      </c>
      <c r="BR137" s="21">
        <f>EXP(-LN(2)/2)*BR136+(1-EXP(-LN(2)/2))/(LN(2)/2)*BL137*BO137*VLOOKUP('Données projet'!$B$11,Paramètres!$A$1:$I$89,3,0)*0.475*44/12</f>
        <v>1.1627330490902185E-17</v>
      </c>
      <c r="BS137" s="22">
        <f t="shared" si="117"/>
        <v>36.88361296526385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67.887527665043805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4.4080000000000004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16.16266666666667</v>
      </c>
      <c r="H138" s="66">
        <f t="shared" si="110"/>
        <v>192.01600000000005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10.163999999999998</v>
      </c>
      <c r="N138" s="13">
        <f>IF('Données projet'!$A$36&gt;35,N137+M138-V137,IF(A138&lt;'Données projet'!$A$36,$K$205^A138,IF(A138='Données projet'!$A$36,'Données projet'!$B$36,N137+M138-V137)))</f>
        <v>588.22999999999979</v>
      </c>
      <c r="O138" s="13">
        <f>N138*VLOOKUP('Données projet'!$B$9,Paramètres!$A$1:$I$89,3,0)*VLOOKUP('Données projet'!$B$9,Paramètres!$A$1:$I$89,5,0)</f>
        <v>532.23050399999977</v>
      </c>
      <c r="P138" s="13">
        <f t="shared" si="141"/>
        <v>118.12282215733531</v>
      </c>
      <c r="Q138" s="20">
        <f t="shared" si="108"/>
        <v>1132.6987097240253</v>
      </c>
      <c r="R138" s="59">
        <f t="shared" si="109"/>
        <v>1418.4206822940325</v>
      </c>
      <c r="S138" s="59">
        <f ca="1">AVERAGE(OFFSET($R$3,0,0,'Données projet'!$E$9+1,1))-AVERAGE(OFFSET($H$3,0,0,'Données projet'!$E$9+1,1))</f>
        <v>737.52606296329941</v>
      </c>
      <c r="T138" s="59">
        <f t="shared" si="142"/>
        <v>270.54143254083715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135.25495389725316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135.25495389725316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416.69707560000012</v>
      </c>
      <c r="AK138" s="13">
        <f t="shared" si="143"/>
        <v>95.153642267833021</v>
      </c>
      <c r="AL138" s="20">
        <f t="shared" si="112"/>
        <v>891.4733336198093</v>
      </c>
      <c r="AM138" s="59">
        <f t="shared" si="113"/>
        <v>1177.1953061898164</v>
      </c>
      <c r="AN138" s="59">
        <f ca="1">AVERAGE(OFFSET($AM$3,0,0,'Données projet'!$E$10+1,1))-AVERAGE(OFFSET($H$3,0,0,'Données projet'!$E$10+1,1))</f>
        <v>691.79662395689525</v>
      </c>
      <c r="AO138" s="59">
        <f t="shared" si="144"/>
        <v>213.38682325741539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120.17152375868213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120.17152375868213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689</v>
      </c>
      <c r="BE138" s="13">
        <f>BD138*VLOOKUP('Données projet'!$B$11,Paramètres!$A$1:$I$89,3,0)*VLOOKUP('Données projet'!$B$11,Paramètres!$A$1:$I$89,5,0)</f>
        <v>412.02199999999999</v>
      </c>
      <c r="BF138" s="13">
        <f t="shared" si="145"/>
        <v>94.209724877926391</v>
      </c>
      <c r="BG138" s="20">
        <f t="shared" si="115"/>
        <v>881.686920829055</v>
      </c>
      <c r="BH138" s="59">
        <f t="shared" si="116"/>
        <v>1167.4088933990622</v>
      </c>
      <c r="BI138" s="59">
        <f ca="1">AVERAGE(OFFSET($BH$3,0,0,'Données projet'!$E$11+1,1))-AVERAGE(OFFSET($H$3,0,0,'Données projet'!$E$11+1,1))</f>
        <v>525.88595000893986</v>
      </c>
      <c r="BJ138" s="59">
        <f t="shared" si="146"/>
        <v>458.67158147469263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32.931284748911999</v>
      </c>
      <c r="BQ138" s="21">
        <f>EXP(-LN(2)/25)*BQ137+(1-EXP(-LN(2)/25))/(LN(2)/25)*Calculateur!BL138*Calculateur!BN138*VLOOKUP('Données projet'!$B$11,Paramètres!$A$1:$I$89,3,0)*0.475*44/12</f>
        <v>3.2035845017067781</v>
      </c>
      <c r="BR138" s="21">
        <f>EXP(-LN(2)/2)*BR137+(1-EXP(-LN(2)/2))/(LN(2)/2)*BL138*BO138*VLOOKUP('Données projet'!$B$11,Paramètres!$A$1:$I$89,3,0)*0.475*44/12</f>
        <v>8.2217642372140436E-18</v>
      </c>
      <c r="BS138" s="22">
        <f t="shared" si="117"/>
        <v>36.134869250618777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67.924174337274678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4.4080000000000004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16.16266666666667</v>
      </c>
      <c r="H139" s="66">
        <f t="shared" si="110"/>
        <v>192.01600000000005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10.163999999999998</v>
      </c>
      <c r="N139" s="13">
        <f>IF('Données projet'!$A$36&gt;35,N138+M139-V138,IF(A139&lt;'Données projet'!$A$36,$K$205^A139,IF(A139='Données projet'!$A$36,'Données projet'!$B$36,N138+M139-V138)))</f>
        <v>598.39399999999978</v>
      </c>
      <c r="O139" s="13">
        <f>N139*VLOOKUP('Données projet'!$B$9,Paramètres!$A$1:$I$89,3,0)*VLOOKUP('Données projet'!$B$9,Paramètres!$A$1:$I$89,5,0)</f>
        <v>541.42689119999977</v>
      </c>
      <c r="P139" s="13">
        <f t="shared" si="141"/>
        <v>119.92448213920237</v>
      </c>
      <c r="Q139" s="20">
        <f t="shared" si="108"/>
        <v>1151.8536418991105</v>
      </c>
      <c r="R139" s="59">
        <f t="shared" si="109"/>
        <v>1437.7076545619079</v>
      </c>
      <c r="S139" s="59">
        <f ca="1">AVERAGE(OFFSET($R$3,0,0,'Données projet'!$E$9+1,1))-AVERAGE(OFFSET($H$3,0,0,'Données projet'!$E$9+1,1))</f>
        <v>737.52606296329941</v>
      </c>
      <c r="T139" s="59">
        <f t="shared" si="142"/>
        <v>270.54143254083715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132.60268674870397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132.60268674870397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424.84372320000006</v>
      </c>
      <c r="AK139" s="13">
        <f t="shared" si="143"/>
        <v>96.795549912832186</v>
      </c>
      <c r="AL139" s="20">
        <f t="shared" si="112"/>
        <v>908.52173400484946</v>
      </c>
      <c r="AM139" s="59">
        <f t="shared" si="113"/>
        <v>1194.375746667647</v>
      </c>
      <c r="AN139" s="59">
        <f ca="1">AVERAGE(OFFSET($AM$3,0,0,'Données projet'!$E$10+1,1))-AVERAGE(OFFSET($H$3,0,0,'Données projet'!$E$10+1,1))</f>
        <v>691.79662395689525</v>
      </c>
      <c r="AO139" s="59">
        <f t="shared" si="144"/>
        <v>213.38682325741539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117.81503347516635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117.81503347516635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689</v>
      </c>
      <c r="BE139" s="13">
        <f>BD139*VLOOKUP('Données projet'!$B$11,Paramètres!$A$1:$I$89,3,0)*VLOOKUP('Données projet'!$B$11,Paramètres!$A$1:$I$89,5,0)</f>
        <v>412.02199999999999</v>
      </c>
      <c r="BF139" s="13">
        <f t="shared" si="145"/>
        <v>94.209724877926391</v>
      </c>
      <c r="BG139" s="20">
        <f t="shared" si="115"/>
        <v>881.686920829055</v>
      </c>
      <c r="BH139" s="59">
        <f t="shared" si="116"/>
        <v>1167.5409334918525</v>
      </c>
      <c r="BI139" s="59">
        <f ca="1">AVERAGE(OFFSET($BH$3,0,0,'Données projet'!$E$11+1,1))-AVERAGE(OFFSET($H$3,0,0,'Données projet'!$E$11+1,1))</f>
        <v>525.88595000893986</v>
      </c>
      <c r="BJ139" s="59">
        <f t="shared" si="146"/>
        <v>458.67158147469263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32.285522341086192</v>
      </c>
      <c r="BQ139" s="21">
        <f>EXP(-LN(2)/25)*BQ138+(1-EXP(-LN(2)/25))/(LN(2)/25)*Calculateur!BL139*Calculateur!BN139*VLOOKUP('Données projet'!$B$11,Paramètres!$A$1:$I$89,3,0)*0.475*44/12</f>
        <v>3.1159823150384192</v>
      </c>
      <c r="BR139" s="21">
        <f>EXP(-LN(2)/2)*BR138+(1-EXP(-LN(2)/2))/(LN(2)/2)*BL139*BO139*VLOOKUP('Données projet'!$B$11,Paramètres!$A$1:$I$89,3,0)*0.475*44/12</f>
        <v>5.8136652454510927E-18</v>
      </c>
      <c r="BS139" s="22">
        <f t="shared" si="117"/>
        <v>35.401504656124615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67.960185271672046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4.4080000000000004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16.16266666666667</v>
      </c>
      <c r="H140" s="66">
        <f t="shared" si="110"/>
        <v>192.01600000000005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10.163999999999998</v>
      </c>
      <c r="N140" s="13">
        <f>IF('Données projet'!$A$36&gt;35,N139+M140-V139,IF(A140&lt;'Données projet'!$A$36,$K$205^A140,IF(A140='Données projet'!$A$36,'Données projet'!$B$36,N139+M140-V139)))</f>
        <v>608.55799999999977</v>
      </c>
      <c r="O140" s="13">
        <f>N140*VLOOKUP('Données projet'!$B$9,Paramètres!$A$1:$I$89,3,0)*VLOOKUP('Données projet'!$B$9,Paramètres!$A$1:$I$89,5,0)</f>
        <v>550.62327839999978</v>
      </c>
      <c r="P140" s="13">
        <f t="shared" si="141"/>
        <v>121.72258338267243</v>
      </c>
      <c r="Q140" s="20">
        <f t="shared" si="108"/>
        <v>1171.0023759381538</v>
      </c>
      <c r="R140" s="59">
        <f t="shared" si="109"/>
        <v>1456.9861380933291</v>
      </c>
      <c r="S140" s="59">
        <f ca="1">AVERAGE(OFFSET($R$3,0,0,'Données projet'!$E$9+1,1))-AVERAGE(OFFSET($H$3,0,0,'Données projet'!$E$9+1,1))</f>
        <v>737.52606296329941</v>
      </c>
      <c r="T140" s="59">
        <f t="shared" si="142"/>
        <v>270.54143254083715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130.00242894121459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130.00242894121459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432.99037080000011</v>
      </c>
      <c r="AK140" s="13">
        <f t="shared" si="143"/>
        <v>98.433796597914238</v>
      </c>
      <c r="AL140" s="20">
        <f t="shared" si="112"/>
        <v>925.56375821803397</v>
      </c>
      <c r="AM140" s="59">
        <f t="shared" si="113"/>
        <v>1211.5475203732092</v>
      </c>
      <c r="AN140" s="59">
        <f ca="1">AVERAGE(OFFSET($AM$3,0,0,'Données projet'!$E$10+1,1))-AVERAGE(OFFSET($H$3,0,0,'Données projet'!$E$10+1,1))</f>
        <v>691.79662395689525</v>
      </c>
      <c r="AO140" s="59">
        <f t="shared" si="144"/>
        <v>213.38682325741539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115.50475252879316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115.50475252879316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689</v>
      </c>
      <c r="BE140" s="13">
        <f>BD140*VLOOKUP('Données projet'!$B$11,Paramètres!$A$1:$I$89,3,0)*VLOOKUP('Données projet'!$B$11,Paramètres!$A$1:$I$89,5,0)</f>
        <v>412.02199999999999</v>
      </c>
      <c r="BF140" s="13">
        <f t="shared" si="145"/>
        <v>94.209724877926391</v>
      </c>
      <c r="BG140" s="20">
        <f t="shared" si="115"/>
        <v>881.686920829055</v>
      </c>
      <c r="BH140" s="59">
        <f t="shared" si="116"/>
        <v>1167.6706829842303</v>
      </c>
      <c r="BI140" s="59">
        <f ca="1">AVERAGE(OFFSET($BH$3,0,0,'Données projet'!$E$11+1,1))-AVERAGE(OFFSET($H$3,0,0,'Données projet'!$E$11+1,1))</f>
        <v>525.88595000893986</v>
      </c>
      <c r="BJ140" s="59">
        <f t="shared" si="146"/>
        <v>458.67158147469263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31.652422940201674</v>
      </c>
      <c r="BQ140" s="21">
        <f>EXP(-LN(2)/25)*BQ139+(1-EXP(-LN(2)/25))/(LN(2)/25)*Calculateur!BL140*Calculateur!BN140*VLOOKUP('Données projet'!$B$11,Paramètres!$A$1:$I$89,3,0)*0.475*44/12</f>
        <v>3.0307756147713052</v>
      </c>
      <c r="BR140" s="21">
        <f>EXP(-LN(2)/2)*BR139+(1-EXP(-LN(2)/2))/(LN(2)/2)*BL140*BO140*VLOOKUP('Données projet'!$B$11,Paramètres!$A$1:$I$89,3,0)*0.475*44/12</f>
        <v>4.1108821186070218E-18</v>
      </c>
      <c r="BS140" s="22">
        <f t="shared" si="117"/>
        <v>34.683198554972982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67.995571496865978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4.4080000000000004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16.16266666666667</v>
      </c>
      <c r="H141" s="66">
        <f t="shared" si="110"/>
        <v>192.01600000000005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10.163999999999998</v>
      </c>
      <c r="N141" s="13">
        <f>IF('Données projet'!$A$36&gt;35,N140+M141-V140,IF(A141&lt;'Données projet'!$A$36,$K$205^A141,IF(A141='Données projet'!$A$36,'Données projet'!$B$36,N140+M141-V140)))</f>
        <v>618.72199999999975</v>
      </c>
      <c r="O141" s="13">
        <f>N141*VLOOKUP('Données projet'!$B$9,Paramètres!$A$1:$I$89,3,0)*VLOOKUP('Données projet'!$B$9,Paramètres!$A$1:$I$89,5,0)</f>
        <v>559.81966559999978</v>
      </c>
      <c r="P141" s="13">
        <f t="shared" si="141"/>
        <v>123.5171921852493</v>
      </c>
      <c r="Q141" s="20">
        <f t="shared" si="108"/>
        <v>1190.1450273093087</v>
      </c>
      <c r="R141" s="59">
        <f t="shared" si="109"/>
        <v>1476.2562880932455</v>
      </c>
      <c r="S141" s="59">
        <f ca="1">AVERAGE(OFFSET($R$3,0,0,'Données projet'!$E$9+1,1))-AVERAGE(OFFSET($H$3,0,0,'Données projet'!$E$9+1,1))</f>
        <v>737.52606296329941</v>
      </c>
      <c r="T141" s="59">
        <f t="shared" si="142"/>
        <v>270.54143254083715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127.45316060332942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127.45316060332942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441.13701840000022</v>
      </c>
      <c r="AK141" s="13">
        <f t="shared" si="143"/>
        <v>100.06845914615758</v>
      </c>
      <c r="AL141" s="20">
        <f t="shared" si="112"/>
        <v>942.59954005955797</v>
      </c>
      <c r="AM141" s="59">
        <f t="shared" si="113"/>
        <v>1228.7108008434948</v>
      </c>
      <c r="AN141" s="59">
        <f ca="1">AVERAGE(OFFSET($AM$3,0,0,'Données projet'!$E$10+1,1))-AVERAGE(OFFSET($H$3,0,0,'Données projet'!$E$10+1,1))</f>
        <v>691.79662395689525</v>
      </c>
      <c r="AO141" s="59">
        <f t="shared" si="144"/>
        <v>213.38682325741539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113.23977478264612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113.23977478264612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689</v>
      </c>
      <c r="BE141" s="13">
        <f>BD141*VLOOKUP('Données projet'!$B$11,Paramètres!$A$1:$I$89,3,0)*VLOOKUP('Données projet'!$B$11,Paramètres!$A$1:$I$89,5,0)</f>
        <v>412.02199999999999</v>
      </c>
      <c r="BF141" s="13">
        <f t="shared" si="145"/>
        <v>94.209724877926391</v>
      </c>
      <c r="BG141" s="20">
        <f t="shared" si="115"/>
        <v>881.686920829055</v>
      </c>
      <c r="BH141" s="59">
        <f t="shared" si="116"/>
        <v>1167.7981816129918</v>
      </c>
      <c r="BI141" s="59">
        <f ca="1">AVERAGE(OFFSET($BH$3,0,0,'Données projet'!$E$11+1,1))-AVERAGE(OFFSET($H$3,0,0,'Données projet'!$E$11+1,1))</f>
        <v>525.88595000893986</v>
      </c>
      <c r="BJ141" s="59">
        <f t="shared" si="146"/>
        <v>458.67158147469263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31.031738232415996</v>
      </c>
      <c r="BQ141" s="21">
        <f>EXP(-LN(2)/25)*BQ140+(1-EXP(-LN(2)/25))/(LN(2)/25)*Calculateur!BL141*Calculateur!BN141*VLOOKUP('Données projet'!$B$11,Paramètres!$A$1:$I$89,3,0)*0.475*44/12</f>
        <v>2.9478988962038213</v>
      </c>
      <c r="BR141" s="21">
        <f>EXP(-LN(2)/2)*BR140+(1-EXP(-LN(2)/2))/(LN(2)/2)*BL141*BO141*VLOOKUP('Données projet'!$B$11,Paramètres!$A$1:$I$89,3,0)*0.475*44/12</f>
        <v>2.9068326227255463E-18</v>
      </c>
      <c r="BS141" s="22">
        <f t="shared" si="117"/>
        <v>33.979637128619821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68.03034385016457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4.4080000000000004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16.16266666666667</v>
      </c>
      <c r="H142" s="66">
        <f t="shared" si="110"/>
        <v>192.01600000000005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10.163999999999998</v>
      </c>
      <c r="N142" s="13">
        <f>IF('Données projet'!$A$36&gt;35,N141+M142-V141,IF(A142&lt;'Données projet'!$A$36,$K$205^A142,IF(A142='Données projet'!$A$36,'Données projet'!$B$36,N141+M142-V141)))</f>
        <v>628.88599999999974</v>
      </c>
      <c r="O142" s="13">
        <f>N142*VLOOKUP('Données projet'!$B$9,Paramètres!$A$1:$I$89,3,0)*VLOOKUP('Données projet'!$B$9,Paramètres!$A$1:$I$89,5,0)</f>
        <v>569.01605279999967</v>
      </c>
      <c r="P142" s="13">
        <f t="shared" si="141"/>
        <v>125.30837254136628</v>
      </c>
      <c r="Q142" s="20">
        <f t="shared" si="108"/>
        <v>1209.2817074695456</v>
      </c>
      <c r="R142" s="59">
        <f t="shared" si="109"/>
        <v>1495.5182550660791</v>
      </c>
      <c r="S142" s="59">
        <f ca="1">AVERAGE(OFFSET($R$3,0,0,'Données projet'!$E$9+1,1))-AVERAGE(OFFSET($H$3,0,0,'Données projet'!$E$9+1,1))</f>
        <v>737.52606296329941</v>
      </c>
      <c r="T142" s="59">
        <f t="shared" si="142"/>
        <v>270.54143254083715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124.95388186265004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124.95388186265004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449.28366600000027</v>
      </c>
      <c r="AK142" s="13">
        <f t="shared" si="143"/>
        <v>101.69961138077295</v>
      </c>
      <c r="AL142" s="20">
        <f t="shared" si="112"/>
        <v>959.6292081048465</v>
      </c>
      <c r="AM142" s="59">
        <f t="shared" si="113"/>
        <v>1245.8657557013798</v>
      </c>
      <c r="AN142" s="59">
        <f ca="1">AVERAGE(OFFSET($AM$3,0,0,'Données projet'!$E$10+1,1))-AVERAGE(OFFSET($H$3,0,0,'Données projet'!$E$10+1,1))</f>
        <v>691.79662395689525</v>
      </c>
      <c r="AO142" s="59">
        <f t="shared" si="144"/>
        <v>213.38682325741539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111.019211868601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111.019211868601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689</v>
      </c>
      <c r="BE142" s="13">
        <f>BD142*VLOOKUP('Données projet'!$B$11,Paramètres!$A$1:$I$89,3,0)*VLOOKUP('Données projet'!$B$11,Paramètres!$A$1:$I$89,5,0)</f>
        <v>412.02199999999999</v>
      </c>
      <c r="BF142" s="13">
        <f t="shared" si="145"/>
        <v>94.209724877926391</v>
      </c>
      <c r="BG142" s="20">
        <f t="shared" si="115"/>
        <v>881.686920829055</v>
      </c>
      <c r="BH142" s="59">
        <f t="shared" si="116"/>
        <v>1167.9234684255885</v>
      </c>
      <c r="BI142" s="59">
        <f ca="1">AVERAGE(OFFSET($BH$3,0,0,'Données projet'!$E$11+1,1))-AVERAGE(OFFSET($H$3,0,0,'Données projet'!$E$11+1,1))</f>
        <v>525.88595000893986</v>
      </c>
      <c r="BJ142" s="59">
        <f t="shared" si="146"/>
        <v>458.67158147469263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30.423224773169707</v>
      </c>
      <c r="BQ142" s="21">
        <f>EXP(-LN(2)/25)*BQ141+(1-EXP(-LN(2)/25))/(LN(2)/25)*Calculateur!BL142*Calculateur!BN142*VLOOKUP('Données projet'!$B$11,Paramètres!$A$1:$I$89,3,0)*0.475*44/12</f>
        <v>2.8672884458638626</v>
      </c>
      <c r="BR142" s="21">
        <f>EXP(-LN(2)/2)*BR141+(1-EXP(-LN(2)/2))/(LN(2)/2)*BL142*BO142*VLOOKUP('Données projet'!$B$11,Paramètres!$A$1:$I$89,3,0)*0.475*44/12</f>
        <v>2.0554410593035109E-18</v>
      </c>
      <c r="BS142" s="22">
        <f t="shared" si="117"/>
        <v>33.290513219033571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68.064512980872749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4.4080000000000004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16.16266666666667</v>
      </c>
      <c r="H143" s="66">
        <f t="shared" si="110"/>
        <v>192.01600000000005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639.04999999999995</v>
      </c>
      <c r="L143" s="12">
        <f>VLOOKUP(A143,'Données projet'!$A$35:$I$55,9,0)</f>
        <v>10.163999999999998</v>
      </c>
      <c r="M143" s="12">
        <f t="array" ref="M143">INDEX(L:L,MIN(IF(ISNUMBER(L143:L339),ROW(L143:L339),"")))</f>
        <v>10.163999999999998</v>
      </c>
      <c r="N143" s="13">
        <f>IF('Données projet'!$A$36&gt;35,N142+M143-V142,IF(A143&lt;'Données projet'!$A$36,$K$205^A143,IF(A143='Données projet'!$A$36,'Données projet'!$B$36,N142+M143-V142)))</f>
        <v>639.04999999999973</v>
      </c>
      <c r="O143" s="13">
        <f>N143*VLOOKUP('Données projet'!$B$9,Paramètres!$A$1:$I$89,3,0)*VLOOKUP('Données projet'!$B$9,Paramètres!$A$1:$I$89,5,0)</f>
        <v>578.21243999999979</v>
      </c>
      <c r="P143" s="13">
        <f t="shared" si="141"/>
        <v>127.09618625829569</v>
      </c>
      <c r="Q143" s="20">
        <f t="shared" si="108"/>
        <v>1228.4125240665314</v>
      </c>
      <c r="R143" s="59">
        <f t="shared" si="109"/>
        <v>1514.7721850295623</v>
      </c>
      <c r="S143" s="59">
        <f ca="1">AVERAGE(OFFSET($R$3,0,0,'Données projet'!$E$9+1,1))-AVERAGE(OFFSET($H$3,0,0,'Données projet'!$E$9+1,1))</f>
        <v>737.52606296329941</v>
      </c>
      <c r="T143" s="59">
        <f t="shared" si="142"/>
        <v>270.54143254083715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67.930000000000007</v>
      </c>
      <c r="W143" s="16">
        <f>IF(ISNA(VLOOKUP(A143,'Données projet'!$A$35:$I$55,5,0)),0%,VLOOKUP(A143,'Données projet'!$A$35:$I$55,5,0)*VLOOKUP('Données projet'!$B$9,Paramètres!$A$1:$I$89,7,0))</f>
        <v>0.43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151.7202190292212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151.7202190292212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457.43031360000026</v>
      </c>
      <c r="AK143" s="13">
        <f t="shared" si="143"/>
        <v>103.32732429447849</v>
      </c>
      <c r="AL143" s="20">
        <f t="shared" si="112"/>
        <v>976.65288599955056</v>
      </c>
      <c r="AM143" s="59">
        <f t="shared" si="113"/>
        <v>1263.0125469625814</v>
      </c>
      <c r="AN143" s="59">
        <f ca="1">AVERAGE(OFFSET($AM$3,0,0,'Données projet'!$E$10+1,1))-AVERAGE(OFFSET($H$3,0,0,'Données projet'!$E$10+1,1))</f>
        <v>691.79662395689525</v>
      </c>
      <c r="AO143" s="59">
        <f t="shared" si="144"/>
        <v>213.38682325741539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108.84219283889067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108.84219283889067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689</v>
      </c>
      <c r="BE143" s="13">
        <f>BD143*VLOOKUP('Données projet'!$B$11,Paramètres!$A$1:$I$89,3,0)*VLOOKUP('Données projet'!$B$11,Paramètres!$A$1:$I$89,5,0)</f>
        <v>412.02199999999999</v>
      </c>
      <c r="BF143" s="13">
        <f t="shared" si="145"/>
        <v>94.209724877926391</v>
      </c>
      <c r="BG143" s="20">
        <f t="shared" si="115"/>
        <v>881.686920829055</v>
      </c>
      <c r="BH143" s="59">
        <f t="shared" si="116"/>
        <v>1168.0465817920858</v>
      </c>
      <c r="BI143" s="59">
        <f ca="1">AVERAGE(OFFSET($BH$3,0,0,'Données projet'!$E$11+1,1))-AVERAGE(OFFSET($H$3,0,0,'Données projet'!$E$11+1,1))</f>
        <v>525.88595000893986</v>
      </c>
      <c r="BJ143" s="59">
        <f t="shared" si="146"/>
        <v>458.67158147469263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29.826643891702673</v>
      </c>
      <c r="BQ143" s="21">
        <f>EXP(-LN(2)/25)*BQ142+(1-EXP(-LN(2)/25))/(LN(2)/25)*Calculateur!BL143*Calculateur!BN143*VLOOKUP('Données projet'!$B$11,Paramètres!$A$1:$I$89,3,0)*0.475*44/12</f>
        <v>2.7888822925275694</v>
      </c>
      <c r="BR143" s="21">
        <f>EXP(-LN(2)/2)*BR142+(1-EXP(-LN(2)/2))/(LN(2)/2)*BL143*BO143*VLOOKUP('Données projet'!$B$11,Paramètres!$A$1:$I$89,3,0)*0.475*44/12</f>
        <v>1.4534163113627732E-18</v>
      </c>
      <c r="BS143" s="22">
        <f t="shared" si="117"/>
        <v>32.615526184230241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68.098089353553874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4.4080000000000004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16.16266666666667</v>
      </c>
      <c r="H144" s="66">
        <f t="shared" si="110"/>
        <v>192.01600000000005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10.201000000000011</v>
      </c>
      <c r="N144" s="13">
        <f>IF('Données projet'!$A$36&gt;35,N143+M144-V143,IF(A144&lt;'Données projet'!$A$36,$K$205^A144,IF(A144='Données projet'!$A$36,'Données projet'!$B$36,N143+M144-V143)))</f>
        <v>581.32099999999969</v>
      </c>
      <c r="O144" s="13">
        <f>N144*VLOOKUP('Données projet'!$B$9,Paramètres!$A$1:$I$89,3,0)*VLOOKUP('Données projet'!$B$9,Paramètres!$A$1:$I$89,5,0)</f>
        <v>525.97924079999962</v>
      </c>
      <c r="P144" s="13">
        <f t="shared" si="141"/>
        <v>116.89607340782435</v>
      </c>
      <c r="Q144" s="20">
        <f t="shared" si="108"/>
        <v>1119.6745055786266</v>
      </c>
      <c r="R144" s="59">
        <f t="shared" si="109"/>
        <v>1406.1551441664865</v>
      </c>
      <c r="S144" s="59">
        <f ca="1">AVERAGE(OFFSET($R$3,0,0,'Données projet'!$E$9+1,1))-AVERAGE(OFFSET($H$3,0,0,'Données projet'!$E$9+1,1))</f>
        <v>737.52606296329941</v>
      </c>
      <c r="T144" s="59">
        <f t="shared" si="142"/>
        <v>270.54143254083715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148.7450780742542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148.7450780742542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465.57696120000031</v>
      </c>
      <c r="AK144" s="13">
        <f t="shared" si="143"/>
        <v>104.95166620646756</v>
      </c>
      <c r="AL144" s="20">
        <f t="shared" si="112"/>
        <v>993.67069273293157</v>
      </c>
      <c r="AM144" s="59">
        <f t="shared" si="113"/>
        <v>1280.1513313207915</v>
      </c>
      <c r="AN144" s="59">
        <f ca="1">AVERAGE(OFFSET($AM$3,0,0,'Données projet'!$E$10+1,1))-AVERAGE(OFFSET($H$3,0,0,'Données projet'!$E$10+1,1))</f>
        <v>691.79662395689525</v>
      </c>
      <c r="AO144" s="59">
        <f t="shared" si="144"/>
        <v>213.38682325741539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106.70786382450247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106.70786382450247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689</v>
      </c>
      <c r="BE144" s="13">
        <f>BD144*VLOOKUP('Données projet'!$B$11,Paramètres!$A$1:$I$89,3,0)*VLOOKUP('Données projet'!$B$11,Paramètres!$A$1:$I$89,5,0)</f>
        <v>412.02199999999999</v>
      </c>
      <c r="BF144" s="13">
        <f t="shared" si="145"/>
        <v>94.209724877926391</v>
      </c>
      <c r="BG144" s="20">
        <f t="shared" si="115"/>
        <v>881.686920829055</v>
      </c>
      <c r="BH144" s="59">
        <f t="shared" si="116"/>
        <v>1168.1675594169149</v>
      </c>
      <c r="BI144" s="59">
        <f ca="1">AVERAGE(OFFSET($BH$3,0,0,'Données projet'!$E$11+1,1))-AVERAGE(OFFSET($H$3,0,0,'Données projet'!$E$11+1,1))</f>
        <v>525.88595000893986</v>
      </c>
      <c r="BJ144" s="59">
        <f t="shared" si="146"/>
        <v>458.67158147469263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29.241761597442803</v>
      </c>
      <c r="BQ144" s="21">
        <f>EXP(-LN(2)/25)*BQ143+(1-EXP(-LN(2)/25))/(LN(2)/25)*Calculateur!BL144*Calculateur!BN144*VLOOKUP('Données projet'!$B$11,Paramètres!$A$1:$I$89,3,0)*0.475*44/12</f>
        <v>2.7126201595774573</v>
      </c>
      <c r="BR144" s="21">
        <f>EXP(-LN(2)/2)*BR143+(1-EXP(-LN(2)/2))/(LN(2)/2)*BL144*BO144*VLOOKUP('Données projet'!$B$11,Paramètres!$A$1:$I$89,3,0)*0.475*44/12</f>
        <v>1.0277205296517555E-18</v>
      </c>
      <c r="BS144" s="22">
        <f t="shared" si="117"/>
        <v>31.954381757020261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68.131083251234514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4.4080000000000004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16.16266666666667</v>
      </c>
      <c r="H145" s="66">
        <f t="shared" si="110"/>
        <v>192.01600000000005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10.201000000000011</v>
      </c>
      <c r="N145" s="13">
        <f>IF('Données projet'!$A$36&gt;35,N144+M145-V144,IF(A145&lt;'Données projet'!$A$36,$K$205^A145,IF(A145='Données projet'!$A$36,'Données projet'!$B$36,N144+M145-V144)))</f>
        <v>591.52199999999971</v>
      </c>
      <c r="O145" s="13">
        <f>N145*VLOOKUP('Données projet'!$B$9,Paramètres!$A$1:$I$89,3,0)*VLOOKUP('Données projet'!$B$9,Paramètres!$A$1:$I$89,5,0)</f>
        <v>535.2091055999997</v>
      </c>
      <c r="P145" s="13">
        <f t="shared" si="141"/>
        <v>118.70675243343008</v>
      </c>
      <c r="Q145" s="20">
        <f t="shared" si="108"/>
        <v>1138.9034527415567</v>
      </c>
      <c r="R145" s="59">
        <f t="shared" si="109"/>
        <v>1425.5029702629204</v>
      </c>
      <c r="S145" s="59">
        <f ca="1">AVERAGE(OFFSET($R$3,0,0,'Données projet'!$E$9+1,1))-AVERAGE(OFFSET($H$3,0,0,'Données projet'!$E$9+1,1))</f>
        <v>737.52606296329941</v>
      </c>
      <c r="T145" s="59">
        <f t="shared" si="142"/>
        <v>270.54143254083715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145.8282778187573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145.8282778187573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473.72360880000031</v>
      </c>
      <c r="AK145" s="13">
        <f t="shared" si="143"/>
        <v>106.57270290807962</v>
      </c>
      <c r="AL145" s="20">
        <f t="shared" si="112"/>
        <v>1010.6827428915725</v>
      </c>
      <c r="AM145" s="59">
        <f t="shared" si="113"/>
        <v>1297.282260412936</v>
      </c>
      <c r="AN145" s="59">
        <f ca="1">AVERAGE(OFFSET($AM$3,0,0,'Données projet'!$E$10+1,1))-AVERAGE(OFFSET($H$3,0,0,'Données projet'!$E$10+1,1))</f>
        <v>691.79662395689525</v>
      </c>
      <c r="AO145" s="59">
        <f t="shared" si="144"/>
        <v>213.38682325741539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104.61538770027425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104.61538770027425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689</v>
      </c>
      <c r="BE145" s="13">
        <f>BD145*VLOOKUP('Données projet'!$B$11,Paramètres!$A$1:$I$89,3,0)*VLOOKUP('Données projet'!$B$11,Paramètres!$A$1:$I$89,5,0)</f>
        <v>412.02199999999999</v>
      </c>
      <c r="BF145" s="13">
        <f t="shared" si="145"/>
        <v>94.209724877926391</v>
      </c>
      <c r="BG145" s="20">
        <f t="shared" si="115"/>
        <v>881.686920829055</v>
      </c>
      <c r="BH145" s="59">
        <f t="shared" si="116"/>
        <v>1168.2864383504186</v>
      </c>
      <c r="BI145" s="59">
        <f ca="1">AVERAGE(OFFSET($BH$3,0,0,'Données projet'!$E$11+1,1))-AVERAGE(OFFSET($H$3,0,0,'Données projet'!$E$11+1,1))</f>
        <v>525.88595000893986</v>
      </c>
      <c r="BJ145" s="59">
        <f t="shared" si="146"/>
        <v>458.67158147469263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28.668348488230393</v>
      </c>
      <c r="BQ145" s="21">
        <f>EXP(-LN(2)/25)*BQ144+(1-EXP(-LN(2)/25))/(LN(2)/25)*Calculateur!BL145*Calculateur!BN145*VLOOKUP('Données projet'!$B$11,Paramètres!$A$1:$I$89,3,0)*0.475*44/12</f>
        <v>2.6384434186633174</v>
      </c>
      <c r="BR145" s="21">
        <f>EXP(-LN(2)/2)*BR144+(1-EXP(-LN(2)/2))/(LN(2)/2)*BL145*BO145*VLOOKUP('Données projet'!$B$11,Paramètres!$A$1:$I$89,3,0)*0.475*44/12</f>
        <v>7.2670815568138658E-19</v>
      </c>
      <c r="BS145" s="22">
        <f t="shared" si="117"/>
        <v>31.306791906893711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68.163504778553701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4.4080000000000004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16.16266666666667</v>
      </c>
      <c r="H146" s="66">
        <f t="shared" si="110"/>
        <v>192.01600000000005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10.201000000000011</v>
      </c>
      <c r="N146" s="13">
        <f>IF('Données projet'!$A$36&gt;35,N145+M146-V145,IF(A146&lt;'Données projet'!$A$36,$K$205^A146,IF(A146='Données projet'!$A$36,'Données projet'!$B$36,N145+M146-V145)))</f>
        <v>601.72299999999973</v>
      </c>
      <c r="O146" s="13">
        <f>N146*VLOOKUP('Données projet'!$B$9,Paramètres!$A$1:$I$89,3,0)*VLOOKUP('Données projet'!$B$9,Paramètres!$A$1:$I$89,5,0)</f>
        <v>544.43897039999968</v>
      </c>
      <c r="P146" s="13">
        <f t="shared" si="141"/>
        <v>120.51380023339244</v>
      </c>
      <c r="Q146" s="20">
        <f t="shared" si="108"/>
        <v>1158.1260755198246</v>
      </c>
      <c r="R146" s="59">
        <f t="shared" si="109"/>
        <v>1444.8424096909689</v>
      </c>
      <c r="S146" s="59">
        <f ca="1">AVERAGE(OFFSET($R$3,0,0,'Données projet'!$E$9+1,1))-AVERAGE(OFFSET($H$3,0,0,'Données projet'!$E$9+1,1))</f>
        <v>737.52606296329941</v>
      </c>
      <c r="T146" s="59">
        <f t="shared" si="142"/>
        <v>270.54143254083715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142.9686742371982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142.9686742371982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481.87025640000036</v>
      </c>
      <c r="AK146" s="13">
        <f t="shared" si="143"/>
        <v>108.1904977981653</v>
      </c>
      <c r="AL146" s="20">
        <f t="shared" si="112"/>
        <v>1027.6891468951385</v>
      </c>
      <c r="AM146" s="59">
        <f t="shared" si="113"/>
        <v>1314.4054810662828</v>
      </c>
      <c r="AN146" s="59">
        <f ca="1">AVERAGE(OFFSET($AM$3,0,0,'Données projet'!$E$10+1,1))-AVERAGE(OFFSET($H$3,0,0,'Données projet'!$E$10+1,1))</f>
        <v>691.79662395689525</v>
      </c>
      <c r="AO146" s="59">
        <f t="shared" si="144"/>
        <v>213.38682325741539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102.56394375655775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102.56394375655775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689</v>
      </c>
      <c r="BE146" s="13">
        <f>BD146*VLOOKUP('Données projet'!$B$11,Paramètres!$A$1:$I$89,3,0)*VLOOKUP('Données projet'!$B$11,Paramètres!$A$1:$I$89,5,0)</f>
        <v>412.02199999999999</v>
      </c>
      <c r="BF146" s="13">
        <f t="shared" si="145"/>
        <v>94.209724877926391</v>
      </c>
      <c r="BG146" s="20">
        <f t="shared" si="115"/>
        <v>881.686920829055</v>
      </c>
      <c r="BH146" s="59">
        <f t="shared" si="116"/>
        <v>1168.4032550001994</v>
      </c>
      <c r="BI146" s="59">
        <f ca="1">AVERAGE(OFFSET($BH$3,0,0,'Données projet'!$E$11+1,1))-AVERAGE(OFFSET($H$3,0,0,'Données projet'!$E$11+1,1))</f>
        <v>525.88595000893986</v>
      </c>
      <c r="BJ146" s="59">
        <f t="shared" si="146"/>
        <v>458.67158147469263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28.106179660342178</v>
      </c>
      <c r="BQ146" s="21">
        <f>EXP(-LN(2)/25)*BQ145+(1-EXP(-LN(2)/25))/(LN(2)/25)*Calculateur!BL146*Calculateur!BN146*VLOOKUP('Données projet'!$B$11,Paramètres!$A$1:$I$89,3,0)*0.475*44/12</f>
        <v>2.5662950446302597</v>
      </c>
      <c r="BR146" s="21">
        <f>EXP(-LN(2)/2)*BR145+(1-EXP(-LN(2)/2))/(LN(2)/2)*BL146*BO146*VLOOKUP('Données projet'!$B$11,Paramètres!$A$1:$I$89,3,0)*0.475*44/12</f>
        <v>5.1386026482587773E-19</v>
      </c>
      <c r="BS146" s="22">
        <f t="shared" si="117"/>
        <v>30.672474704972437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68.195363864857569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4.4080000000000004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16.16266666666667</v>
      </c>
      <c r="H147" s="66">
        <f t="shared" si="110"/>
        <v>192.01600000000005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10.201000000000011</v>
      </c>
      <c r="N147" s="13">
        <f>IF('Données projet'!$A$36&gt;35,N146+M147-V146,IF(A147&lt;'Données projet'!$A$36,$K$205^A147,IF(A147='Données projet'!$A$36,'Données projet'!$B$36,N146+M147-V146)))</f>
        <v>611.92399999999975</v>
      </c>
      <c r="O147" s="13">
        <f>N147*VLOOKUP('Données projet'!$B$9,Paramètres!$A$1:$I$89,3,0)*VLOOKUP('Données projet'!$B$9,Paramètres!$A$1:$I$89,5,0)</f>
        <v>553.66883519999976</v>
      </c>
      <c r="P147" s="13">
        <f t="shared" si="141"/>
        <v>122.31728547227995</v>
      </c>
      <c r="Q147" s="20">
        <f t="shared" si="108"/>
        <v>1177.3424935042206</v>
      </c>
      <c r="R147" s="59">
        <f t="shared" si="109"/>
        <v>1464.1736178174351</v>
      </c>
      <c r="S147" s="59">
        <f ca="1">AVERAGE(OFFSET($R$3,0,0,'Données projet'!$E$9+1,1))-AVERAGE(OFFSET($H$3,0,0,'Données projet'!$E$9+1,1))</f>
        <v>737.52606296329941</v>
      </c>
      <c r="T147" s="59">
        <f t="shared" si="142"/>
        <v>270.54143254083715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140.16514573768751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140.16514573768751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490.01690400000041</v>
      </c>
      <c r="AK147" s="13">
        <f t="shared" si="143"/>
        <v>109.80511200903999</v>
      </c>
      <c r="AL147" s="20">
        <f t="shared" si="112"/>
        <v>1044.6900112157455</v>
      </c>
      <c r="AM147" s="59">
        <f t="shared" si="113"/>
        <v>1331.52113552896</v>
      </c>
      <c r="AN147" s="59">
        <f ca="1">AVERAGE(OFFSET($AM$3,0,0,'Données projet'!$E$10+1,1))-AVERAGE(OFFSET($H$3,0,0,'Données projet'!$E$10+1,1))</f>
        <v>691.79662395689525</v>
      </c>
      <c r="AO147" s="59">
        <f t="shared" si="144"/>
        <v>213.38682325741539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125.88858279443528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125.88858279443528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689</v>
      </c>
      <c r="BE147" s="13">
        <f>BD147*VLOOKUP('Données projet'!$B$11,Paramètres!$A$1:$I$89,3,0)*VLOOKUP('Données projet'!$B$11,Paramètres!$A$1:$I$89,5,0)</f>
        <v>412.02199999999999</v>
      </c>
      <c r="BF147" s="13">
        <f t="shared" si="145"/>
        <v>94.209724877926391</v>
      </c>
      <c r="BG147" s="20">
        <f t="shared" si="115"/>
        <v>881.686920829055</v>
      </c>
      <c r="BH147" s="59">
        <f t="shared" si="116"/>
        <v>1168.5180451422696</v>
      </c>
      <c r="BI147" s="59">
        <f ca="1">AVERAGE(OFFSET($BH$3,0,0,'Données projet'!$E$11+1,1))-AVERAGE(OFFSET($H$3,0,0,'Données projet'!$E$11+1,1))</f>
        <v>525.88595000893986</v>
      </c>
      <c r="BJ147" s="59">
        <f t="shared" si="146"/>
        <v>458.67158147469263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27.555034620279724</v>
      </c>
      <c r="BQ147" s="21">
        <f>EXP(-LN(2)/25)*BQ146+(1-EXP(-LN(2)/25))/(LN(2)/25)*Calculateur!BL147*Calculateur!BN147*VLOOKUP('Données projet'!$B$11,Paramètres!$A$1:$I$89,3,0)*0.475*44/12</f>
        <v>2.4961195716792544</v>
      </c>
      <c r="BR147" s="21">
        <f>EXP(-LN(2)/2)*BR146+(1-EXP(-LN(2)/2))/(LN(2)/2)*BL147*BO147*VLOOKUP('Données projet'!$B$11,Paramètres!$A$1:$I$89,3,0)*0.475*44/12</f>
        <v>3.6335407784069329E-19</v>
      </c>
      <c r="BS147" s="22">
        <f t="shared" si="117"/>
        <v>30.051154191958979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68.226670267240308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4.4080000000000004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16.16266666666667</v>
      </c>
      <c r="H148" s="66">
        <f t="shared" si="110"/>
        <v>192.01600000000005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10.201000000000011</v>
      </c>
      <c r="N148" s="13">
        <f>IF('Données projet'!$A$36&gt;35,N147+M148-V147,IF(A148&lt;'Données projet'!$A$36,$K$205^A148,IF(A148='Données projet'!$A$36,'Données projet'!$B$36,N147+M148-V147)))</f>
        <v>622.12499999999977</v>
      </c>
      <c r="O148" s="13">
        <f>N148*VLOOKUP('Données projet'!$B$9,Paramètres!$A$1:$I$89,3,0)*VLOOKUP('Données projet'!$B$9,Paramètres!$A$1:$I$89,5,0)</f>
        <v>562.89869999999985</v>
      </c>
      <c r="P148" s="13">
        <f t="shared" si="141"/>
        <v>124.11727439410858</v>
      </c>
      <c r="Q148" s="20">
        <f t="shared" si="108"/>
        <v>1196.5528220697386</v>
      </c>
      <c r="R148" s="59">
        <f t="shared" si="109"/>
        <v>1483.4967451726905</v>
      </c>
      <c r="S148" s="59">
        <f ca="1">AVERAGE(OFFSET($R$3,0,0,'Données projet'!$E$9+1,1))-AVERAGE(OFFSET($H$3,0,0,'Données projet'!$E$9+1,1))</f>
        <v>737.52606296329941</v>
      </c>
      <c r="T148" s="59">
        <f t="shared" si="142"/>
        <v>270.54143254083715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137.41659272206869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137.41659272206869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445.04999760000032</v>
      </c>
      <c r="AK148" s="13">
        <f t="shared" si="143"/>
        <v>100.85236414117045</v>
      </c>
      <c r="AL148" s="20">
        <f t="shared" si="112"/>
        <v>950.77994669920588</v>
      </c>
      <c r="AM148" s="59">
        <f t="shared" si="113"/>
        <v>1237.7238698021579</v>
      </c>
      <c r="AN148" s="59">
        <f ca="1">AVERAGE(OFFSET($AM$3,0,0,'Données projet'!$E$10+1,1))-AVERAGE(OFFSET($H$3,0,0,'Données projet'!$E$10+1,1))</f>
        <v>691.79662395689525</v>
      </c>
      <c r="AO148" s="59">
        <f t="shared" si="144"/>
        <v>213.38682325741539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123.41998447029007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123.41998447029007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689</v>
      </c>
      <c r="BE148" s="13">
        <f>BD148*VLOOKUP('Données projet'!$B$11,Paramètres!$A$1:$I$89,3,0)*VLOOKUP('Données projet'!$B$11,Paramètres!$A$1:$I$89,5,0)</f>
        <v>412.02199999999999</v>
      </c>
      <c r="BF148" s="13">
        <f t="shared" si="145"/>
        <v>94.209724877926391</v>
      </c>
      <c r="BG148" s="20">
        <f t="shared" si="115"/>
        <v>881.686920829055</v>
      </c>
      <c r="BH148" s="59">
        <f t="shared" si="116"/>
        <v>1168.6308439320069</v>
      </c>
      <c r="BI148" s="59">
        <f ca="1">AVERAGE(OFFSET($BH$3,0,0,'Données projet'!$E$11+1,1))-AVERAGE(OFFSET($H$3,0,0,'Données projet'!$E$11+1,1))</f>
        <v>525.88595000893986</v>
      </c>
      <c r="BJ148" s="59">
        <f t="shared" si="146"/>
        <v>458.67158147469263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27.01469719828761</v>
      </c>
      <c r="BQ148" s="21">
        <f>EXP(-LN(2)/25)*BQ147+(1-EXP(-LN(2)/25))/(LN(2)/25)*Calculateur!BL148*Calculateur!BN148*VLOOKUP('Données projet'!$B$11,Paramètres!$A$1:$I$89,3,0)*0.475*44/12</f>
        <v>2.427863050726462</v>
      </c>
      <c r="BR148" s="21">
        <f>EXP(-LN(2)/2)*BR147+(1-EXP(-LN(2)/2))/(LN(2)/2)*BL148*BO148*VLOOKUP('Données projet'!$B$11,Paramètres!$A$1:$I$89,3,0)*0.475*44/12</f>
        <v>2.5693013241293886E-19</v>
      </c>
      <c r="BS148" s="22">
        <f t="shared" si="117"/>
        <v>29.442560249014072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68.257433573532339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4.4080000000000004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16.16266666666667</v>
      </c>
      <c r="H149" s="66">
        <f t="shared" si="110"/>
        <v>192.01600000000005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10.201000000000011</v>
      </c>
      <c r="N149" s="13">
        <f>IF('Données projet'!$A$36&gt;35,N148+M149-V148,IF(A149&lt;'Données projet'!$A$36,$K$205^A149,IF(A149='Données projet'!$A$36,'Données projet'!$B$36,N148+M149-V148)))</f>
        <v>632.32599999999979</v>
      </c>
      <c r="O149" s="13">
        <f>N149*VLOOKUP('Données projet'!$B$9,Paramètres!$A$1:$I$89,3,0)*VLOOKUP('Données projet'!$B$9,Paramètres!$A$1:$I$89,5,0)</f>
        <v>572.12856479999982</v>
      </c>
      <c r="P149" s="13">
        <f t="shared" si="141"/>
        <v>125.91383094593489</v>
      </c>
      <c r="Q149" s="20">
        <f t="shared" si="108"/>
        <v>1215.7571725908363</v>
      </c>
      <c r="R149" s="59">
        <f t="shared" si="109"/>
        <v>1502.811937676704</v>
      </c>
      <c r="S149" s="59">
        <f ca="1">AVERAGE(OFFSET($R$3,0,0,'Données projet'!$E$9+1,1))-AVERAGE(OFFSET($H$3,0,0,'Données projet'!$E$9+1,1))</f>
        <v>737.52606296329941</v>
      </c>
      <c r="T149" s="59">
        <f t="shared" si="142"/>
        <v>270.54143254083715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134.72193715463436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134.72193715463436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453.38220720000038</v>
      </c>
      <c r="AK149" s="13">
        <f t="shared" si="143"/>
        <v>102.51893187267257</v>
      </c>
      <c r="AL149" s="20">
        <f t="shared" si="112"/>
        <v>968.19448388490548</v>
      </c>
      <c r="AM149" s="59">
        <f t="shared" si="113"/>
        <v>1255.2492489707734</v>
      </c>
      <c r="AN149" s="59">
        <f ca="1">AVERAGE(OFFSET($AM$3,0,0,'Données projet'!$E$10+1,1))-AVERAGE(OFFSET($H$3,0,0,'Données projet'!$E$10+1,1))</f>
        <v>691.79662395689525</v>
      </c>
      <c r="AO149" s="59">
        <f t="shared" si="144"/>
        <v>213.38682325741539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120.99979385358505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120.99979385358505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689</v>
      </c>
      <c r="BE149" s="13">
        <f>BD149*VLOOKUP('Données projet'!$B$11,Paramètres!$A$1:$I$89,3,0)*VLOOKUP('Données projet'!$B$11,Paramètres!$A$1:$I$89,5,0)</f>
        <v>412.02199999999999</v>
      </c>
      <c r="BF149" s="13">
        <f t="shared" si="145"/>
        <v>94.209724877926391</v>
      </c>
      <c r="BG149" s="20">
        <f t="shared" si="115"/>
        <v>881.686920829055</v>
      </c>
      <c r="BH149" s="59">
        <f t="shared" si="116"/>
        <v>1168.7416859149228</v>
      </c>
      <c r="BI149" s="59">
        <f ca="1">AVERAGE(OFFSET($BH$3,0,0,'Données projet'!$E$11+1,1))-AVERAGE(OFFSET($H$3,0,0,'Données projet'!$E$11+1,1))</f>
        <v>525.88595000893986</v>
      </c>
      <c r="BJ149" s="59">
        <f t="shared" si="146"/>
        <v>458.67158147469263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26.484955463567481</v>
      </c>
      <c r="BQ149" s="21">
        <f>EXP(-LN(2)/25)*BQ148+(1-EXP(-LN(2)/25))/(LN(2)/25)*Calculateur!BL149*Calculateur!BN149*VLOOKUP('Données projet'!$B$11,Paramètres!$A$1:$I$89,3,0)*0.475*44/12</f>
        <v>2.3614730079285779</v>
      </c>
      <c r="BR149" s="21">
        <f>EXP(-LN(2)/2)*BR148+(1-EXP(-LN(2)/2))/(LN(2)/2)*BL149*BO149*VLOOKUP('Données projet'!$B$11,Paramètres!$A$1:$I$89,3,0)*0.475*44/12</f>
        <v>1.8167703892034665E-19</v>
      </c>
      <c r="BS149" s="22">
        <f t="shared" si="117"/>
        <v>28.846428471496058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68.287663205236669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4.4080000000000004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16.16266666666667</v>
      </c>
      <c r="H150" s="66">
        <f t="shared" si="110"/>
        <v>192.01600000000005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10.201000000000011</v>
      </c>
      <c r="N150" s="13">
        <f>IF('Données projet'!$A$36&gt;35,N149+M150-V149,IF(A150&lt;'Données projet'!$A$36,$K$205^A150,IF(A150='Données projet'!$A$36,'Données projet'!$B$36,N149+M150-V149)))</f>
        <v>642.52699999999982</v>
      </c>
      <c r="O150" s="13">
        <f>N150*VLOOKUP('Données projet'!$B$9,Paramètres!$A$1:$I$89,3,0)*VLOOKUP('Données projet'!$B$9,Paramètres!$A$1:$I$89,5,0)</f>
        <v>581.35842959999979</v>
      </c>
      <c r="P150" s="13">
        <f t="shared" si="141"/>
        <v>127.70701689324794</v>
      </c>
      <c r="Q150" s="20">
        <f t="shared" si="108"/>
        <v>1234.9556526424064</v>
      </c>
      <c r="R150" s="59">
        <f t="shared" si="109"/>
        <v>1522.1193368505919</v>
      </c>
      <c r="S150" s="59">
        <f ca="1">AVERAGE(OFFSET($R$3,0,0,'Données projet'!$E$9+1,1))-AVERAGE(OFFSET($H$3,0,0,'Données projet'!$E$9+1,1))</f>
        <v>737.52606296329941</v>
      </c>
      <c r="T150" s="59">
        <f t="shared" si="142"/>
        <v>270.54143254083715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132.08012213929982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132.08012213929982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461.71441680000027</v>
      </c>
      <c r="AK150" s="13">
        <f t="shared" si="143"/>
        <v>104.18193810316261</v>
      </c>
      <c r="AL150" s="20">
        <f t="shared" si="112"/>
        <v>985.60281812300855</v>
      </c>
      <c r="AM150" s="59">
        <f t="shared" si="113"/>
        <v>1272.766502331194</v>
      </c>
      <c r="AN150" s="59">
        <f ca="1">AVERAGE(OFFSET($AM$3,0,0,'Données projet'!$E$10+1,1))-AVERAGE(OFFSET($H$3,0,0,'Données projet'!$E$10+1,1))</f>
        <v>691.79662395689525</v>
      </c>
      <c r="AO150" s="59">
        <f t="shared" si="144"/>
        <v>213.38682325741539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118.62706169870309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118.62706169870309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689</v>
      </c>
      <c r="BE150" s="13">
        <f>BD150*VLOOKUP('Données projet'!$B$11,Paramètres!$A$1:$I$89,3,0)*VLOOKUP('Données projet'!$B$11,Paramètres!$A$1:$I$89,5,0)</f>
        <v>412.02199999999999</v>
      </c>
      <c r="BF150" s="13">
        <f t="shared" si="145"/>
        <v>94.209724877926391</v>
      </c>
      <c r="BG150" s="20">
        <f t="shared" si="115"/>
        <v>881.686920829055</v>
      </c>
      <c r="BH150" s="59">
        <f t="shared" si="116"/>
        <v>1168.8506050372405</v>
      </c>
      <c r="BI150" s="59">
        <f ca="1">AVERAGE(OFFSET($BH$3,0,0,'Données projet'!$E$11+1,1))-AVERAGE(OFFSET($H$3,0,0,'Données projet'!$E$11+1,1))</f>
        <v>525.88595000893986</v>
      </c>
      <c r="BJ150" s="59">
        <f t="shared" si="146"/>
        <v>458.67158147469263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25.965601641154656</v>
      </c>
      <c r="BQ150" s="21">
        <f>EXP(-LN(2)/25)*BQ149+(1-EXP(-LN(2)/25))/(LN(2)/25)*Calculateur!BL150*Calculateur!BN150*VLOOKUP('Données projet'!$B$11,Paramètres!$A$1:$I$89,3,0)*0.475*44/12</f>
        <v>2.2968984043423029</v>
      </c>
      <c r="BR150" s="21">
        <f>EXP(-LN(2)/2)*BR149+(1-EXP(-LN(2)/2))/(LN(2)/2)*BL150*BO150*VLOOKUP('Données projet'!$B$11,Paramètres!$A$1:$I$89,3,0)*0.475*44/12</f>
        <v>1.2846506620646943E-19</v>
      </c>
      <c r="BS150" s="22">
        <f t="shared" si="117"/>
        <v>28.26250004549696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68.31736842041424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4.4080000000000004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16.16266666666667</v>
      </c>
      <c r="H151" s="66">
        <f t="shared" si="110"/>
        <v>192.01600000000005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10.201000000000011</v>
      </c>
      <c r="N151" s="13">
        <f>IF('Données projet'!$A$36&gt;35,N150+M151-V150,IF(A151&lt;'Données projet'!$A$36,$K$205^A151,IF(A151='Données projet'!$A$36,'Données projet'!$B$36,N150+M151-V150)))</f>
        <v>652.72799999999984</v>
      </c>
      <c r="O151" s="13">
        <f>N151*VLOOKUP('Données projet'!$B$9,Paramètres!$A$1:$I$89,3,0)*VLOOKUP('Données projet'!$B$9,Paramètres!$A$1:$I$89,5,0)</f>
        <v>590.58829439999988</v>
      </c>
      <c r="P151" s="13">
        <f t="shared" si="141"/>
        <v>129.49689192782623</v>
      </c>
      <c r="Q151" s="20">
        <f t="shared" si="108"/>
        <v>1254.1483661876305</v>
      </c>
      <c r="R151" s="59">
        <f t="shared" si="109"/>
        <v>1541.4190800148683</v>
      </c>
      <c r="S151" s="59">
        <f ca="1">AVERAGE(OFFSET($R$3,0,0,'Données projet'!$E$9+1,1))-AVERAGE(OFFSET($H$3,0,0,'Données projet'!$E$9+1,1))</f>
        <v>737.52606296329941</v>
      </c>
      <c r="T151" s="59">
        <f t="shared" si="142"/>
        <v>270.54143254083715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129.49011150506792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129.49011150506792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470.04662640000026</v>
      </c>
      <c r="AK151" s="13">
        <f t="shared" si="143"/>
        <v>105.84145451810926</v>
      </c>
      <c r="AL151" s="20">
        <f t="shared" si="112"/>
        <v>1003.0050742657073</v>
      </c>
      <c r="AM151" s="59">
        <f t="shared" si="113"/>
        <v>1290.275788092945</v>
      </c>
      <c r="AN151" s="59">
        <f ca="1">AVERAGE(OFFSET($AM$3,0,0,'Données projet'!$E$10+1,1))-AVERAGE(OFFSET($H$3,0,0,'Données projet'!$E$10+1,1))</f>
        <v>691.79662395689525</v>
      </c>
      <c r="AO151" s="59">
        <f t="shared" si="144"/>
        <v>213.38682325741539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116.30085737415466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116.30085737415466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689</v>
      </c>
      <c r="BE151" s="13">
        <f>BD151*VLOOKUP('Données projet'!$B$11,Paramètres!$A$1:$I$89,3,0)*VLOOKUP('Données projet'!$B$11,Paramètres!$A$1:$I$89,5,0)</f>
        <v>412.02199999999999</v>
      </c>
      <c r="BF151" s="13">
        <f t="shared" si="145"/>
        <v>94.209724877926391</v>
      </c>
      <c r="BG151" s="20">
        <f t="shared" si="115"/>
        <v>881.686920829055</v>
      </c>
      <c r="BH151" s="59">
        <f t="shared" si="116"/>
        <v>1168.9576346562928</v>
      </c>
      <c r="BI151" s="59">
        <f ca="1">AVERAGE(OFFSET($BH$3,0,0,'Données projet'!$E$11+1,1))-AVERAGE(OFFSET($H$3,0,0,'Données projet'!$E$11+1,1))</f>
        <v>525.88595000893986</v>
      </c>
      <c r="BJ151" s="59">
        <f t="shared" si="146"/>
        <v>458.67158147469263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25.456432030424796</v>
      </c>
      <c r="BQ151" s="21">
        <f>EXP(-LN(2)/25)*BQ150+(1-EXP(-LN(2)/25))/(LN(2)/25)*Calculateur!BL151*Calculateur!BN151*VLOOKUP('Données projet'!$B$11,Paramètres!$A$1:$I$89,3,0)*0.475*44/12</f>
        <v>2.2340895966869252</v>
      </c>
      <c r="BR151" s="21">
        <f>EXP(-LN(2)/2)*BR150+(1-EXP(-LN(2)/2))/(LN(2)/2)*BL151*BO151*VLOOKUP('Données projet'!$B$11,Paramètres!$A$1:$I$89,3,0)*0.475*44/12</f>
        <v>9.0838519460173323E-20</v>
      </c>
      <c r="BS151" s="22">
        <f t="shared" si="117"/>
        <v>27.690521627111721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68.346558316519392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4.4080000000000004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16.16266666666667</v>
      </c>
      <c r="H152" s="66">
        <f t="shared" si="110"/>
        <v>192.01600000000005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10.201000000000011</v>
      </c>
      <c r="N152" s="13">
        <f>IF('Données projet'!$A$36&gt;35,N151+M152-V151,IF(A152&lt;'Données projet'!$A$36,$K$205^A152,IF(A152='Données projet'!$A$36,'Données projet'!$B$36,N151+M152-V151)))</f>
        <v>662.92899999999986</v>
      </c>
      <c r="O152" s="13">
        <f>N152*VLOOKUP('Données projet'!$B$9,Paramètres!$A$1:$I$89,3,0)*VLOOKUP('Données projet'!$B$9,Paramètres!$A$1:$I$89,5,0)</f>
        <v>599.81815919999985</v>
      </c>
      <c r="P152" s="13">
        <f t="shared" si="141"/>
        <v>131.28351376865865</v>
      </c>
      <c r="Q152" s="20">
        <f t="shared" si="108"/>
        <v>1273.3354137537467</v>
      </c>
      <c r="R152" s="59">
        <f t="shared" si="109"/>
        <v>1560.7113004754285</v>
      </c>
      <c r="S152" s="59">
        <f ca="1">AVERAGE(OFFSET($R$3,0,0,'Données projet'!$E$9+1,1))-AVERAGE(OFFSET($H$3,0,0,'Données projet'!$E$9+1,1))</f>
        <v>737.52606296329941</v>
      </c>
      <c r="T152" s="59">
        <f t="shared" si="142"/>
        <v>270.54143254083715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126.95088939962281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126.95088939962281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478.37883600000026</v>
      </c>
      <c r="AK152" s="13">
        <f t="shared" si="143"/>
        <v>107.49755011597769</v>
      </c>
      <c r="AL152" s="20">
        <f t="shared" si="112"/>
        <v>1020.4013724853284</v>
      </c>
      <c r="AM152" s="59">
        <f t="shared" si="113"/>
        <v>1307.77725920701</v>
      </c>
      <c r="AN152" s="59">
        <f ca="1">AVERAGE(OFFSET($AM$3,0,0,'Données projet'!$E$10+1,1))-AVERAGE(OFFSET($H$3,0,0,'Données projet'!$E$10+1,1))</f>
        <v>691.79662395689525</v>
      </c>
      <c r="AO152" s="59">
        <f t="shared" si="144"/>
        <v>213.38682325741539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114.02026849756608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114.02026849756608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689</v>
      </c>
      <c r="BE152" s="13">
        <f>BD152*VLOOKUP('Données projet'!$B$11,Paramètres!$A$1:$I$89,3,0)*VLOOKUP('Données projet'!$B$11,Paramètres!$A$1:$I$89,5,0)</f>
        <v>412.02199999999999</v>
      </c>
      <c r="BF152" s="13">
        <f t="shared" si="145"/>
        <v>94.209724877926391</v>
      </c>
      <c r="BG152" s="20">
        <f t="shared" si="115"/>
        <v>881.686920829055</v>
      </c>
      <c r="BH152" s="59">
        <f t="shared" si="116"/>
        <v>1169.0628075507368</v>
      </c>
      <c r="BI152" s="59">
        <f ca="1">AVERAGE(OFFSET($BH$3,0,0,'Données projet'!$E$11+1,1))-AVERAGE(OFFSET($H$3,0,0,'Données projet'!$E$11+1,1))</f>
        <v>525.88595000893986</v>
      </c>
      <c r="BJ152" s="59">
        <f t="shared" si="146"/>
        <v>458.67158147469263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24.95724692519855</v>
      </c>
      <c r="BQ152" s="21">
        <f>EXP(-LN(2)/25)*BQ151+(1-EXP(-LN(2)/25))/(LN(2)/25)*Calculateur!BL152*Calculateur!BN152*VLOOKUP('Données projet'!$B$11,Paramètres!$A$1:$I$89,3,0)*0.475*44/12</f>
        <v>2.1729982991798553</v>
      </c>
      <c r="BR152" s="21">
        <f>EXP(-LN(2)/2)*BR151+(1-EXP(-LN(2)/2))/(LN(2)/2)*BL152*BO152*VLOOKUP('Données projet'!$B$11,Paramètres!$A$1:$I$89,3,0)*0.475*44/12</f>
        <v>6.4232533103234716E-20</v>
      </c>
      <c r="BS152" s="22">
        <f t="shared" si="117"/>
        <v>27.130245224378406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68.375241833185953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4.4080000000000004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16.16266666666667</v>
      </c>
      <c r="H153" s="66">
        <f t="shared" si="110"/>
        <v>192.01600000000005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673.13</v>
      </c>
      <c r="L153" s="12">
        <f>VLOOKUP(A153,'Données projet'!$A$35:$I$55,9,0)</f>
        <v>10.201000000000011</v>
      </c>
      <c r="M153" s="12">
        <f t="array" ref="M153">INDEX(L:L,MIN(IF(ISNUMBER(L153:L349),ROW(L153:L349),"")))</f>
        <v>10.201000000000011</v>
      </c>
      <c r="N153" s="13">
        <f>IF('Données projet'!$A$36&gt;35,N152+M153-V152,IF(A153&lt;'Données projet'!$A$36,$K$205^A153,IF(A153='Données projet'!$A$36,'Données projet'!$B$36,N152+M153-V152)))</f>
        <v>673.12999999999988</v>
      </c>
      <c r="O153" s="13">
        <f>N153*VLOOKUP('Données projet'!$B$9,Paramètres!$A$1:$I$89,3,0)*VLOOKUP('Données projet'!$B$9,Paramètres!$A$1:$I$89,5,0)</f>
        <v>609.04802399999994</v>
      </c>
      <c r="P153" s="13">
        <f t="shared" si="141"/>
        <v>133.06693825647992</v>
      </c>
      <c r="Q153" s="20">
        <f t="shared" si="108"/>
        <v>1292.5168925967025</v>
      </c>
      <c r="R153" s="59">
        <f t="shared" si="109"/>
        <v>1579.9961276982413</v>
      </c>
      <c r="S153" s="59">
        <f ca="1">AVERAGE(OFFSET($R$3,0,0,'Données projet'!$E$9+1,1))-AVERAGE(OFFSET($H$3,0,0,'Données projet'!$E$9+1,1))</f>
        <v>737.52606296329941</v>
      </c>
      <c r="T153" s="59">
        <f t="shared" si="142"/>
        <v>270.54143254083715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234.51</v>
      </c>
      <c r="W153" s="16">
        <f>IF(ISNA(VLOOKUP(A153,'Données projet'!$A$35:$I$55,5,0)),0%,VLOOKUP(A153,'Données projet'!$A$35:$I$55,5,0)*VLOOKUP('Données projet'!$B$9,Paramètres!$A$1:$I$89,7,0))</f>
        <v>0.43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225.32391253381184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225.32391253381184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486.7110456000002</v>
      </c>
      <c r="AK153" s="13">
        <f t="shared" si="143"/>
        <v>109.15029135396259</v>
      </c>
      <c r="AL153" s="20">
        <f t="shared" si="112"/>
        <v>1037.7918285281519</v>
      </c>
      <c r="AM153" s="59">
        <f t="shared" si="113"/>
        <v>1325.2710636296906</v>
      </c>
      <c r="AN153" s="59">
        <f ca="1">AVERAGE(OFFSET($AM$3,0,0,'Données projet'!$E$10+1,1))-AVERAGE(OFFSET($H$3,0,0,'Données projet'!$E$10+1,1))</f>
        <v>691.79662395689525</v>
      </c>
      <c r="AO153" s="59">
        <f t="shared" si="144"/>
        <v>213.38682325741539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111.78440057782555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111.78440057782555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689</v>
      </c>
      <c r="BE153" s="13">
        <f>BD153*VLOOKUP('Données projet'!$B$11,Paramètres!$A$1:$I$89,3,0)*VLOOKUP('Données projet'!$B$11,Paramètres!$A$1:$I$89,5,0)</f>
        <v>412.02199999999999</v>
      </c>
      <c r="BF153" s="13">
        <f t="shared" si="145"/>
        <v>94.209724877926391</v>
      </c>
      <c r="BG153" s="20">
        <f t="shared" si="115"/>
        <v>881.686920829055</v>
      </c>
      <c r="BH153" s="59">
        <f t="shared" si="116"/>
        <v>1169.1661559305937</v>
      </c>
      <c r="BI153" s="59">
        <f ca="1">AVERAGE(OFFSET($BH$3,0,0,'Données projet'!$E$11+1,1))-AVERAGE(OFFSET($H$3,0,0,'Données projet'!$E$11+1,1))</f>
        <v>525.88595000893986</v>
      </c>
      <c r="BJ153" s="59">
        <f t="shared" si="146"/>
        <v>458.67158147469263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24.467850535412943</v>
      </c>
      <c r="BQ153" s="21">
        <f>EXP(-LN(2)/25)*BQ152+(1-EXP(-LN(2)/25))/(LN(2)/25)*Calculateur!BL153*Calculateur!BN153*VLOOKUP('Données projet'!$B$11,Paramètres!$A$1:$I$89,3,0)*0.475*44/12</f>
        <v>2.113577546415768</v>
      </c>
      <c r="BR153" s="21">
        <f>EXP(-LN(2)/2)*BR152+(1-EXP(-LN(2)/2))/(LN(2)/2)*BL153*BO153*VLOOKUP('Données projet'!$B$11,Paramètres!$A$1:$I$89,3,0)*0.475*44/12</f>
        <v>4.5419259730086661E-20</v>
      </c>
      <c r="BS153" s="22">
        <f t="shared" si="117"/>
        <v>26.581428081828712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68.403427754965108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4.4080000000000004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16.16266666666667</v>
      </c>
      <c r="H154" s="66">
        <f t="shared" si="110"/>
        <v>192.01600000000005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-1.216666666666659</v>
      </c>
      <c r="N154" s="13">
        <f>IF('Données projet'!$A$36&gt;35,N153+M154-V153,IF(A154&lt;'Données projet'!$A$36,$K$205^A154,IF(A154='Données projet'!$A$36,'Données projet'!$B$36,N153+M154-V153)))</f>
        <v>437.40333333333319</v>
      </c>
      <c r="O154" s="13">
        <f>N154*VLOOKUP('Données projet'!$B$9,Paramètres!$A$1:$I$89,3,0)*VLOOKUP('Données projet'!$B$9,Paramètres!$A$1:$I$89,5,0)</f>
        <v>395.76253599999984</v>
      </c>
      <c r="P154" s="13">
        <f t="shared" si="141"/>
        <v>90.917052658600085</v>
      </c>
      <c r="Q154" s="20">
        <f t="shared" ref="Q154:Q203" si="162">(O154+P154)*0.475*44/12</f>
        <v>847.63361691372813</v>
      </c>
      <c r="R154" s="59">
        <f t="shared" si="109"/>
        <v>1135.2144075317856</v>
      </c>
      <c r="S154" s="59">
        <f ca="1">AVERAGE(OFFSET($R$3,0,0,'Données projet'!$E$9+1,1))-AVERAGE(OFFSET($H$3,0,0,'Données projet'!$E$9+1,1))</f>
        <v>737.52606296329941</v>
      </c>
      <c r="T154" s="59">
        <f t="shared" si="142"/>
        <v>270.54143254083715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220.90544804303994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220.90544804303994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495.0432552000002</v>
      </c>
      <c r="AK154" s="13">
        <f t="shared" ref="AK154:AK203" si="164">EXP(-1.0587+0.8836*LN(AJ154)+0.284)</f>
        <v>110.7997422834583</v>
      </c>
      <c r="AL154" s="20">
        <f t="shared" ref="AL154:AL203" si="165">(AJ154+AK154)*0.475*44/12</f>
        <v>1055.1765539503567</v>
      </c>
      <c r="AM154" s="59">
        <f t="shared" si="113"/>
        <v>1342.7573445684141</v>
      </c>
      <c r="AN154" s="59">
        <f ca="1">AVERAGE(OFFSET($AM$3,0,0,'Données projet'!$E$10+1,1))-AVERAGE(OFFSET($H$3,0,0,'Données projet'!$E$10+1,1))</f>
        <v>691.79662395689525</v>
      </c>
      <c r="AO154" s="59">
        <f t="shared" si="144"/>
        <v>213.38682325741539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109.59237666424636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109.59237666424636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689</v>
      </c>
      <c r="BE154" s="13">
        <f>BD154*VLOOKUP('Données projet'!$B$11,Paramètres!$A$1:$I$89,3,0)*VLOOKUP('Données projet'!$B$11,Paramètres!$A$1:$I$89,5,0)</f>
        <v>412.02199999999999</v>
      </c>
      <c r="BF154" s="13">
        <f t="shared" ref="BF154:BF203" si="167">EXP(-1.0587+0.8836*LN(BE154)+0.284)</f>
        <v>94.209724877926391</v>
      </c>
      <c r="BG154" s="20">
        <f t="shared" ref="BG154:BG203" si="168">(BE154+BF154)*0.475*44/12</f>
        <v>881.686920829055</v>
      </c>
      <c r="BH154" s="59">
        <f t="shared" si="116"/>
        <v>1169.2677114471123</v>
      </c>
      <c r="BI154" s="59">
        <f ca="1">AVERAGE(OFFSET($BH$3,0,0,'Données projet'!$E$11+1,1))-AVERAGE(OFFSET($H$3,0,0,'Données projet'!$E$11+1,1))</f>
        <v>525.88595000893986</v>
      </c>
      <c r="BJ154" s="59">
        <f t="shared" si="146"/>
        <v>458.67158147469263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23.988050910328706</v>
      </c>
      <c r="BQ154" s="21">
        <f>EXP(-LN(2)/25)*BQ153+(1-EXP(-LN(2)/25))/(LN(2)/25)*Calculateur!BL154*Calculateur!BN154*VLOOKUP('Données projet'!$B$11,Paramètres!$A$1:$I$89,3,0)*0.475*44/12</f>
        <v>2.0557816572608165</v>
      </c>
      <c r="BR154" s="21">
        <f>EXP(-LN(2)/2)*BR153+(1-EXP(-LN(2)/2))/(LN(2)/2)*BL154*BO154*VLOOKUP('Données projet'!$B$11,Paramètres!$A$1:$I$89,3,0)*0.475*44/12</f>
        <v>3.2116266551617358E-20</v>
      </c>
      <c r="BS154" s="22">
        <f t="shared" ref="BS154:BS203" si="169">SUM(BP154:BR154)</f>
        <v>26.043832567589522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68.431124714015652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4.4080000000000004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16.16266666666667</v>
      </c>
      <c r="H155" s="66">
        <f t="shared" si="110"/>
        <v>192.01600000000005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-1.216666666666659</v>
      </c>
      <c r="N155" s="13">
        <f>IF('Données projet'!$A$36&gt;35,N154+M155-V154,IF(A155&lt;'Données projet'!$A$36,$K$205^A155,IF(A155='Données projet'!$A$36,'Données projet'!$B$36,N154+M155-V154)))</f>
        <v>436.18666666666655</v>
      </c>
      <c r="O155" s="13">
        <f>N155*VLOOKUP('Données projet'!$B$9,Paramètres!$A$1:$I$89,3,0)*VLOOKUP('Données projet'!$B$9,Paramètres!$A$1:$I$89,5,0)</f>
        <v>394.66169599999989</v>
      </c>
      <c r="P155" s="13">
        <f t="shared" si="141"/>
        <v>90.693561189231957</v>
      </c>
      <c r="Q155" s="20">
        <f t="shared" si="162"/>
        <v>845.32707293791202</v>
      </c>
      <c r="R155" s="59">
        <f t="shared" si="109"/>
        <v>1133.0076573113206</v>
      </c>
      <c r="S155" s="59">
        <f ca="1">AVERAGE(OFFSET($R$3,0,0,'Données projet'!$E$9+1,1))-AVERAGE(OFFSET($H$3,0,0,'Données projet'!$E$9+1,1))</f>
        <v>737.52606296329941</v>
      </c>
      <c r="T155" s="59">
        <f t="shared" si="142"/>
        <v>270.54143254083715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216.57362694593485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216.57362694593485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503.3754648000002</v>
      </c>
      <c r="AK155" s="13">
        <f t="shared" si="164"/>
        <v>112.44596467615034</v>
      </c>
      <c r="AL155" s="20">
        <f t="shared" si="165"/>
        <v>1072.555656337629</v>
      </c>
      <c r="AM155" s="59">
        <f t="shared" si="113"/>
        <v>1360.2362407110377</v>
      </c>
      <c r="AN155" s="59">
        <f ca="1">AVERAGE(OFFSET($AM$3,0,0,'Données projet'!$E$10+1,1))-AVERAGE(OFFSET($H$3,0,0,'Données projet'!$E$10+1,1))</f>
        <v>691.79662395689525</v>
      </c>
      <c r="AO155" s="59">
        <f t="shared" si="144"/>
        <v>213.38682325741539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107.44333700260988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107.44333700260988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689</v>
      </c>
      <c r="BE155" s="13">
        <f>BD155*VLOOKUP('Données projet'!$B$11,Paramètres!$A$1:$I$89,3,0)*VLOOKUP('Données projet'!$B$11,Paramètres!$A$1:$I$89,5,0)</f>
        <v>412.02199999999999</v>
      </c>
      <c r="BF155" s="13">
        <f t="shared" si="167"/>
        <v>94.209724877926391</v>
      </c>
      <c r="BG155" s="20">
        <f t="shared" si="168"/>
        <v>881.686920829055</v>
      </c>
      <c r="BH155" s="59">
        <f t="shared" si="116"/>
        <v>1169.3675052024637</v>
      </c>
      <c r="BI155" s="59">
        <f ca="1">AVERAGE(OFFSET($BH$3,0,0,'Données projet'!$E$11+1,1))-AVERAGE(OFFSET($H$3,0,0,'Données projet'!$E$11+1,1))</f>
        <v>525.88595000893986</v>
      </c>
      <c r="BJ155" s="59">
        <f t="shared" si="146"/>
        <v>458.67158147469263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23.517659863243498</v>
      </c>
      <c r="BQ155" s="21">
        <f>EXP(-LN(2)/25)*BQ154+(1-EXP(-LN(2)/25))/(LN(2)/25)*Calculateur!BL155*Calculateur!BN155*VLOOKUP('Données projet'!$B$11,Paramètres!$A$1:$I$89,3,0)*0.475*44/12</f>
        <v>1.9995661997341607</v>
      </c>
      <c r="BR155" s="21">
        <f>EXP(-LN(2)/2)*BR154+(1-EXP(-LN(2)/2))/(LN(2)/2)*BL155*BO155*VLOOKUP('Données projet'!$B$11,Paramètres!$A$1:$I$89,3,0)*0.475*44/12</f>
        <v>2.2709629865043331E-20</v>
      </c>
      <c r="BS155" s="22">
        <f t="shared" si="169"/>
        <v>25.517226062977659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68.458341192747795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4.4080000000000004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16.16266666666667</v>
      </c>
      <c r="H156" s="66">
        <f t="shared" si="110"/>
        <v>192.01600000000005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434.97</v>
      </c>
      <c r="L156" s="12">
        <f>VLOOKUP(A156,'Données projet'!$A$35:$I$55,9,0)</f>
        <v>-1.216666666666659</v>
      </c>
      <c r="M156" s="12">
        <f t="array" ref="M156">INDEX(L:L,MIN(IF(ISNUMBER(L156:L352),ROW(L156:L352),"")))</f>
        <v>-1.216666666666659</v>
      </c>
      <c r="N156" s="13">
        <f>IF('Données projet'!$A$36&gt;35,N155+M156-V155,IF(A156&lt;'Données projet'!$A$36,$K$205^A156,IF(A156='Données projet'!$A$36,'Données projet'!$B$36,N155+M156-V155)))</f>
        <v>434.96999999999991</v>
      </c>
      <c r="O156" s="13">
        <f>N156*VLOOKUP('Données projet'!$B$9,Paramètres!$A$1:$I$89,3,0)*VLOOKUP('Données projet'!$B$9,Paramètres!$A$1:$I$89,5,0)</f>
        <v>393.56085599999994</v>
      </c>
      <c r="P156" s="13">
        <f t="shared" si="141"/>
        <v>90.469997145329941</v>
      </c>
      <c r="Q156" s="20">
        <f t="shared" si="162"/>
        <v>843.02040256144949</v>
      </c>
      <c r="R156" s="59">
        <f t="shared" si="109"/>
        <v>1130.7990494916594</v>
      </c>
      <c r="S156" s="59">
        <f ca="1">AVERAGE(OFFSET($R$3,0,0,'Données projet'!$E$9+1,1))-AVERAGE(OFFSET($H$3,0,0,'Données projet'!$E$9+1,1))</f>
        <v>737.52606296329941</v>
      </c>
      <c r="T156" s="59">
        <f t="shared" si="142"/>
        <v>270.54143254083715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141.22</v>
      </c>
      <c r="W156" s="16">
        <f>IF(ISNA(VLOOKUP(A156,'Données projet'!$A$35:$I$55,5,0)),0%,VLOOKUP(A156,'Données projet'!$A$35:$I$55,5,0)*VLOOKUP('Données projet'!$B$9,Paramètres!$A$1:$I$89,7,0))</f>
        <v>0.43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273.06529255020507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273.06529255020507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511.70767440000009</v>
      </c>
      <c r="AK156" s="13">
        <f t="shared" si="164"/>
        <v>114.08901814152235</v>
      </c>
      <c r="AL156" s="20">
        <f t="shared" si="165"/>
        <v>1089.9292395098182</v>
      </c>
      <c r="AM156" s="59">
        <f t="shared" si="113"/>
        <v>1377.707886440028</v>
      </c>
      <c r="AN156" s="59">
        <f ca="1">AVERAGE(OFFSET($AM$3,0,0,'Données projet'!$E$10+1,1))-AVERAGE(OFFSET($H$3,0,0,'Données projet'!$E$10+1,1))</f>
        <v>691.79662395689525</v>
      </c>
      <c r="AO156" s="59">
        <f t="shared" si="144"/>
        <v>213.38682325741539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105.33643869795333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105.33643869795333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689</v>
      </c>
      <c r="BE156" s="13">
        <f>BD156*VLOOKUP('Données projet'!$B$11,Paramètres!$A$1:$I$89,3,0)*VLOOKUP('Données projet'!$B$11,Paramètres!$A$1:$I$89,5,0)</f>
        <v>412.02199999999999</v>
      </c>
      <c r="BF156" s="13">
        <f t="shared" si="167"/>
        <v>94.209724877926391</v>
      </c>
      <c r="BG156" s="20">
        <f t="shared" si="168"/>
        <v>881.686920829055</v>
      </c>
      <c r="BH156" s="59">
        <f t="shared" si="116"/>
        <v>1169.4655677592648</v>
      </c>
      <c r="BI156" s="59">
        <f ca="1">AVERAGE(OFFSET($BH$3,0,0,'Données projet'!$E$11+1,1))-AVERAGE(OFFSET($H$3,0,0,'Données projet'!$E$11+1,1))</f>
        <v>525.88595000893986</v>
      </c>
      <c r="BJ156" s="59">
        <f t="shared" si="146"/>
        <v>458.67158147469263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23.056492897681423</v>
      </c>
      <c r="BQ156" s="21">
        <f>EXP(-LN(2)/25)*BQ155+(1-EXP(-LN(2)/25))/(LN(2)/25)*Calculateur!BL156*Calculateur!BN156*VLOOKUP('Données projet'!$B$11,Paramètres!$A$1:$I$89,3,0)*0.475*44/12</f>
        <v>1.9448879568498136</v>
      </c>
      <c r="BR156" s="21">
        <f>EXP(-LN(2)/2)*BR155+(1-EXP(-LN(2)/2))/(LN(2)/2)*BL156*BO156*VLOOKUP('Données projet'!$B$11,Paramètres!$A$1:$I$89,3,0)*0.475*44/12</f>
        <v>1.6058133275808679E-20</v>
      </c>
      <c r="BS156" s="22">
        <f t="shared" si="169"/>
        <v>25.001380854531238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68.485085526420875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4.4080000000000004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16.16266666666667</v>
      </c>
      <c r="H157" s="66">
        <f t="shared" si="110"/>
        <v>192.01600000000005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-0.93999999999999773</v>
      </c>
      <c r="N157" s="13">
        <f>IF('Données projet'!$A$36&gt;35,N156+M157-V156,IF(A157&lt;'Données projet'!$A$36,$K$205^A157,IF(A157='Données projet'!$A$36,'Données projet'!$B$36,N156+M157-V156)))</f>
        <v>292.80999999999995</v>
      </c>
      <c r="O157" s="13">
        <f>N157*VLOOKUP('Données projet'!$B$9,Paramètres!$A$1:$I$89,3,0)*VLOOKUP('Données projet'!$B$9,Paramètres!$A$1:$I$89,5,0)</f>
        <v>264.93448799999993</v>
      </c>
      <c r="P157" s="13">
        <f t="shared" si="141"/>
        <v>63.7730576950527</v>
      </c>
      <c r="Q157" s="20">
        <f t="shared" si="162"/>
        <v>572.49897541888333</v>
      </c>
      <c r="R157" s="59">
        <f t="shared" si="109"/>
        <v>860.37398373976907</v>
      </c>
      <c r="S157" s="59">
        <f ca="1">AVERAGE(OFFSET($R$3,0,0,'Données projet'!$E$9+1,1))-AVERAGE(OFFSET($H$3,0,0,'Données projet'!$E$9+1,1))</f>
        <v>737.52606296329941</v>
      </c>
      <c r="T157" s="59">
        <f t="shared" si="142"/>
        <v>270.54143254083715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267.71064871667824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267.71064871667824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520.03988400000014</v>
      </c>
      <c r="AK157" s="13">
        <f t="shared" si="164"/>
        <v>115.72896023649142</v>
      </c>
      <c r="AL157" s="20">
        <f t="shared" si="165"/>
        <v>1107.2974037118893</v>
      </c>
      <c r="AM157" s="59">
        <f t="shared" si="113"/>
        <v>1395.1724120327749</v>
      </c>
      <c r="AN157" s="59">
        <f ca="1">AVERAGE(OFFSET($AM$3,0,0,'Données projet'!$E$10+1,1))-AVERAGE(OFFSET($H$3,0,0,'Données projet'!$E$10+1,1))</f>
        <v>691.79662395689525</v>
      </c>
      <c r="AO157" s="59">
        <f t="shared" si="144"/>
        <v>213.38682325741539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128.20864701306394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128.20864701306394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689</v>
      </c>
      <c r="BE157" s="13">
        <f>BD157*VLOOKUP('Données projet'!$B$11,Paramètres!$A$1:$I$89,3,0)*VLOOKUP('Données projet'!$B$11,Paramètres!$A$1:$I$89,5,0)</f>
        <v>412.02199999999999</v>
      </c>
      <c r="BF157" s="13">
        <f t="shared" si="167"/>
        <v>94.209724877926391</v>
      </c>
      <c r="BG157" s="20">
        <f t="shared" si="168"/>
        <v>881.686920829055</v>
      </c>
      <c r="BH157" s="59">
        <f t="shared" si="116"/>
        <v>1169.5619291499406</v>
      </c>
      <c r="BI157" s="59">
        <f ca="1">AVERAGE(OFFSET($BH$3,0,0,'Données projet'!$E$11+1,1))-AVERAGE(OFFSET($H$3,0,0,'Données projet'!$E$11+1,1))</f>
        <v>525.88595000893986</v>
      </c>
      <c r="BJ157" s="59">
        <f t="shared" si="146"/>
        <v>458.67158147469263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22.604369135029945</v>
      </c>
      <c r="BQ157" s="21">
        <f>EXP(-LN(2)/25)*BQ156+(1-EXP(-LN(2)/25))/(LN(2)/25)*Calculateur!BL157*Calculateur!BN157*VLOOKUP('Données projet'!$B$11,Paramètres!$A$1:$I$89,3,0)*0.475*44/12</f>
        <v>1.8917048933925429</v>
      </c>
      <c r="BR157" s="21">
        <f>EXP(-LN(2)/2)*BR156+(1-EXP(-LN(2)/2))/(LN(2)/2)*BL157*BO157*VLOOKUP('Données projet'!$B$11,Paramètres!$A$1:$I$89,3,0)*0.475*44/12</f>
        <v>1.1354814932521665E-20</v>
      </c>
      <c r="BS157" s="22">
        <f t="shared" si="169"/>
        <v>24.496074028422488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68.511365905696096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4.4080000000000004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16.16266666666667</v>
      </c>
      <c r="H158" s="66">
        <f t="shared" si="110"/>
        <v>192.01600000000005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-0.93999999999999773</v>
      </c>
      <c r="N158" s="13">
        <f>IF('Données projet'!$A$36&gt;35,N157+M158-V157,IF(A158&lt;'Données projet'!$A$36,$K$205^A158,IF(A158='Données projet'!$A$36,'Données projet'!$B$36,N157+M158-V157)))</f>
        <v>291.86999999999995</v>
      </c>
      <c r="O158" s="13">
        <f>N158*VLOOKUP('Données projet'!$B$9,Paramètres!$A$1:$I$89,3,0)*VLOOKUP('Données projet'!$B$9,Paramètres!$A$1:$I$89,5,0)</f>
        <v>264.08397599999995</v>
      </c>
      <c r="P158" s="13">
        <f t="shared" si="141"/>
        <v>63.592125384717555</v>
      </c>
      <c r="Q158" s="20">
        <f t="shared" si="162"/>
        <v>570.7025432450497</v>
      </c>
      <c r="R158" s="59">
        <f t="shared" si="109"/>
        <v>858.67224130191471</v>
      </c>
      <c r="S158" s="59">
        <f ca="1">AVERAGE(OFFSET($R$3,0,0,'Données projet'!$E$9+1,1))-AVERAGE(OFFSET($H$3,0,0,'Données projet'!$E$9+1,1))</f>
        <v>737.52606296329941</v>
      </c>
      <c r="T158" s="59">
        <f t="shared" si="142"/>
        <v>270.54143254083715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262.46100618271663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262.46100618271663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476.04360960000008</v>
      </c>
      <c r="AK158" s="13">
        <f t="shared" si="164"/>
        <v>107.03374567724661</v>
      </c>
      <c r="AL158" s="20">
        <f t="shared" si="165"/>
        <v>1015.5263937745381</v>
      </c>
      <c r="AM158" s="59">
        <f t="shared" si="113"/>
        <v>1303.4960918314032</v>
      </c>
      <c r="AN158" s="59">
        <f ca="1">AVERAGE(OFFSET($AM$3,0,0,'Données projet'!$E$10+1,1))-AVERAGE(OFFSET($H$3,0,0,'Données projet'!$E$10+1,1))</f>
        <v>691.79662395689525</v>
      </c>
      <c r="AO158" s="59">
        <f t="shared" si="144"/>
        <v>213.38682325741539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125.69455364469087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125.69455364469087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689</v>
      </c>
      <c r="BE158" s="13">
        <f>BD158*VLOOKUP('Données projet'!$B$11,Paramètres!$A$1:$I$89,3,0)*VLOOKUP('Données projet'!$B$11,Paramètres!$A$1:$I$89,5,0)</f>
        <v>412.02199999999999</v>
      </c>
      <c r="BF158" s="13">
        <f t="shared" si="167"/>
        <v>94.209724877926391</v>
      </c>
      <c r="BG158" s="20">
        <f t="shared" si="168"/>
        <v>881.686920829055</v>
      </c>
      <c r="BH158" s="59">
        <f t="shared" si="116"/>
        <v>1169.6566188859201</v>
      </c>
      <c r="BI158" s="59">
        <f ca="1">AVERAGE(OFFSET($BH$3,0,0,'Données projet'!$E$11+1,1))-AVERAGE(OFFSET($H$3,0,0,'Données projet'!$E$11+1,1))</f>
        <v>525.88595000893986</v>
      </c>
      <c r="BJ158" s="59">
        <f t="shared" si="146"/>
        <v>458.67158147469263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22.161111243595798</v>
      </c>
      <c r="BQ158" s="21">
        <f>EXP(-LN(2)/25)*BQ157+(1-EXP(-LN(2)/25))/(LN(2)/25)*Calculateur!BL158*Calculateur!BN158*VLOOKUP('Données projet'!$B$11,Paramètres!$A$1:$I$89,3,0)*0.475*44/12</f>
        <v>1.8399761236022869</v>
      </c>
      <c r="BR158" s="21">
        <f>EXP(-LN(2)/2)*BR157+(1-EXP(-LN(2)/2))/(LN(2)/2)*BL158*BO158*VLOOKUP('Données projet'!$B$11,Paramètres!$A$1:$I$89,3,0)*0.475*44/12</f>
        <v>8.0290666379043395E-21</v>
      </c>
      <c r="BS158" s="22">
        <f t="shared" si="169"/>
        <v>24.001087367198085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68.537190379145017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4.4080000000000004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16.16266666666667</v>
      </c>
      <c r="H159" s="66">
        <f t="shared" si="110"/>
        <v>192.01600000000005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290.93</v>
      </c>
      <c r="L159" s="12">
        <f>VLOOKUP(A159,'Données projet'!$A$35:$I$55,9,0)</f>
        <v>-0.93999999999999773</v>
      </c>
      <c r="M159" s="12">
        <f t="array" ref="M159">INDEX(L:L,MIN(IF(ISNUMBER(L159:L355),ROW(L159:L355),"")))</f>
        <v>-0.93999999999999773</v>
      </c>
      <c r="N159" s="13">
        <f>IF('Données projet'!$A$36&gt;35,N158+M159-V158,IF(A159&lt;'Données projet'!$A$36,$K$205^A159,IF(A159='Données projet'!$A$36,'Données projet'!$B$36,N158+M159-V158)))</f>
        <v>290.92999999999995</v>
      </c>
      <c r="O159" s="13">
        <f>N159*VLOOKUP('Données projet'!$B$9,Paramètres!$A$1:$I$89,3,0)*VLOOKUP('Données projet'!$B$9,Paramètres!$A$1:$I$89,5,0)</f>
        <v>263.23346399999997</v>
      </c>
      <c r="P159" s="13">
        <f t="shared" si="141"/>
        <v>63.411125233778442</v>
      </c>
      <c r="Q159" s="20">
        <f t="shared" si="162"/>
        <v>568.90599291549734</v>
      </c>
      <c r="R159" s="59">
        <f t="shared" si="109"/>
        <v>856.96873805311702</v>
      </c>
      <c r="S159" s="59">
        <f ca="1">AVERAGE(OFFSET($R$3,0,0,'Données projet'!$E$9+1,1))-AVERAGE(OFFSET($H$3,0,0,'Données projet'!$E$9+1,1))</f>
        <v>737.52606296329941</v>
      </c>
      <c r="T159" s="59">
        <f t="shared" si="142"/>
        <v>270.54143254083715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87.28</v>
      </c>
      <c r="W159" s="16">
        <f>IF(ISNA(VLOOKUP(A159,'Données projet'!$A$35:$I$55,5,0)),0%,VLOOKUP(A159,'Données projet'!$A$35:$I$55,5,0)*VLOOKUP('Données projet'!$B$9,Paramètres!$A$1:$I$89,7,0))</f>
        <v>0.43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294.85332289425503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294.85332289425503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484.50904320000012</v>
      </c>
      <c r="AK159" s="13">
        <f t="shared" si="164"/>
        <v>108.71383409121859</v>
      </c>
      <c r="AL159" s="20">
        <f t="shared" si="165"/>
        <v>1033.1965112822061</v>
      </c>
      <c r="AM159" s="59">
        <f t="shared" si="113"/>
        <v>1321.2592564198258</v>
      </c>
      <c r="AN159" s="59">
        <f ca="1">AVERAGE(OFFSET($AM$3,0,0,'Données projet'!$E$10+1,1))-AVERAGE(OFFSET($H$3,0,0,'Données projet'!$E$10+1,1))</f>
        <v>691.79662395689525</v>
      </c>
      <c r="AO159" s="59">
        <f t="shared" si="144"/>
        <v>213.38682325741539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123.22976011382606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123.22976011382606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689</v>
      </c>
      <c r="BE159" s="13">
        <f>BD159*VLOOKUP('Données projet'!$B$11,Paramètres!$A$1:$I$89,3,0)*VLOOKUP('Données projet'!$B$11,Paramètres!$A$1:$I$89,5,0)</f>
        <v>412.02199999999999</v>
      </c>
      <c r="BF159" s="13">
        <f t="shared" si="167"/>
        <v>94.209724877926391</v>
      </c>
      <c r="BG159" s="20">
        <f t="shared" si="168"/>
        <v>881.686920829055</v>
      </c>
      <c r="BH159" s="59">
        <f t="shared" si="116"/>
        <v>1169.7496659666747</v>
      </c>
      <c r="BI159" s="59">
        <f ca="1">AVERAGE(OFFSET($BH$3,0,0,'Données projet'!$E$11+1,1))-AVERAGE(OFFSET($H$3,0,0,'Données projet'!$E$11+1,1))</f>
        <v>525.88595000893986</v>
      </c>
      <c r="BJ159" s="59">
        <f t="shared" si="146"/>
        <v>458.67158147469263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21.726545369052054</v>
      </c>
      <c r="BQ159" s="21">
        <f>EXP(-LN(2)/25)*BQ158+(1-EXP(-LN(2)/25))/(LN(2)/25)*Calculateur!BL159*Calculateur!BN159*VLOOKUP('Données projet'!$B$11,Paramètres!$A$1:$I$89,3,0)*0.475*44/12</f>
        <v>1.7896618797422434</v>
      </c>
      <c r="BR159" s="21">
        <f>EXP(-LN(2)/2)*BR158+(1-EXP(-LN(2)/2))/(LN(2)/2)*BL159*BO159*VLOOKUP('Données projet'!$B$11,Paramètres!$A$1:$I$89,3,0)*0.475*44/12</f>
        <v>5.6774074662608327E-21</v>
      </c>
      <c r="BS159" s="22">
        <f t="shared" si="169"/>
        <v>23.516207248794299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68.562566855714465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4.4080000000000004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16.16266666666667</v>
      </c>
      <c r="H160" s="66">
        <f t="shared" si="110"/>
        <v>192.01600000000005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-0.7233333333333386</v>
      </c>
      <c r="N160" s="13">
        <f>IF('Données projet'!$A$36&gt;35,N159+M160-V159,IF(A160&lt;'Données projet'!$A$36,$K$205^A160,IF(A160='Données projet'!$A$36,'Données projet'!$B$36,N159+M160-V159)))</f>
        <v>202.92666666666659</v>
      </c>
      <c r="O160" s="13">
        <f>N160*VLOOKUP('Données projet'!$B$9,Paramètres!$A$1:$I$89,3,0)*VLOOKUP('Données projet'!$B$9,Paramètres!$A$1:$I$89,5,0)</f>
        <v>183.60804799999991</v>
      </c>
      <c r="P160" s="13">
        <f t="shared" si="141"/>
        <v>46.123980824578709</v>
      </c>
      <c r="Q160" s="20">
        <f t="shared" si="162"/>
        <v>400.1166168694744</v>
      </c>
      <c r="R160" s="59">
        <f t="shared" si="109"/>
        <v>688.27079492901976</v>
      </c>
      <c r="S160" s="59">
        <f ca="1">AVERAGE(OFFSET($R$3,0,0,'Données projet'!$E$9+1,1))-AVERAGE(OFFSET($H$3,0,0,'Données projet'!$E$9+1,1))</f>
        <v>737.52606296329941</v>
      </c>
      <c r="T160" s="59">
        <f t="shared" si="142"/>
        <v>270.54143254083715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289.07142907506767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289.07142907506767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492.9744768000001</v>
      </c>
      <c r="AK160" s="13">
        <f t="shared" si="164"/>
        <v>110.390508892475</v>
      </c>
      <c r="AL160" s="20">
        <f t="shared" si="165"/>
        <v>1050.8606834143941</v>
      </c>
      <c r="AM160" s="59">
        <f t="shared" si="113"/>
        <v>1339.0148614739396</v>
      </c>
      <c r="AN160" s="59">
        <f ca="1">AVERAGE(OFFSET($AM$3,0,0,'Données projet'!$E$10+1,1))-AVERAGE(OFFSET($H$3,0,0,'Données projet'!$E$10+1,1))</f>
        <v>691.79662395689525</v>
      </c>
      <c r="AO160" s="59">
        <f t="shared" si="144"/>
        <v>213.38682325741539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120.81329968072589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120.81329968072589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689</v>
      </c>
      <c r="BE160" s="13">
        <f>BD160*VLOOKUP('Données projet'!$B$11,Paramètres!$A$1:$I$89,3,0)*VLOOKUP('Données projet'!$B$11,Paramètres!$A$1:$I$89,5,0)</f>
        <v>412.02199999999999</v>
      </c>
      <c r="BF160" s="13">
        <f t="shared" si="167"/>
        <v>94.209724877926391</v>
      </c>
      <c r="BG160" s="20">
        <f t="shared" si="168"/>
        <v>881.686920829055</v>
      </c>
      <c r="BH160" s="59">
        <f t="shared" si="116"/>
        <v>1169.8410988886003</v>
      </c>
      <c r="BI160" s="59">
        <f ca="1">AVERAGE(OFFSET($BH$3,0,0,'Données projet'!$E$11+1,1))-AVERAGE(OFFSET($H$3,0,0,'Données projet'!$E$11+1,1))</f>
        <v>525.88595000893986</v>
      </c>
      <c r="BJ160" s="59">
        <f t="shared" si="146"/>
        <v>458.67158147469263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21.300501066249105</v>
      </c>
      <c r="BQ160" s="21">
        <f>EXP(-LN(2)/25)*BQ159+(1-EXP(-LN(2)/25))/(LN(2)/25)*Calculateur!BL160*Calculateur!BN160*VLOOKUP('Données projet'!$B$11,Paramètres!$A$1:$I$89,3,0)*0.475*44/12</f>
        <v>1.7407234815264638</v>
      </c>
      <c r="BR160" s="21">
        <f>EXP(-LN(2)/2)*BR159+(1-EXP(-LN(2)/2))/(LN(2)/2)*BL160*BO160*VLOOKUP('Données projet'!$B$11,Paramètres!$A$1:$I$89,3,0)*0.475*44/12</f>
        <v>4.0145333189521697E-21</v>
      </c>
      <c r="BS160" s="22">
        <f t="shared" si="169"/>
        <v>23.041224547775567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68.587503107148748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4.4080000000000004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16.16266666666667</v>
      </c>
      <c r="H161" s="66">
        <f t="shared" si="110"/>
        <v>192.01600000000005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-0.7233333333333386</v>
      </c>
      <c r="N161" s="13">
        <f>IF('Données projet'!$A$36&gt;35,N160+M161-V160,IF(A161&lt;'Données projet'!$A$36,$K$205^A161,IF(A161='Données projet'!$A$36,'Données projet'!$B$36,N160+M161-V160)))</f>
        <v>202.20333333333326</v>
      </c>
      <c r="O161" s="13">
        <f>N161*VLOOKUP('Données projet'!$B$9,Paramètres!$A$1:$I$89,3,0)*VLOOKUP('Données projet'!$B$9,Paramètres!$A$1:$I$89,5,0)</f>
        <v>182.95357599999991</v>
      </c>
      <c r="P161" s="13">
        <f t="shared" si="141"/>
        <v>45.978678669970051</v>
      </c>
      <c r="Q161" s="20">
        <f t="shared" si="162"/>
        <v>398.72367688353097</v>
      </c>
      <c r="R161" s="59">
        <f t="shared" si="109"/>
        <v>686.96770170822015</v>
      </c>
      <c r="S161" s="59">
        <f ca="1">AVERAGE(OFFSET($R$3,0,0,'Données projet'!$E$9+1,1))-AVERAGE(OFFSET($H$3,0,0,'Données projet'!$E$9+1,1))</f>
        <v>737.52606296329941</v>
      </c>
      <c r="T161" s="59">
        <f t="shared" si="142"/>
        <v>270.54143254083715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283.40291466706753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283.40291466706753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501.43991040000009</v>
      </c>
      <c r="AK161" s="13">
        <f t="shared" si="164"/>
        <v>112.06383546447631</v>
      </c>
      <c r="AL161" s="20">
        <f t="shared" si="165"/>
        <v>1068.5190240472964</v>
      </c>
      <c r="AM161" s="59">
        <f t="shared" si="113"/>
        <v>1356.7630488719856</v>
      </c>
      <c r="AN161" s="59">
        <f ca="1">AVERAGE(OFFSET($AM$3,0,0,'Données projet'!$E$10+1,1))-AVERAGE(OFFSET($H$3,0,0,'Données projet'!$E$10+1,1))</f>
        <v>691.79662395689525</v>
      </c>
      <c r="AO161" s="59">
        <f t="shared" si="144"/>
        <v>213.38682325741539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118.44422456282349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118.44422456282349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689</v>
      </c>
      <c r="BE161" s="13">
        <f>BD161*VLOOKUP('Données projet'!$B$11,Paramètres!$A$1:$I$89,3,0)*VLOOKUP('Données projet'!$B$11,Paramètres!$A$1:$I$89,5,0)</f>
        <v>412.02199999999999</v>
      </c>
      <c r="BF161" s="13">
        <f t="shared" si="167"/>
        <v>94.209724877926391</v>
      </c>
      <c r="BG161" s="20">
        <f t="shared" si="168"/>
        <v>881.686920829055</v>
      </c>
      <c r="BH161" s="59">
        <f t="shared" si="116"/>
        <v>1169.9309456537442</v>
      </c>
      <c r="BI161" s="59">
        <f ca="1">AVERAGE(OFFSET($BH$3,0,0,'Données projet'!$E$11+1,1))-AVERAGE(OFFSET($H$3,0,0,'Données projet'!$E$11+1,1))</f>
        <v>525.88595000893986</v>
      </c>
      <c r="BJ161" s="59">
        <f t="shared" si="146"/>
        <v>458.67158147469263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20.882811232362755</v>
      </c>
      <c r="BQ161" s="21">
        <f>EXP(-LN(2)/25)*BQ160+(1-EXP(-LN(2)/25))/(LN(2)/25)*Calculateur!BL161*Calculateur!BN161*VLOOKUP('Données projet'!$B$11,Paramètres!$A$1:$I$89,3,0)*0.475*44/12</f>
        <v>1.6931233063834532</v>
      </c>
      <c r="BR161" s="21">
        <f>EXP(-LN(2)/2)*BR160+(1-EXP(-LN(2)/2))/(LN(2)/2)*BL161*BO161*VLOOKUP('Données projet'!$B$11,Paramètres!$A$1:$I$89,3,0)*0.475*44/12</f>
        <v>2.8387037331304163E-21</v>
      </c>
      <c r="BS161" s="22">
        <f t="shared" si="169"/>
        <v>22.575934538746207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68.61200677036976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4.4080000000000004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16.16266666666667</v>
      </c>
      <c r="H162" s="66">
        <f t="shared" si="110"/>
        <v>192.01600000000005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201.48</v>
      </c>
      <c r="L162" s="12">
        <f>VLOOKUP(A162,'Données projet'!$A$35:$I$55,9,0)</f>
        <v>-0.7233333333333386</v>
      </c>
      <c r="M162" s="12">
        <f t="array" ref="M162">INDEX(L:L,MIN(IF(ISNUMBER(L162:L358),ROW(L162:L358),"")))</f>
        <v>-0.7233333333333386</v>
      </c>
      <c r="N162" s="13">
        <f>IF('Données projet'!$A$36&gt;35,N161+M162-V161,IF(A162&lt;'Données projet'!$A$36,$K$205^A162,IF(A162='Données projet'!$A$36,'Données projet'!$B$36,N161+M162-V161)))</f>
        <v>201.47999999999993</v>
      </c>
      <c r="O162" s="13">
        <f>N162*VLOOKUP('Données projet'!$B$9,Paramètres!$A$1:$I$89,3,0)*VLOOKUP('Données projet'!$B$9,Paramètres!$A$1:$I$89,5,0)</f>
        <v>182.29910399999991</v>
      </c>
      <c r="P162" s="13">
        <f t="shared" si="141"/>
        <v>45.833315999864332</v>
      </c>
      <c r="Q162" s="20">
        <f t="shared" si="162"/>
        <v>397.33063149976351</v>
      </c>
      <c r="R162" s="59">
        <f t="shared" si="109"/>
        <v>685.66294444908829</v>
      </c>
      <c r="S162" s="59">
        <f ca="1">AVERAGE(OFFSET($R$3,0,0,'Données projet'!$E$9+1,1))-AVERAGE(OFFSET($H$3,0,0,'Données projet'!$E$9+1,1))</f>
        <v>737.52606296329941</v>
      </c>
      <c r="T162" s="59">
        <f t="shared" si="142"/>
        <v>270.54143254083715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180.6</v>
      </c>
      <c r="W162" s="16">
        <f>IF(ISNA(VLOOKUP(A162,'Données projet'!$A$35:$I$55,5,0)),0%,VLOOKUP(A162,'Données projet'!$A$35:$I$55,5,0)*VLOOKUP('Données projet'!$B$9,Paramètres!$A$1:$I$89,7,0))</f>
        <v>0.43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355.52138659947087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355.52138659947087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509.90534400000007</v>
      </c>
      <c r="AK162" s="13">
        <f t="shared" si="164"/>
        <v>113.73387685652062</v>
      </c>
      <c r="AL162" s="20">
        <f t="shared" si="165"/>
        <v>1086.1716429917735</v>
      </c>
      <c r="AM162" s="59">
        <f t="shared" si="113"/>
        <v>1374.5039559410984</v>
      </c>
      <c r="AN162" s="59">
        <f ca="1">AVERAGE(OFFSET($AM$3,0,0,'Données projet'!$E$10+1,1))-AVERAGE(OFFSET($H$3,0,0,'Données projet'!$E$10+1,1))</f>
        <v>691.79662395689525</v>
      </c>
      <c r="AO162" s="59">
        <f t="shared" si="144"/>
        <v>213.38682325741539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116.12160556299003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116.12160556299003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689</v>
      </c>
      <c r="BE162" s="13">
        <f>BD162*VLOOKUP('Données projet'!$B$11,Paramètres!$A$1:$I$89,3,0)*VLOOKUP('Données projet'!$B$11,Paramètres!$A$1:$I$89,5,0)</f>
        <v>412.02199999999999</v>
      </c>
      <c r="BF162" s="13">
        <f t="shared" si="167"/>
        <v>94.209724877926391</v>
      </c>
      <c r="BG162" s="20">
        <f t="shared" si="168"/>
        <v>881.686920829055</v>
      </c>
      <c r="BH162" s="59">
        <f t="shared" si="116"/>
        <v>1170.0192337783797</v>
      </c>
      <c r="BI162" s="59">
        <f ca="1">AVERAGE(OFFSET($BH$3,0,0,'Données projet'!$E$11+1,1))-AVERAGE(OFFSET($H$3,0,0,'Données projet'!$E$11+1,1))</f>
        <v>525.88595000893986</v>
      </c>
      <c r="BJ162" s="59">
        <f t="shared" si="146"/>
        <v>458.67158147469263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20.473312041353275</v>
      </c>
      <c r="BQ162" s="21">
        <f>EXP(-LN(2)/25)*BQ161+(1-EXP(-LN(2)/25))/(LN(2)/25)*Calculateur!BL162*Calculateur!BN162*VLOOKUP('Données projet'!$B$11,Paramètres!$A$1:$I$89,3,0)*0.475*44/12</f>
        <v>1.6468247605329127</v>
      </c>
      <c r="BR162" s="21">
        <f>EXP(-LN(2)/2)*BR161+(1-EXP(-LN(2)/2))/(LN(2)/2)*BL162*BO162*VLOOKUP('Données projet'!$B$11,Paramètres!$A$1:$I$89,3,0)*0.475*44/12</f>
        <v>2.0072666594760849E-21</v>
      </c>
      <c r="BS162" s="22">
        <f t="shared" si="169"/>
        <v>22.120136801886186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68.636085349815843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4.4080000000000004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16.16266666666667</v>
      </c>
      <c r="H163" s="66">
        <f t="shared" si="110"/>
        <v>192.01600000000005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20.879999999999939</v>
      </c>
      <c r="O163" s="13">
        <f>N163*VLOOKUP('Données projet'!$B$9,Paramètres!$A$1:$I$89,3,0)*VLOOKUP('Données projet'!$B$9,Paramètres!$A$1:$I$89,5,0)</f>
        <v>18.892223999999942</v>
      </c>
      <c r="P163" s="13">
        <f t="shared" si="141"/>
        <v>6.184089977612083</v>
      </c>
      <c r="Q163" s="20">
        <f t="shared" si="162"/>
        <v>43.674580177674272</v>
      </c>
      <c r="R163" s="59">
        <f t="shared" si="109"/>
        <v>332.093649650055</v>
      </c>
      <c r="S163" s="59">
        <f ca="1">AVERAGE(OFFSET($R$3,0,0,'Données projet'!$E$9+1,1))-AVERAGE(OFFSET($H$3,0,0,'Données projet'!$E$9+1,1))</f>
        <v>737.52606296329941</v>
      </c>
      <c r="T163" s="59">
        <f t="shared" si="142"/>
        <v>270.54143254083715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348.54982905488924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348.54982905488924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518.3707776</v>
      </c>
      <c r="AK163" s="13">
        <f t="shared" si="164"/>
        <v>115.4006939044155</v>
      </c>
      <c r="AL163" s="20">
        <f t="shared" si="165"/>
        <v>1103.8186462035235</v>
      </c>
      <c r="AM163" s="59">
        <f t="shared" si="113"/>
        <v>1392.2377156759042</v>
      </c>
      <c r="AN163" s="59">
        <f ca="1">AVERAGE(OFFSET($AM$3,0,0,'Données projet'!$E$10+1,1))-AVERAGE(OFFSET($H$3,0,0,'Données projet'!$E$10+1,1))</f>
        <v>691.79662395689525</v>
      </c>
      <c r="AO163" s="59">
        <f t="shared" si="144"/>
        <v>213.38682325741539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113.84453170508559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113.84453170508559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689</v>
      </c>
      <c r="BE163" s="13">
        <f>BD163*VLOOKUP('Données projet'!$B$11,Paramètres!$A$1:$I$89,3,0)*VLOOKUP('Données projet'!$B$11,Paramètres!$A$1:$I$89,5,0)</f>
        <v>412.02199999999999</v>
      </c>
      <c r="BF163" s="13">
        <f t="shared" si="167"/>
        <v>94.209724877926391</v>
      </c>
      <c r="BG163" s="20">
        <f t="shared" si="168"/>
        <v>881.686920829055</v>
      </c>
      <c r="BH163" s="59">
        <f t="shared" si="116"/>
        <v>1170.1059903014357</v>
      </c>
      <c r="BI163" s="59">
        <f ca="1">AVERAGE(OFFSET($BH$3,0,0,'Données projet'!$E$11+1,1))-AVERAGE(OFFSET($H$3,0,0,'Données projet'!$E$11+1,1))</f>
        <v>525.88595000893986</v>
      </c>
      <c r="BJ163" s="59">
        <f t="shared" si="146"/>
        <v>458.67158147469263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20.071842879709646</v>
      </c>
      <c r="BQ163" s="21">
        <f>EXP(-LN(2)/25)*BQ162+(1-EXP(-LN(2)/25))/(LN(2)/25)*Calculateur!BL163*Calculateur!BN163*VLOOKUP('Données projet'!$B$11,Paramètres!$A$1:$I$89,3,0)*0.475*44/12</f>
        <v>1.6017922508533899</v>
      </c>
      <c r="BR163" s="21">
        <f>EXP(-LN(2)/2)*BR162+(1-EXP(-LN(2)/2))/(LN(2)/2)*BL163*BO163*VLOOKUP('Données projet'!$B$11,Paramètres!$A$1:$I$89,3,0)*0.475*44/12</f>
        <v>1.4193518665652082E-21</v>
      </c>
      <c r="BS163" s="22">
        <f t="shared" si="169"/>
        <v>21.673635130563035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68.6597462197402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4.4080000000000004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16.16266666666667</v>
      </c>
      <c r="H164" s="66">
        <f t="shared" si="110"/>
        <v>192.01600000000005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20.879999999999939</v>
      </c>
      <c r="O164" s="13">
        <f>N164*VLOOKUP('Données projet'!$B$9,Paramètres!$A$1:$I$89,3,0)*VLOOKUP('Données projet'!$B$9,Paramètres!$A$1:$I$89,5,0)</f>
        <v>18.892223999999942</v>
      </c>
      <c r="P164" s="13">
        <f t="shared" si="141"/>
        <v>6.184089977612083</v>
      </c>
      <c r="Q164" s="20">
        <f t="shared" si="162"/>
        <v>43.674580177674272</v>
      </c>
      <c r="R164" s="59">
        <f t="shared" si="109"/>
        <v>332.17890114139448</v>
      </c>
      <c r="S164" s="59">
        <f ca="1">AVERAGE(OFFSET($R$3,0,0,'Données projet'!$E$9+1,1))-AVERAGE(OFFSET($H$3,0,0,'Données projet'!$E$9+1,1))</f>
        <v>737.52606296329941</v>
      </c>
      <c r="T164" s="59">
        <f t="shared" si="142"/>
        <v>270.54143254083715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341.71497950152661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341.71497950152661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526.83621119999998</v>
      </c>
      <c r="AK164" s="13">
        <f t="shared" si="164"/>
        <v>117.06434534304272</v>
      </c>
      <c r="AL164" s="20">
        <f t="shared" si="165"/>
        <v>1121.4601359791325</v>
      </c>
      <c r="AM164" s="59">
        <f t="shared" si="113"/>
        <v>1409.9644569428526</v>
      </c>
      <c r="AN164" s="59">
        <f ca="1">AVERAGE(OFFSET($AM$3,0,0,'Données projet'!$E$10+1,1))-AVERAGE(OFFSET($H$3,0,0,'Données projet'!$E$10+1,1))</f>
        <v>691.79662395689525</v>
      </c>
      <c r="AO164" s="59">
        <f t="shared" si="144"/>
        <v>213.38682325741539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111.61210987665673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111.61210987665673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689</v>
      </c>
      <c r="BE164" s="13">
        <f>BD164*VLOOKUP('Données projet'!$B$11,Paramètres!$A$1:$I$89,3,0)*VLOOKUP('Données projet'!$B$11,Paramètres!$A$1:$I$89,5,0)</f>
        <v>412.02199999999999</v>
      </c>
      <c r="BF164" s="13">
        <f t="shared" si="167"/>
        <v>94.209724877926391</v>
      </c>
      <c r="BG164" s="20">
        <f t="shared" si="168"/>
        <v>881.686920829055</v>
      </c>
      <c r="BH164" s="59">
        <f t="shared" si="116"/>
        <v>1170.1912417927751</v>
      </c>
      <c r="BI164" s="59">
        <f ca="1">AVERAGE(OFFSET($BH$3,0,0,'Données projet'!$E$11+1,1))-AVERAGE(OFFSET($H$3,0,0,'Données projet'!$E$11+1,1))</f>
        <v>525.88595000893986</v>
      </c>
      <c r="BJ164" s="59">
        <f t="shared" si="146"/>
        <v>458.67158147469263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19.678246283453838</v>
      </c>
      <c r="BQ164" s="21">
        <f>EXP(-LN(2)/25)*BQ163+(1-EXP(-LN(2)/25))/(LN(2)/25)*Calculateur!BL164*Calculateur!BN164*VLOOKUP('Données projet'!$B$11,Paramètres!$A$1:$I$89,3,0)*0.475*44/12</f>
        <v>1.5579911575192105</v>
      </c>
      <c r="BR164" s="21">
        <f>EXP(-LN(2)/2)*BR163+(1-EXP(-LN(2)/2))/(LN(2)/2)*BL164*BO164*VLOOKUP('Données projet'!$B$11,Paramètres!$A$1:$I$89,3,0)*0.475*44/12</f>
        <v>1.0036333297380424E-21</v>
      </c>
      <c r="BS164" s="22">
        <f t="shared" si="169"/>
        <v>21.236237440973049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68.682996626469148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4.4080000000000004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16.16266666666667</v>
      </c>
      <c r="H165" s="66">
        <f t="shared" si="110"/>
        <v>192.01600000000005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20.879999999999939</v>
      </c>
      <c r="O165" s="13">
        <f>N165*VLOOKUP('Données projet'!$B$9,Paramètres!$A$1:$I$89,3,0)*VLOOKUP('Données projet'!$B$9,Paramètres!$A$1:$I$89,5,0)</f>
        <v>18.892223999999942</v>
      </c>
      <c r="P165" s="13">
        <f t="shared" si="141"/>
        <v>6.184089977612083</v>
      </c>
      <c r="Q165" s="20">
        <f t="shared" si="162"/>
        <v>43.674580177674272</v>
      </c>
      <c r="R165" s="59">
        <f t="shared" si="109"/>
        <v>332.26267370995294</v>
      </c>
      <c r="S165" s="59">
        <f ca="1">AVERAGE(OFFSET($R$3,0,0,'Données projet'!$E$9+1,1))-AVERAGE(OFFSET($H$3,0,0,'Données projet'!$E$9+1,1))</f>
        <v>737.52606296329941</v>
      </c>
      <c r="T165" s="59">
        <f t="shared" si="142"/>
        <v>270.54143254083715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335.01415717905888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335.01415717905888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535.30164479999985</v>
      </c>
      <c r="AK165" s="13">
        <f t="shared" si="164"/>
        <v>118.72488791148284</v>
      </c>
      <c r="AL165" s="20">
        <f t="shared" si="165"/>
        <v>1139.0962111391655</v>
      </c>
      <c r="AM165" s="59">
        <f t="shared" si="113"/>
        <v>1427.6843046714441</v>
      </c>
      <c r="AN165" s="59">
        <f ca="1">AVERAGE(OFFSET($AM$3,0,0,'Données projet'!$E$10+1,1))-AVERAGE(OFFSET($H$3,0,0,'Données projet'!$E$10+1,1))</f>
        <v>691.79662395689525</v>
      </c>
      <c r="AO165" s="59">
        <f t="shared" si="144"/>
        <v>213.38682325741539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109.42346447864051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109.42346447864051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689</v>
      </c>
      <c r="BE165" s="13">
        <f>BD165*VLOOKUP('Données projet'!$B$11,Paramètres!$A$1:$I$89,3,0)*VLOOKUP('Données projet'!$B$11,Paramètres!$A$1:$I$89,5,0)</f>
        <v>412.02199999999999</v>
      </c>
      <c r="BF165" s="13">
        <f t="shared" si="167"/>
        <v>94.209724877926391</v>
      </c>
      <c r="BG165" s="20">
        <f t="shared" si="168"/>
        <v>881.686920829055</v>
      </c>
      <c r="BH165" s="59">
        <f t="shared" si="116"/>
        <v>1170.2750143613337</v>
      </c>
      <c r="BI165" s="59">
        <f ca="1">AVERAGE(OFFSET($BH$3,0,0,'Données projet'!$E$11+1,1))-AVERAGE(OFFSET($H$3,0,0,'Données projet'!$E$11+1,1))</f>
        <v>525.88595000893986</v>
      </c>
      <c r="BJ165" s="59">
        <f t="shared" si="146"/>
        <v>458.67158147469263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19.292367876380389</v>
      </c>
      <c r="BQ165" s="21">
        <f>EXP(-LN(2)/25)*BQ164+(1-EXP(-LN(2)/25))/(LN(2)/25)*Calculateur!BL165*Calculateur!BN165*VLOOKUP('Données projet'!$B$11,Paramètres!$A$1:$I$89,3,0)*0.475*44/12</f>
        <v>1.5153878073856535</v>
      </c>
      <c r="BR165" s="21">
        <f>EXP(-LN(2)/2)*BR164+(1-EXP(-LN(2)/2))/(LN(2)/2)*BL165*BO165*VLOOKUP('Données projet'!$B$11,Paramètres!$A$1:$I$89,3,0)*0.475*44/12</f>
        <v>7.0967593328260408E-22</v>
      </c>
      <c r="BS165" s="22">
        <f t="shared" si="169"/>
        <v>20.807755683766043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68.70584369062145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4.4080000000000004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16.16266666666667</v>
      </c>
      <c r="H166" s="66">
        <f t="shared" si="110"/>
        <v>192.01600000000005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20.879999999999939</v>
      </c>
      <c r="O166" s="13">
        <f>N166*VLOOKUP('Données projet'!$B$9,Paramètres!$A$1:$I$89,3,0)*VLOOKUP('Données projet'!$B$9,Paramètres!$A$1:$I$89,5,0)</f>
        <v>18.892223999999942</v>
      </c>
      <c r="P166" s="13">
        <f t="shared" si="141"/>
        <v>6.184089977612083</v>
      </c>
      <c r="Q166" s="20">
        <f t="shared" si="162"/>
        <v>43.674580177674272</v>
      </c>
      <c r="R166" s="59">
        <f t="shared" si="109"/>
        <v>332.34499301173435</v>
      </c>
      <c r="S166" s="59">
        <f ca="1">AVERAGE(OFFSET($R$3,0,0,'Données projet'!$E$9+1,1))-AVERAGE(OFFSET($H$3,0,0,'Données projet'!$E$9+1,1))</f>
        <v>737.52606296329941</v>
      </c>
      <c r="T166" s="59">
        <f t="shared" si="142"/>
        <v>270.54143254083715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328.44473389523665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328.44473389523665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543.76707839999983</v>
      </c>
      <c r="AK166" s="13">
        <f t="shared" si="164"/>
        <v>120.38237645130253</v>
      </c>
      <c r="AL166" s="20">
        <f t="shared" si="165"/>
        <v>1156.7269671993515</v>
      </c>
      <c r="AM166" s="59">
        <f t="shared" si="113"/>
        <v>1445.3973800334115</v>
      </c>
      <c r="AN166" s="59">
        <f ca="1">AVERAGE(OFFSET($AM$3,0,0,'Données projet'!$E$10+1,1))-AVERAGE(OFFSET($H$3,0,0,'Données projet'!$E$10+1,1))</f>
        <v>691.79662395689525</v>
      </c>
      <c r="AO166" s="59">
        <f t="shared" si="144"/>
        <v>213.38682325741539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107.2777370819375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107.2777370819375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689</v>
      </c>
      <c r="BE166" s="13">
        <f>BD166*VLOOKUP('Données projet'!$B$11,Paramètres!$A$1:$I$89,3,0)*VLOOKUP('Données projet'!$B$11,Paramètres!$A$1:$I$89,5,0)</f>
        <v>412.02199999999999</v>
      </c>
      <c r="BF166" s="13">
        <f t="shared" si="167"/>
        <v>94.209724877926391</v>
      </c>
      <c r="BG166" s="20">
        <f t="shared" si="168"/>
        <v>881.686920829055</v>
      </c>
      <c r="BH166" s="59">
        <f t="shared" si="116"/>
        <v>1170.357333663115</v>
      </c>
      <c r="BI166" s="59">
        <f ca="1">AVERAGE(OFFSET($BH$3,0,0,'Données projet'!$E$11+1,1))-AVERAGE(OFFSET($H$3,0,0,'Données projet'!$E$11+1,1))</f>
        <v>525.88595000893986</v>
      </c>
      <c r="BJ166" s="59">
        <f t="shared" si="146"/>
        <v>458.67158147469263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18.91405630950706</v>
      </c>
      <c r="BQ166" s="21">
        <f>EXP(-LN(2)/25)*BQ165+(1-EXP(-LN(2)/25))/(LN(2)/25)*Calculateur!BL166*Calculateur!BN166*VLOOKUP('Données projet'!$B$11,Paramètres!$A$1:$I$89,3,0)*0.475*44/12</f>
        <v>1.4739494481019115</v>
      </c>
      <c r="BR166" s="21">
        <f>EXP(-LN(2)/2)*BR165+(1-EXP(-LN(2)/2))/(LN(2)/2)*BL166*BO166*VLOOKUP('Données projet'!$B$11,Paramètres!$A$1:$I$89,3,0)*0.475*44/12</f>
        <v>5.0181666486902122E-22</v>
      </c>
      <c r="BS166" s="22">
        <f t="shared" si="169"/>
        <v>20.388005757608973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68.72829440928912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4.4080000000000004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16.16266666666667</v>
      </c>
      <c r="H167" s="66">
        <f t="shared" si="110"/>
        <v>192.01600000000005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20.879999999999939</v>
      </c>
      <c r="O167" s="13">
        <f>N167*VLOOKUP('Données projet'!$B$9,Paramètres!$A$1:$I$89,3,0)*VLOOKUP('Données projet'!$B$9,Paramètres!$A$1:$I$89,5,0)</f>
        <v>18.892223999999942</v>
      </c>
      <c r="P167" s="13">
        <f t="shared" si="141"/>
        <v>6.184089977612083</v>
      </c>
      <c r="Q167" s="20">
        <f t="shared" si="162"/>
        <v>43.674580177674272</v>
      </c>
      <c r="R167" s="59">
        <f t="shared" si="109"/>
        <v>332.42588425766826</v>
      </c>
      <c r="S167" s="59">
        <f ca="1">AVERAGE(OFFSET($R$3,0,0,'Données projet'!$E$9+1,1))-AVERAGE(OFFSET($H$3,0,0,'Données projet'!$E$9+1,1))</f>
        <v>737.52606296329941</v>
      </c>
      <c r="T167" s="59">
        <f t="shared" si="142"/>
        <v>270.54143254083715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322.00413299505766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322.00413299505766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552.23251199999982</v>
      </c>
      <c r="AK167" s="13">
        <f t="shared" si="164"/>
        <v>122.03686399854581</v>
      </c>
      <c r="AL167" s="20">
        <f t="shared" si="165"/>
        <v>1174.3524965308004</v>
      </c>
      <c r="AM167" s="59">
        <f t="shared" si="113"/>
        <v>1463.1038006107945</v>
      </c>
      <c r="AN167" s="59">
        <f ca="1">AVERAGE(OFFSET($AM$3,0,0,'Données projet'!$E$10+1,1))-AVERAGE(OFFSET($H$3,0,0,'Données projet'!$E$10+1,1))</f>
        <v>691.79662395689525</v>
      </c>
      <c r="AO167" s="59">
        <f t="shared" si="144"/>
        <v>213.38682325741539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132.12481392060175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132.12481392060175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689</v>
      </c>
      <c r="BE167" s="13">
        <f>BD167*VLOOKUP('Données projet'!$B$11,Paramètres!$A$1:$I$89,3,0)*VLOOKUP('Données projet'!$B$11,Paramètres!$A$1:$I$89,5,0)</f>
        <v>412.02199999999999</v>
      </c>
      <c r="BF167" s="13">
        <f t="shared" si="167"/>
        <v>94.209724877926391</v>
      </c>
      <c r="BG167" s="20">
        <f t="shared" si="168"/>
        <v>881.686920829055</v>
      </c>
      <c r="BH167" s="59">
        <f t="shared" si="116"/>
        <v>1170.438224909049</v>
      </c>
      <c r="BI167" s="59">
        <f ca="1">AVERAGE(OFFSET($BH$3,0,0,'Données projet'!$E$11+1,1))-AVERAGE(OFFSET($H$3,0,0,'Données projet'!$E$11+1,1))</f>
        <v>525.88595000893986</v>
      </c>
      <c r="BJ167" s="59">
        <f t="shared" si="146"/>
        <v>458.67158147469263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18.543163201712847</v>
      </c>
      <c r="BQ167" s="21">
        <f>EXP(-LN(2)/25)*BQ166+(1-EXP(-LN(2)/25))/(LN(2)/25)*Calculateur!BL167*Calculateur!BN167*VLOOKUP('Données projet'!$B$11,Paramètres!$A$1:$I$89,3,0)*0.475*44/12</f>
        <v>1.4336442229319319</v>
      </c>
      <c r="BR167" s="21">
        <f>EXP(-LN(2)/2)*BR166+(1-EXP(-LN(2)/2))/(LN(2)/2)*BL167*BO167*VLOOKUP('Données projet'!$B$11,Paramètres!$A$1:$I$89,3,0)*0.475*44/12</f>
        <v>3.5483796664130204E-22</v>
      </c>
      <c r="BS167" s="22">
        <f t="shared" si="169"/>
        <v>19.976807424644779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68.750355658180183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4.4080000000000004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16.16266666666667</v>
      </c>
      <c r="H168" s="66">
        <f t="shared" si="110"/>
        <v>192.01600000000005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20.879999999999939</v>
      </c>
      <c r="O168" s="13">
        <f>N168*VLOOKUP('Données projet'!$B$9,Paramètres!$A$1:$I$89,3,0)*VLOOKUP('Données projet'!$B$9,Paramètres!$A$1:$I$89,5,0)</f>
        <v>18.892223999999942</v>
      </c>
      <c r="P168" s="13">
        <f t="shared" si="141"/>
        <v>6.184089977612083</v>
      </c>
      <c r="Q168" s="20">
        <f t="shared" si="162"/>
        <v>43.674580177674272</v>
      </c>
      <c r="R168" s="59">
        <f t="shared" si="109"/>
        <v>332.5053722213309</v>
      </c>
      <c r="S168" s="59">
        <f ca="1">AVERAGE(OFFSET($R$3,0,0,'Données projet'!$E$9+1,1))-AVERAGE(OFFSET($H$3,0,0,'Données projet'!$E$9+1,1))</f>
        <v>737.52606296329941</v>
      </c>
      <c r="T168" s="59">
        <f t="shared" si="142"/>
        <v>270.54143254083715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315.68982835015248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315.68982835015248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504.07964879999975</v>
      </c>
      <c r="AK168" s="13">
        <f t="shared" si="164"/>
        <v>112.58494660961439</v>
      </c>
      <c r="AL168" s="20">
        <f t="shared" si="165"/>
        <v>1074.0241703384111</v>
      </c>
      <c r="AM168" s="59">
        <f t="shared" si="113"/>
        <v>1362.8549623820677</v>
      </c>
      <c r="AN168" s="59">
        <f ca="1">AVERAGE(OFFSET($AM$3,0,0,'Données projet'!$E$10+1,1))-AVERAGE(OFFSET($H$3,0,0,'Données projet'!$E$10+1,1))</f>
        <v>691.79662395689525</v>
      </c>
      <c r="AO168" s="59">
        <f t="shared" si="144"/>
        <v>213.38682325741539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129.53392690779782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129.53392690779782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689</v>
      </c>
      <c r="BE168" s="13">
        <f>BD168*VLOOKUP('Données projet'!$B$11,Paramètres!$A$1:$I$89,3,0)*VLOOKUP('Données projet'!$B$11,Paramètres!$A$1:$I$89,5,0)</f>
        <v>412.02199999999999</v>
      </c>
      <c r="BF168" s="13">
        <f t="shared" si="167"/>
        <v>94.209724877926391</v>
      </c>
      <c r="BG168" s="20">
        <f t="shared" si="168"/>
        <v>881.686920829055</v>
      </c>
      <c r="BH168" s="59">
        <f t="shared" si="116"/>
        <v>1170.5177128727116</v>
      </c>
      <c r="BI168" s="59">
        <f ca="1">AVERAGE(OFFSET($BH$3,0,0,'Données projet'!$E$11+1,1))-AVERAGE(OFFSET($H$3,0,0,'Données projet'!$E$11+1,1))</f>
        <v>525.88595000893986</v>
      </c>
      <c r="BJ168" s="59">
        <f t="shared" si="146"/>
        <v>458.67158147469263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18.179543081540022</v>
      </c>
      <c r="BQ168" s="21">
        <f>EXP(-LN(2)/25)*BQ167+(1-EXP(-LN(2)/25))/(LN(2)/25)*Calculateur!BL168*Calculateur!BN168*VLOOKUP('Données projet'!$B$11,Paramètres!$A$1:$I$89,3,0)*0.475*44/12</f>
        <v>1.3944411462637851</v>
      </c>
      <c r="BR168" s="21">
        <f>EXP(-LN(2)/2)*BR167+(1-EXP(-LN(2)/2))/(LN(2)/2)*BL168*BO168*VLOOKUP('Données projet'!$B$11,Paramètres!$A$1:$I$89,3,0)*0.475*44/12</f>
        <v>2.5090833243451061E-22</v>
      </c>
      <c r="BS168" s="22">
        <f t="shared" si="169"/>
        <v>19.573984227803805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68.772034193724537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4.4080000000000004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16.16266666666667</v>
      </c>
      <c r="H169" s="66">
        <f t="shared" si="110"/>
        <v>192.01600000000005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20.879999999999939</v>
      </c>
      <c r="O169" s="13">
        <f>N169*VLOOKUP('Données projet'!$B$9,Paramètres!$A$1:$I$89,3,0)*VLOOKUP('Données projet'!$B$9,Paramètres!$A$1:$I$89,5,0)</f>
        <v>18.892223999999942</v>
      </c>
      <c r="P169" s="13">
        <f t="shared" si="141"/>
        <v>6.184089977612083</v>
      </c>
      <c r="Q169" s="20">
        <f t="shared" si="162"/>
        <v>43.674580177674272</v>
      </c>
      <c r="R169" s="59">
        <f t="shared" si="109"/>
        <v>332.58348124653253</v>
      </c>
      <c r="S169" s="59">
        <f ca="1">AVERAGE(OFFSET($R$3,0,0,'Données projet'!$E$9+1,1))-AVERAGE(OFFSET($H$3,0,0,'Données projet'!$E$9+1,1))</f>
        <v>737.52606296329941</v>
      </c>
      <c r="T169" s="59">
        <f t="shared" si="142"/>
        <v>270.54143254083715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309.49934336798839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309.49934336798839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512.62311359999978</v>
      </c>
      <c r="AK169" s="13">
        <f t="shared" si="164"/>
        <v>114.26934563002628</v>
      </c>
      <c r="AL169" s="20">
        <f t="shared" si="165"/>
        <v>1091.8376998256288</v>
      </c>
      <c r="AM169" s="59">
        <f t="shared" si="113"/>
        <v>1380.7466008944871</v>
      </c>
      <c r="AN169" s="59">
        <f ca="1">AVERAGE(OFFSET($AM$3,0,0,'Données projet'!$E$10+1,1))-AVERAGE(OFFSET($H$3,0,0,'Données projet'!$E$10+1,1))</f>
        <v>691.79662395689525</v>
      </c>
      <c r="AO169" s="59">
        <f t="shared" si="144"/>
        <v>213.38682325741539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126.99384560902993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126.99384560902993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689</v>
      </c>
      <c r="BE169" s="13">
        <f>BD169*VLOOKUP('Données projet'!$B$11,Paramètres!$A$1:$I$89,3,0)*VLOOKUP('Données projet'!$B$11,Paramètres!$A$1:$I$89,5,0)</f>
        <v>412.02199999999999</v>
      </c>
      <c r="BF169" s="13">
        <f t="shared" si="167"/>
        <v>94.209724877926391</v>
      </c>
      <c r="BG169" s="20">
        <f t="shared" si="168"/>
        <v>881.686920829055</v>
      </c>
      <c r="BH169" s="59">
        <f t="shared" si="116"/>
        <v>1170.5958218979133</v>
      </c>
      <c r="BI169" s="59">
        <f ca="1">AVERAGE(OFFSET($BH$3,0,0,'Données projet'!$E$11+1,1))-AVERAGE(OFFSET($H$3,0,0,'Données projet'!$E$11+1,1))</f>
        <v>525.88595000893986</v>
      </c>
      <c r="BJ169" s="59">
        <f t="shared" si="146"/>
        <v>458.67158147469263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17.823053330137409</v>
      </c>
      <c r="BQ169" s="21">
        <f>EXP(-LN(2)/25)*BQ168+(1-EXP(-LN(2)/25))/(LN(2)/25)*Calculateur!BL169*Calculateur!BN169*VLOOKUP('Données projet'!$B$11,Paramètres!$A$1:$I$89,3,0)*0.475*44/12</f>
        <v>1.3563100797887291</v>
      </c>
      <c r="BR169" s="21">
        <f>EXP(-LN(2)/2)*BR168+(1-EXP(-LN(2)/2))/(LN(2)/2)*BL169*BO169*VLOOKUP('Données projet'!$B$11,Paramètres!$A$1:$I$89,3,0)*0.475*44/12</f>
        <v>1.7741898332065102E-22</v>
      </c>
      <c r="BS169" s="22">
        <f t="shared" si="169"/>
        <v>19.17936340992614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68.793336655143165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4.4080000000000004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16.16266666666667</v>
      </c>
      <c r="H170" s="66">
        <f t="shared" si="110"/>
        <v>192.01600000000005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20.879999999999939</v>
      </c>
      <c r="O170" s="13">
        <f>N170*VLOOKUP('Données projet'!$B$9,Paramètres!$A$1:$I$89,3,0)*VLOOKUP('Données projet'!$B$9,Paramètres!$A$1:$I$89,5,0)</f>
        <v>18.892223999999942</v>
      </c>
      <c r="P170" s="13">
        <f t="shared" si="141"/>
        <v>6.184089977612083</v>
      </c>
      <c r="Q170" s="20">
        <f t="shared" si="162"/>
        <v>43.674580177674272</v>
      </c>
      <c r="R170" s="59">
        <f t="shared" si="109"/>
        <v>332.66023525477249</v>
      </c>
      <c r="S170" s="59">
        <f ca="1">AVERAGE(OFFSET($R$3,0,0,'Données projet'!$E$9+1,1))-AVERAGE(OFFSET($H$3,0,0,'Données projet'!$E$9+1,1))</f>
        <v>737.52606296329941</v>
      </c>
      <c r="T170" s="59">
        <f t="shared" si="142"/>
        <v>270.54143254083715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303.43025002050149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303.43025002050149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521.16657839999971</v>
      </c>
      <c r="AK170" s="13">
        <f t="shared" si="164"/>
        <v>115.95048002107703</v>
      </c>
      <c r="AL170" s="20">
        <f t="shared" si="165"/>
        <v>1109.6455434167087</v>
      </c>
      <c r="AM170" s="59">
        <f t="shared" si="113"/>
        <v>1398.631198493807</v>
      </c>
      <c r="AN170" s="59">
        <f ca="1">AVERAGE(OFFSET($AM$3,0,0,'Données projet'!$E$10+1,1))-AVERAGE(OFFSET($H$3,0,0,'Données projet'!$E$10+1,1))</f>
        <v>691.79662395689525</v>
      </c>
      <c r="AO170" s="59">
        <f t="shared" si="144"/>
        <v>213.38682325741539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124.50357375523427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124.50357375523427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689</v>
      </c>
      <c r="BE170" s="13">
        <f>BD170*VLOOKUP('Données projet'!$B$11,Paramètres!$A$1:$I$89,3,0)*VLOOKUP('Données projet'!$B$11,Paramètres!$A$1:$I$89,5,0)</f>
        <v>412.02199999999999</v>
      </c>
      <c r="BF170" s="13">
        <f t="shared" si="167"/>
        <v>94.209724877926391</v>
      </c>
      <c r="BG170" s="20">
        <f t="shared" si="168"/>
        <v>881.686920829055</v>
      </c>
      <c r="BH170" s="59">
        <f t="shared" si="116"/>
        <v>1170.6725759061533</v>
      </c>
      <c r="BI170" s="59">
        <f ca="1">AVERAGE(OFFSET($BH$3,0,0,'Données projet'!$E$11+1,1))-AVERAGE(OFFSET($H$3,0,0,'Données projet'!$E$11+1,1))</f>
        <v>525.88595000893986</v>
      </c>
      <c r="BJ170" s="59">
        <f t="shared" si="146"/>
        <v>458.67158147469263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17.473554125322526</v>
      </c>
      <c r="BQ170" s="21">
        <f>EXP(-LN(2)/25)*BQ169+(1-EXP(-LN(2)/25))/(LN(2)/25)*Calculateur!BL170*Calculateur!BN170*VLOOKUP('Données projet'!$B$11,Paramètres!$A$1:$I$89,3,0)*0.475*44/12</f>
        <v>1.3192217093316592</v>
      </c>
      <c r="BR170" s="21">
        <f>EXP(-LN(2)/2)*BR169+(1-EXP(-LN(2)/2))/(LN(2)/2)*BL170*BO170*VLOOKUP('Données projet'!$B$11,Paramètres!$A$1:$I$89,3,0)*0.475*44/12</f>
        <v>1.254541662172553E-22</v>
      </c>
      <c r="BS170" s="22">
        <f t="shared" si="169"/>
        <v>18.792775834654186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68.814269566481329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4.4080000000000004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16.16266666666667</v>
      </c>
      <c r="H171" s="66">
        <f t="shared" si="110"/>
        <v>192.01600000000005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20.879999999999939</v>
      </c>
      <c r="O171" s="13">
        <f>N171*VLOOKUP('Données projet'!$B$9,Paramètres!$A$1:$I$89,3,0)*VLOOKUP('Données projet'!$B$9,Paramètres!$A$1:$I$89,5,0)</f>
        <v>18.892223999999942</v>
      </c>
      <c r="P171" s="13">
        <f t="shared" si="141"/>
        <v>6.184089977612083</v>
      </c>
      <c r="Q171" s="20">
        <f t="shared" si="162"/>
        <v>43.674580177674272</v>
      </c>
      <c r="R171" s="59">
        <f t="shared" si="109"/>
        <v>332.73565775256571</v>
      </c>
      <c r="S171" s="59">
        <f ca="1">AVERAGE(OFFSET($R$3,0,0,'Données projet'!$E$9+1,1))-AVERAGE(OFFSET($H$3,0,0,'Données projet'!$E$9+1,1))</f>
        <v>737.52606296329941</v>
      </c>
      <c r="T171" s="59">
        <f t="shared" si="142"/>
        <v>270.54143254083715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297.4801678917774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297.4801678917774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529.71004319999963</v>
      </c>
      <c r="AK171" s="13">
        <f t="shared" si="164"/>
        <v>117.6284094775115</v>
      </c>
      <c r="AL171" s="20">
        <f t="shared" si="165"/>
        <v>1127.4478050799985</v>
      </c>
      <c r="AM171" s="59">
        <f t="shared" si="113"/>
        <v>1416.5088826548899</v>
      </c>
      <c r="AN171" s="59">
        <f ca="1">AVERAGE(OFFSET($AM$3,0,0,'Données projet'!$E$10+1,1))-AVERAGE(OFFSET($H$3,0,0,'Données projet'!$E$10+1,1))</f>
        <v>691.79662395689525</v>
      </c>
      <c r="AO171" s="59">
        <f t="shared" si="144"/>
        <v>213.38682325741539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122.06213461357569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122.06213461357569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689</v>
      </c>
      <c r="BE171" s="13">
        <f>BD171*VLOOKUP('Données projet'!$B$11,Paramètres!$A$1:$I$89,3,0)*VLOOKUP('Données projet'!$B$11,Paramètres!$A$1:$I$89,5,0)</f>
        <v>412.02199999999999</v>
      </c>
      <c r="BF171" s="13">
        <f t="shared" si="167"/>
        <v>94.209724877926391</v>
      </c>
      <c r="BG171" s="20">
        <f t="shared" si="168"/>
        <v>881.686920829055</v>
      </c>
      <c r="BH171" s="59">
        <f t="shared" si="116"/>
        <v>1170.7479984039464</v>
      </c>
      <c r="BI171" s="59">
        <f ca="1">AVERAGE(OFFSET($BH$3,0,0,'Données projet'!$E$11+1,1))-AVERAGE(OFFSET($H$3,0,0,'Données projet'!$E$11+1,1))</f>
        <v>525.88595000893986</v>
      </c>
      <c r="BJ171" s="59">
        <f t="shared" si="146"/>
        <v>458.67158147469263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17.130908386740597</v>
      </c>
      <c r="BQ171" s="21">
        <f>EXP(-LN(2)/25)*BQ170+(1-EXP(-LN(2)/25))/(LN(2)/25)*Calculateur!BL171*Calculateur!BN171*VLOOKUP('Données projet'!$B$11,Paramètres!$A$1:$I$89,3,0)*0.475*44/12</f>
        <v>1.2831475223151303</v>
      </c>
      <c r="BR171" s="21">
        <f>EXP(-LN(2)/2)*BR170+(1-EXP(-LN(2)/2))/(LN(2)/2)*BL171*BO171*VLOOKUP('Données projet'!$B$11,Paramètres!$A$1:$I$89,3,0)*0.475*44/12</f>
        <v>8.8709491660325511E-23</v>
      </c>
      <c r="BS171" s="22">
        <f t="shared" si="169"/>
        <v>18.414055909055726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68.834839338606756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4.4080000000000004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16.16266666666667</v>
      </c>
      <c r="H172" s="66">
        <f t="shared" si="110"/>
        <v>192.01600000000005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20.879999999999939</v>
      </c>
      <c r="O172" s="13">
        <f>N172*VLOOKUP('Données projet'!$B$9,Paramètres!$A$1:$I$89,3,0)*VLOOKUP('Données projet'!$B$9,Paramètres!$A$1:$I$89,5,0)</f>
        <v>18.892223999999942</v>
      </c>
      <c r="P172" s="13">
        <f t="shared" si="141"/>
        <v>6.184089977612083</v>
      </c>
      <c r="Q172" s="20">
        <f t="shared" si="162"/>
        <v>43.674580177674272</v>
      </c>
      <c r="R172" s="59">
        <f t="shared" si="109"/>
        <v>332.80977183864172</v>
      </c>
      <c r="S172" s="59">
        <f ca="1">AVERAGE(OFFSET($R$3,0,0,'Données projet'!$E$9+1,1))-AVERAGE(OFFSET($H$3,0,0,'Données projet'!$E$9+1,1))</f>
        <v>737.52606296329941</v>
      </c>
      <c r="T172" s="59">
        <f t="shared" si="142"/>
        <v>270.54143254083715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291.64676324440586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291.64676324440586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538.25350799999956</v>
      </c>
      <c r="AK172" s="13">
        <f t="shared" si="164"/>
        <v>119.30319165807148</v>
      </c>
      <c r="AL172" s="20">
        <f t="shared" si="165"/>
        <v>1145.2445852378071</v>
      </c>
      <c r="AM172" s="59">
        <f t="shared" si="113"/>
        <v>1434.3797768987745</v>
      </c>
      <c r="AN172" s="59">
        <f ca="1">AVERAGE(OFFSET($AM$3,0,0,'Données projet'!$E$10+1,1))-AVERAGE(OFFSET($H$3,0,0,'Données projet'!$E$10+1,1))</f>
        <v>691.79662395689525</v>
      </c>
      <c r="AO172" s="59">
        <f t="shared" si="144"/>
        <v>213.38682325741539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119.6685706043542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119.6685706043542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689</v>
      </c>
      <c r="BE172" s="13">
        <f>BD172*VLOOKUP('Données projet'!$B$11,Paramètres!$A$1:$I$89,3,0)*VLOOKUP('Données projet'!$B$11,Paramètres!$A$1:$I$89,5,0)</f>
        <v>412.02199999999999</v>
      </c>
      <c r="BF172" s="13">
        <f t="shared" si="167"/>
        <v>94.209724877926391</v>
      </c>
      <c r="BG172" s="20">
        <f t="shared" si="168"/>
        <v>881.686920829055</v>
      </c>
      <c r="BH172" s="59">
        <f t="shared" si="116"/>
        <v>1170.8221124900224</v>
      </c>
      <c r="BI172" s="59">
        <f ca="1">AVERAGE(OFFSET($BH$3,0,0,'Données projet'!$E$11+1,1))-AVERAGE(OFFSET($H$3,0,0,'Données projet'!$E$11+1,1))</f>
        <v>525.88595000893986</v>
      </c>
      <c r="BJ172" s="59">
        <f t="shared" si="146"/>
        <v>458.67158147469263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16.794981722098996</v>
      </c>
      <c r="BQ172" s="21">
        <f>EXP(-LN(2)/25)*BQ171+(1-EXP(-LN(2)/25))/(LN(2)/25)*Calculateur!BL172*Calculateur!BN172*VLOOKUP('Données projet'!$B$11,Paramètres!$A$1:$I$89,3,0)*0.475*44/12</f>
        <v>1.2480597858396276</v>
      </c>
      <c r="BR172" s="21">
        <f>EXP(-LN(2)/2)*BR171+(1-EXP(-LN(2)/2))/(LN(2)/2)*BL172*BO172*VLOOKUP('Données projet'!$B$11,Paramètres!$A$1:$I$89,3,0)*0.475*44/12</f>
        <v>6.2727083108627652E-23</v>
      </c>
      <c r="BS172" s="22">
        <f t="shared" si="169"/>
        <v>18.043041507938625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68.855052271172951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4.4080000000000004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16.16266666666667</v>
      </c>
      <c r="H173" s="66">
        <f t="shared" si="110"/>
        <v>192.01600000000005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20.879999999999939</v>
      </c>
      <c r="O173" s="13">
        <f>N173*VLOOKUP('Données projet'!$B$9,Paramètres!$A$1:$I$89,3,0)*VLOOKUP('Données projet'!$B$9,Paramètres!$A$1:$I$89,5,0)</f>
        <v>18.892223999999942</v>
      </c>
      <c r="P173" s="13">
        <f t="shared" si="141"/>
        <v>6.184089977612083</v>
      </c>
      <c r="Q173" s="20">
        <f t="shared" si="162"/>
        <v>43.674580177674272</v>
      </c>
      <c r="R173" s="59">
        <f t="shared" si="109"/>
        <v>332.88260021101854</v>
      </c>
      <c r="S173" s="59">
        <f ca="1">AVERAGE(OFFSET($R$3,0,0,'Données projet'!$E$9+1,1))-AVERAGE(OFFSET($H$3,0,0,'Données projet'!$E$9+1,1))</f>
        <v>737.52606296329941</v>
      </c>
      <c r="T173" s="59">
        <f t="shared" si="142"/>
        <v>270.54143254083715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285.92774810414375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285.92774810414375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546.79697279999959</v>
      </c>
      <c r="AK173" s="13">
        <f t="shared" si="164"/>
        <v>120.97488228613159</v>
      </c>
      <c r="AL173" s="20">
        <f t="shared" si="165"/>
        <v>1163.0359809416784</v>
      </c>
      <c r="AM173" s="59">
        <f t="shared" si="113"/>
        <v>1452.2440009750226</v>
      </c>
      <c r="AN173" s="59">
        <f ca="1">AVERAGE(OFFSET($AM$3,0,0,'Données projet'!$E$10+1,1))-AVERAGE(OFFSET($H$3,0,0,'Données projet'!$E$10+1,1))</f>
        <v>691.79662395689525</v>
      </c>
      <c r="AO173" s="59">
        <f t="shared" si="144"/>
        <v>213.38682325741539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117.32194292542366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117.32194292542366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689</v>
      </c>
      <c r="BE173" s="13">
        <f>BD173*VLOOKUP('Données projet'!$B$11,Paramètres!$A$1:$I$89,3,0)*VLOOKUP('Données projet'!$B$11,Paramètres!$A$1:$I$89,5,0)</f>
        <v>412.02199999999999</v>
      </c>
      <c r="BF173" s="13">
        <f t="shared" si="167"/>
        <v>94.209724877926391</v>
      </c>
      <c r="BG173" s="20">
        <f t="shared" si="168"/>
        <v>881.686920829055</v>
      </c>
      <c r="BH173" s="59">
        <f t="shared" si="116"/>
        <v>1170.8949408623994</v>
      </c>
      <c r="BI173" s="59">
        <f ca="1">AVERAGE(OFFSET($BH$3,0,0,'Données projet'!$E$11+1,1))-AVERAGE(OFFSET($H$3,0,0,'Données projet'!$E$11+1,1))</f>
        <v>525.88595000893986</v>
      </c>
      <c r="BJ173" s="59">
        <f t="shared" si="146"/>
        <v>458.67158147469263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16.465642374455982</v>
      </c>
      <c r="BQ173" s="21">
        <f>EXP(-LN(2)/25)*BQ172+(1-EXP(-LN(2)/25))/(LN(2)/25)*Calculateur!BL173*Calculateur!BN173*VLOOKUP('Données projet'!$B$11,Paramètres!$A$1:$I$89,3,0)*0.475*44/12</f>
        <v>1.2139315253632315</v>
      </c>
      <c r="BR173" s="21">
        <f>EXP(-LN(2)/2)*BR172+(1-EXP(-LN(2)/2))/(LN(2)/2)*BL173*BO173*VLOOKUP('Données projet'!$B$11,Paramètres!$A$1:$I$89,3,0)*0.475*44/12</f>
        <v>4.4354745830162755E-23</v>
      </c>
      <c r="BS173" s="22">
        <f t="shared" si="169"/>
        <v>17.679573899819214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68.87491455454844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4.4080000000000004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16.16266666666667</v>
      </c>
      <c r="H174" s="66">
        <f t="shared" si="110"/>
        <v>192.01600000000005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20.879999999999939</v>
      </c>
      <c r="O174" s="13">
        <f>N174*VLOOKUP('Données projet'!$B$9,Paramètres!$A$1:$I$89,3,0)*VLOOKUP('Données projet'!$B$9,Paramètres!$A$1:$I$89,5,0)</f>
        <v>18.892223999999942</v>
      </c>
      <c r="P174" s="13">
        <f t="shared" si="141"/>
        <v>6.184089977612083</v>
      </c>
      <c r="Q174" s="20">
        <f t="shared" si="162"/>
        <v>43.674580177674272</v>
      </c>
      <c r="R174" s="59">
        <f t="shared" si="109"/>
        <v>332.95416517395449</v>
      </c>
      <c r="S174" s="59">
        <f ca="1">AVERAGE(OFFSET($R$3,0,0,'Données projet'!$E$9+1,1))-AVERAGE(OFFSET($H$3,0,0,'Données projet'!$E$9+1,1))</f>
        <v>737.52606296329941</v>
      </c>
      <c r="T174" s="59">
        <f t="shared" si="142"/>
        <v>270.54143254083715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280.32087936252736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280.32087936252736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555.34043759999952</v>
      </c>
      <c r="AK174" s="13">
        <f t="shared" si="164"/>
        <v>122.64353524386648</v>
      </c>
      <c r="AL174" s="20">
        <f t="shared" si="165"/>
        <v>1180.8220860363999</v>
      </c>
      <c r="AM174" s="59">
        <f t="shared" si="113"/>
        <v>1470.1016710326801</v>
      </c>
      <c r="AN174" s="59">
        <f ca="1">AVERAGE(OFFSET($AM$3,0,0,'Données projet'!$E$10+1,1))-AVERAGE(OFFSET($H$3,0,0,'Données projet'!$E$10+1,1))</f>
        <v>691.79662395689525</v>
      </c>
      <c r="AO174" s="59">
        <f t="shared" si="144"/>
        <v>213.38682325741539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115.02133118397539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115.02133118397539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689</v>
      </c>
      <c r="BE174" s="13">
        <f>BD174*VLOOKUP('Données projet'!$B$11,Paramètres!$A$1:$I$89,3,0)*VLOOKUP('Données projet'!$B$11,Paramètres!$A$1:$I$89,5,0)</f>
        <v>412.02199999999999</v>
      </c>
      <c r="BF174" s="13">
        <f t="shared" si="167"/>
        <v>94.209724877926391</v>
      </c>
      <c r="BG174" s="20">
        <f t="shared" si="168"/>
        <v>881.686920829055</v>
      </c>
      <c r="BH174" s="59">
        <f t="shared" si="116"/>
        <v>1170.9665058253352</v>
      </c>
      <c r="BI174" s="59">
        <f ca="1">AVERAGE(OFFSET($BH$3,0,0,'Données projet'!$E$11+1,1))-AVERAGE(OFFSET($H$3,0,0,'Données projet'!$E$11+1,1))</f>
        <v>525.88595000893986</v>
      </c>
      <c r="BJ174" s="59">
        <f t="shared" si="146"/>
        <v>458.67158147469263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16.142761170543078</v>
      </c>
      <c r="BQ174" s="21">
        <f>EXP(-LN(2)/25)*BQ173+(1-EXP(-LN(2)/25))/(LN(2)/25)*Calculateur!BL174*Calculateur!BN174*VLOOKUP('Données projet'!$B$11,Paramètres!$A$1:$I$89,3,0)*0.475*44/12</f>
        <v>1.1807365039642894</v>
      </c>
      <c r="BR174" s="21">
        <f>EXP(-LN(2)/2)*BR173+(1-EXP(-LN(2)/2))/(LN(2)/2)*BL174*BO174*VLOOKUP('Données projet'!$B$11,Paramètres!$A$1:$I$89,3,0)*0.475*44/12</f>
        <v>3.1363541554313826E-23</v>
      </c>
      <c r="BS174" s="22">
        <f t="shared" si="169"/>
        <v>17.323497674507369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68.894432271712787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4.4080000000000004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16.16266666666667</v>
      </c>
      <c r="H175" s="66">
        <f t="shared" si="110"/>
        <v>192.01600000000005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20.879999999999939</v>
      </c>
      <c r="O175" s="13">
        <f>N175*VLOOKUP('Données projet'!$B$9,Paramètres!$A$1:$I$89,3,0)*VLOOKUP('Données projet'!$B$9,Paramètres!$A$1:$I$89,5,0)</f>
        <v>18.892223999999942</v>
      </c>
      <c r="P175" s="13">
        <f t="shared" si="141"/>
        <v>6.184089977612083</v>
      </c>
      <c r="Q175" s="20">
        <f t="shared" si="162"/>
        <v>43.674580177674272</v>
      </c>
      <c r="R175" s="59">
        <f t="shared" si="109"/>
        <v>333.02448864477878</v>
      </c>
      <c r="S175" s="59">
        <f ca="1">AVERAGE(OFFSET($R$3,0,0,'Données projet'!$E$9+1,1))-AVERAGE(OFFSET($H$3,0,0,'Données projet'!$E$9+1,1))</f>
        <v>737.52606296329941</v>
      </c>
      <c r="T175" s="59">
        <f t="shared" si="142"/>
        <v>270.54143254083715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274.82395789708187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274.82395789708187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563.88390239999944</v>
      </c>
      <c r="AK175" s="13">
        <f t="shared" si="164"/>
        <v>124.30920266045823</v>
      </c>
      <c r="AL175" s="20">
        <f t="shared" si="165"/>
        <v>1198.6029913136304</v>
      </c>
      <c r="AM175" s="59">
        <f t="shared" si="113"/>
        <v>1487.9528997807349</v>
      </c>
      <c r="AN175" s="59">
        <f ca="1">AVERAGE(OFFSET($AM$3,0,0,'Données projet'!$E$10+1,1))-AVERAGE(OFFSET($H$3,0,0,'Données projet'!$E$10+1,1))</f>
        <v>691.79662395689525</v>
      </c>
      <c r="AO175" s="59">
        <f t="shared" si="144"/>
        <v>213.38682325741539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112.76583303554231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112.76583303554231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689</v>
      </c>
      <c r="BE175" s="13">
        <f>BD175*VLOOKUP('Données projet'!$B$11,Paramètres!$A$1:$I$89,3,0)*VLOOKUP('Données projet'!$B$11,Paramètres!$A$1:$I$89,5,0)</f>
        <v>412.02199999999999</v>
      </c>
      <c r="BF175" s="13">
        <f t="shared" si="167"/>
        <v>94.209724877926391</v>
      </c>
      <c r="BG175" s="20">
        <f t="shared" si="168"/>
        <v>881.686920829055</v>
      </c>
      <c r="BH175" s="59">
        <f t="shared" si="116"/>
        <v>1171.0368292961596</v>
      </c>
      <c r="BI175" s="59">
        <f ca="1">AVERAGE(OFFSET($BH$3,0,0,'Données projet'!$E$11+1,1))-AVERAGE(OFFSET($H$3,0,0,'Données projet'!$E$11+1,1))</f>
        <v>525.88595000893986</v>
      </c>
      <c r="BJ175" s="59">
        <f t="shared" si="146"/>
        <v>458.67158147469263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15.826211470100819</v>
      </c>
      <c r="BQ175" s="21">
        <f>EXP(-LN(2)/25)*BQ174+(1-EXP(-LN(2)/25))/(LN(2)/25)*Calculateur!BL175*Calculateur!BN175*VLOOKUP('Données projet'!$B$11,Paramètres!$A$1:$I$89,3,0)*0.475*44/12</f>
        <v>1.1484492021711519</v>
      </c>
      <c r="BR175" s="21">
        <f>EXP(-LN(2)/2)*BR174+(1-EXP(-LN(2)/2))/(LN(2)/2)*BL175*BO175*VLOOKUP('Données projet'!$B$11,Paramètres!$A$1:$I$89,3,0)*0.475*44/12</f>
        <v>2.2177372915081378E-23</v>
      </c>
      <c r="BS175" s="22">
        <f t="shared" si="169"/>
        <v>16.97466067227197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68.913611400119422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4.4080000000000004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16.16266666666667</v>
      </c>
      <c r="H176" s="66">
        <f t="shared" si="110"/>
        <v>192.01600000000005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20.879999999999939</v>
      </c>
      <c r="O176" s="13">
        <f>N176*VLOOKUP('Données projet'!$B$9,Paramètres!$A$1:$I$89,3,0)*VLOOKUP('Données projet'!$B$9,Paramètres!$A$1:$I$89,5,0)</f>
        <v>18.892223999999942</v>
      </c>
      <c r="P176" s="13">
        <f t="shared" si="141"/>
        <v>6.184089977612083</v>
      </c>
      <c r="Q176" s="20">
        <f t="shared" si="162"/>
        <v>43.674580177674272</v>
      </c>
      <c r="R176" s="59">
        <f t="shared" si="109"/>
        <v>333.09359216060403</v>
      </c>
      <c r="S176" s="59">
        <f ca="1">AVERAGE(OFFSET($R$3,0,0,'Données projet'!$E$9+1,1))-AVERAGE(OFFSET($H$3,0,0,'Données projet'!$E$9+1,1))</f>
        <v>737.52606296329941</v>
      </c>
      <c r="T176" s="59">
        <f t="shared" si="142"/>
        <v>270.54143254083715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269.43482770878273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269.43482770878273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572.42736719999937</v>
      </c>
      <c r="AK176" s="13">
        <f t="shared" si="164"/>
        <v>125.97193499480747</v>
      </c>
      <c r="AL176" s="20">
        <f t="shared" si="165"/>
        <v>1216.3787846559553</v>
      </c>
      <c r="AM176" s="59">
        <f t="shared" si="113"/>
        <v>1505.7977966388851</v>
      </c>
      <c r="AN176" s="59">
        <f ca="1">AVERAGE(OFFSET($AM$3,0,0,'Données projet'!$E$10+1,1))-AVERAGE(OFFSET($H$3,0,0,'Données projet'!$E$10+1,1))</f>
        <v>691.79662395689525</v>
      </c>
      <c r="AO176" s="59">
        <f t="shared" si="144"/>
        <v>213.38682325741539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110.55456383008199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110.55456383008199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689</v>
      </c>
      <c r="BE176" s="13">
        <f>BD176*VLOOKUP('Données projet'!$B$11,Paramètres!$A$1:$I$89,3,0)*VLOOKUP('Données projet'!$B$11,Paramètres!$A$1:$I$89,5,0)</f>
        <v>412.02199999999999</v>
      </c>
      <c r="BF176" s="13">
        <f t="shared" si="167"/>
        <v>94.209724877926391</v>
      </c>
      <c r="BG176" s="20">
        <f t="shared" si="168"/>
        <v>881.686920829055</v>
      </c>
      <c r="BH176" s="59">
        <f t="shared" si="116"/>
        <v>1171.1059328119848</v>
      </c>
      <c r="BI176" s="59">
        <f ca="1">AVERAGE(OFFSET($BH$3,0,0,'Données projet'!$E$11+1,1))-AVERAGE(OFFSET($H$3,0,0,'Données projet'!$E$11+1,1))</f>
        <v>525.88595000893986</v>
      </c>
      <c r="BJ176" s="59">
        <f t="shared" si="146"/>
        <v>458.67158147469263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15.51586911620798</v>
      </c>
      <c r="BQ176" s="21">
        <f>EXP(-LN(2)/25)*BQ175+(1-EXP(-LN(2)/25))/(LN(2)/25)*Calculateur!BL176*Calculateur!BN176*VLOOKUP('Données projet'!$B$11,Paramètres!$A$1:$I$89,3,0)*0.475*44/12</f>
        <v>1.117044798343463</v>
      </c>
      <c r="BR176" s="21">
        <f>EXP(-LN(2)/2)*BR175+(1-EXP(-LN(2)/2))/(LN(2)/2)*BL176*BO176*VLOOKUP('Données projet'!$B$11,Paramètres!$A$1:$I$89,3,0)*0.475*44/12</f>
        <v>1.5681770777156913E-23</v>
      </c>
      <c r="BS176" s="22">
        <f t="shared" si="169"/>
        <v>16.632913914551445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68.932457813526298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4.4080000000000004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16.16266666666667</v>
      </c>
      <c r="H177" s="66">
        <f t="shared" si="110"/>
        <v>192.01600000000005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20.879999999999939</v>
      </c>
      <c r="O177" s="13">
        <f>N177*VLOOKUP('Données projet'!$B$9,Paramètres!$A$1:$I$89,3,0)*VLOOKUP('Données projet'!$B$9,Paramètres!$A$1:$I$89,5,0)</f>
        <v>18.892223999999942</v>
      </c>
      <c r="P177" s="13">
        <f t="shared" si="141"/>
        <v>6.184089977612083</v>
      </c>
      <c r="Q177" s="20">
        <f t="shared" si="162"/>
        <v>43.674580177674272</v>
      </c>
      <c r="R177" s="59">
        <f t="shared" si="109"/>
        <v>333.16149688492203</v>
      </c>
      <c r="S177" s="59">
        <f ca="1">AVERAGE(OFFSET($R$3,0,0,'Données projet'!$E$9+1,1))-AVERAGE(OFFSET($H$3,0,0,'Données projet'!$E$9+1,1))</f>
        <v>737.52606296329941</v>
      </c>
      <c r="T177" s="59">
        <f t="shared" si="142"/>
        <v>270.54143254083715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264.15137507643129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264.15137507643129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580.9708319999994</v>
      </c>
      <c r="AK177" s="13">
        <f t="shared" si="164"/>
        <v>127.63178111316594</v>
      </c>
      <c r="AL177" s="20">
        <f t="shared" si="165"/>
        <v>1234.1495511720962</v>
      </c>
      <c r="AM177" s="59">
        <f t="shared" si="113"/>
        <v>1523.6364678793439</v>
      </c>
      <c r="AN177" s="59">
        <f ca="1">AVERAGE(OFFSET($AM$3,0,0,'Données projet'!$E$10+1,1))-AVERAGE(OFFSET($H$3,0,0,'Données projet'!$E$10+1,1))</f>
        <v>691.79662395689525</v>
      </c>
      <c r="AO177" s="59">
        <f t="shared" si="144"/>
        <v>213.38682325741539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205.53683780282853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205.53683780282853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689</v>
      </c>
      <c r="BE177" s="13">
        <f>BD177*VLOOKUP('Données projet'!$B$11,Paramètres!$A$1:$I$89,3,0)*VLOOKUP('Données projet'!$B$11,Paramètres!$A$1:$I$89,5,0)</f>
        <v>412.02199999999999</v>
      </c>
      <c r="BF177" s="13">
        <f t="shared" si="167"/>
        <v>94.209724877926391</v>
      </c>
      <c r="BG177" s="20">
        <f t="shared" si="168"/>
        <v>881.686920829055</v>
      </c>
      <c r="BH177" s="59">
        <f t="shared" si="116"/>
        <v>1171.1738375363027</v>
      </c>
      <c r="BI177" s="59">
        <f ca="1">AVERAGE(OFFSET($BH$3,0,0,'Données projet'!$E$11+1,1))-AVERAGE(OFFSET($H$3,0,0,'Données projet'!$E$11+1,1))</f>
        <v>525.88595000893986</v>
      </c>
      <c r="BJ177" s="59">
        <f t="shared" si="146"/>
        <v>458.67158147469263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15.211612386584836</v>
      </c>
      <c r="BQ177" s="21">
        <f>EXP(-LN(2)/25)*BQ176+(1-EXP(-LN(2)/25))/(LN(2)/25)*Calculateur!BL177*Calculateur!BN177*VLOOKUP('Données projet'!$B$11,Paramètres!$A$1:$I$89,3,0)*0.475*44/12</f>
        <v>1.0864991495899281</v>
      </c>
      <c r="BR177" s="21">
        <f>EXP(-LN(2)/2)*BR176+(1-EXP(-LN(2)/2))/(LN(2)/2)*BL177*BO177*VLOOKUP('Données projet'!$B$11,Paramètres!$A$1:$I$89,3,0)*0.475*44/12</f>
        <v>1.1088686457540689E-23</v>
      </c>
      <c r="BS177" s="22">
        <f t="shared" si="169"/>
        <v>16.298111536174765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68.950977283794842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4.4080000000000004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16.16266666666667</v>
      </c>
      <c r="H178" s="66">
        <f t="shared" si="110"/>
        <v>192.01600000000005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20.879999999999939</v>
      </c>
      <c r="O178" s="13">
        <f>N178*VLOOKUP('Données projet'!$B$9,Paramètres!$A$1:$I$89,3,0)*VLOOKUP('Données projet'!$B$9,Paramètres!$A$1:$I$89,5,0)</f>
        <v>18.892223999999942</v>
      </c>
      <c r="P178" s="13">
        <f t="shared" si="141"/>
        <v>6.184089977612083</v>
      </c>
      <c r="Q178" s="20">
        <f t="shared" si="162"/>
        <v>43.674580177674272</v>
      </c>
      <c r="R178" s="59">
        <f t="shared" si="109"/>
        <v>333.22822361408521</v>
      </c>
      <c r="S178" s="59">
        <f ca="1">AVERAGE(OFFSET($R$3,0,0,'Données projet'!$E$9+1,1))-AVERAGE(OFFSET($H$3,0,0,'Données projet'!$E$9+1,1))</f>
        <v>737.52606296329941</v>
      </c>
      <c r="T178" s="59">
        <f t="shared" si="142"/>
        <v>270.54143254083715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258.97152772761234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258.97152772761234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374.43556799999936</v>
      </c>
      <c r="AK178" s="13">
        <f t="shared" si="164"/>
        <v>86.574116251768999</v>
      </c>
      <c r="AL178" s="20">
        <f t="shared" si="165"/>
        <v>802.92520007182975</v>
      </c>
      <c r="AM178" s="59">
        <f t="shared" si="113"/>
        <v>1092.4788435082407</v>
      </c>
      <c r="AN178" s="59">
        <f ca="1">AVERAGE(OFFSET($AM$3,0,0,'Données projet'!$E$10+1,1))-AVERAGE(OFFSET($H$3,0,0,'Données projet'!$E$10+1,1))</f>
        <v>691.79662395689525</v>
      </c>
      <c r="AO178" s="59">
        <f t="shared" si="144"/>
        <v>213.38682325741539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201.50638577860735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201.50638577860735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689</v>
      </c>
      <c r="BE178" s="13">
        <f>BD178*VLOOKUP('Données projet'!$B$11,Paramètres!$A$1:$I$89,3,0)*VLOOKUP('Données projet'!$B$11,Paramètres!$A$1:$I$89,5,0)</f>
        <v>412.02199999999999</v>
      </c>
      <c r="BF178" s="13">
        <f t="shared" si="167"/>
        <v>94.209724877926391</v>
      </c>
      <c r="BG178" s="20">
        <f t="shared" si="168"/>
        <v>881.686920829055</v>
      </c>
      <c r="BH178" s="59">
        <f t="shared" si="116"/>
        <v>1171.240564265466</v>
      </c>
      <c r="BI178" s="59">
        <f ca="1">AVERAGE(OFFSET($BH$3,0,0,'Données projet'!$E$11+1,1))-AVERAGE(OFFSET($H$3,0,0,'Données projet'!$E$11+1,1))</f>
        <v>525.88595000893986</v>
      </c>
      <c r="BJ178" s="59">
        <f t="shared" si="146"/>
        <v>458.67158147469263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14.913321945851321</v>
      </c>
      <c r="BQ178" s="21">
        <f>EXP(-LN(2)/25)*BQ177+(1-EXP(-LN(2)/25))/(LN(2)/25)*Calculateur!BL178*Calculateur!BN178*VLOOKUP('Données projet'!$B$11,Paramètres!$A$1:$I$89,3,0)*0.475*44/12</f>
        <v>1.0567887732078844</v>
      </c>
      <c r="BR178" s="21">
        <f>EXP(-LN(2)/2)*BR177+(1-EXP(-LN(2)/2))/(LN(2)/2)*BL178*BO178*VLOOKUP('Données projet'!$B$11,Paramètres!$A$1:$I$89,3,0)*0.475*44/12</f>
        <v>7.8408853885784565E-24</v>
      </c>
      <c r="BS178" s="22">
        <f t="shared" si="169"/>
        <v>15.970110719059205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68.969175482657533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4.4080000000000004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16.16266666666667</v>
      </c>
      <c r="H179" s="66">
        <f t="shared" si="110"/>
        <v>192.01600000000005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20.879999999999939</v>
      </c>
      <c r="O179" s="13">
        <f>N179*VLOOKUP('Données projet'!$B$9,Paramètres!$A$1:$I$89,3,0)*VLOOKUP('Données projet'!$B$9,Paramètres!$A$1:$I$89,5,0)</f>
        <v>18.892223999999942</v>
      </c>
      <c r="P179" s="13">
        <f t="shared" si="141"/>
        <v>6.184089977612083</v>
      </c>
      <c r="Q179" s="20">
        <f t="shared" si="162"/>
        <v>43.674580177674272</v>
      </c>
      <c r="R179" s="59">
        <f t="shared" si="109"/>
        <v>333.29379278367622</v>
      </c>
      <c r="S179" s="59">
        <f ca="1">AVERAGE(OFFSET($R$3,0,0,'Données projet'!$E$9+1,1))-AVERAGE(OFFSET($H$3,0,0,'Données projet'!$E$9+1,1))</f>
        <v>737.52606296329941</v>
      </c>
      <c r="T179" s="59">
        <f t="shared" si="142"/>
        <v>270.54143254083715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253.89325402590882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253.89325402590882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372.27543599999939</v>
      </c>
      <c r="AK179" s="13">
        <f t="shared" si="164"/>
        <v>86.132654506536269</v>
      </c>
      <c r="AL179" s="20">
        <f t="shared" si="165"/>
        <v>798.39409096554948</v>
      </c>
      <c r="AM179" s="59">
        <f t="shared" si="113"/>
        <v>1088.0133035715514</v>
      </c>
      <c r="AN179" s="59">
        <f ca="1">AVERAGE(OFFSET($AM$3,0,0,'Données projet'!$E$10+1,1))-AVERAGE(OFFSET($H$3,0,0,'Données projet'!$E$10+1,1))</f>
        <v>691.79662395689525</v>
      </c>
      <c r="AO179" s="59">
        <f t="shared" si="144"/>
        <v>213.38682325741539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197.55496846024815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197.55496846024815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689</v>
      </c>
      <c r="BE179" s="13">
        <f>BD179*VLOOKUP('Données projet'!$B$11,Paramètres!$A$1:$I$89,3,0)*VLOOKUP('Données projet'!$B$11,Paramètres!$A$1:$I$89,5,0)</f>
        <v>412.02199999999999</v>
      </c>
      <c r="BF179" s="13">
        <f t="shared" si="167"/>
        <v>94.209724877926391</v>
      </c>
      <c r="BG179" s="20">
        <f t="shared" si="168"/>
        <v>881.686920829055</v>
      </c>
      <c r="BH179" s="59">
        <f t="shared" si="116"/>
        <v>1171.3061334350568</v>
      </c>
      <c r="BI179" s="59">
        <f ca="1">AVERAGE(OFFSET($BH$3,0,0,'Données projet'!$E$11+1,1))-AVERAGE(OFFSET($H$3,0,0,'Données projet'!$E$11+1,1))</f>
        <v>525.88595000893986</v>
      </c>
      <c r="BJ179" s="59">
        <f t="shared" si="146"/>
        <v>458.67158147469263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14.620880798721386</v>
      </c>
      <c r="BQ179" s="21">
        <f>EXP(-LN(2)/25)*BQ178+(1-EXP(-LN(2)/25))/(LN(2)/25)*Calculateur!BL179*Calculateur!BN179*VLOOKUP('Données projet'!$B$11,Paramètres!$A$1:$I$89,3,0)*0.475*44/12</f>
        <v>1.0278908286304085</v>
      </c>
      <c r="BR179" s="21">
        <f>EXP(-LN(2)/2)*BR178+(1-EXP(-LN(2)/2))/(LN(2)/2)*BL179*BO179*VLOOKUP('Données projet'!$B$11,Paramètres!$A$1:$I$89,3,0)*0.475*44/12</f>
        <v>5.5443432287703444E-24</v>
      </c>
      <c r="BS179" s="22">
        <f t="shared" si="169"/>
        <v>15.648771627351794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68.987057983455074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4.4080000000000004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16.16266666666667</v>
      </c>
      <c r="H180" s="66">
        <f t="shared" si="110"/>
        <v>192.01600000000005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20.879999999999939</v>
      </c>
      <c r="O180" s="13">
        <f>N180*VLOOKUP('Données projet'!$B$9,Paramètres!$A$1:$I$89,3,0)*VLOOKUP('Données projet'!$B$9,Paramètres!$A$1:$I$89,5,0)</f>
        <v>18.892223999999942</v>
      </c>
      <c r="P180" s="13">
        <f t="shared" si="141"/>
        <v>6.184089977612083</v>
      </c>
      <c r="Q180" s="20">
        <f t="shared" si="162"/>
        <v>43.674580177674272</v>
      </c>
      <c r="R180" s="59">
        <f t="shared" si="109"/>
        <v>333.35822447476539</v>
      </c>
      <c r="S180" s="59">
        <f ca="1">AVERAGE(OFFSET($R$3,0,0,'Données projet'!$E$9+1,1))-AVERAGE(OFFSET($H$3,0,0,'Données projet'!$E$9+1,1))</f>
        <v>737.52606296329941</v>
      </c>
      <c r="T180" s="59">
        <f t="shared" si="142"/>
        <v>270.54143254083715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248.91456217405459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248.91456217405459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370.11530399999941</v>
      </c>
      <c r="AK180" s="13">
        <f t="shared" si="164"/>
        <v>85.69089449017487</v>
      </c>
      <c r="AL180" s="20">
        <f t="shared" si="165"/>
        <v>793.86246237038677</v>
      </c>
      <c r="AM180" s="59">
        <f t="shared" si="113"/>
        <v>1083.5461066674779</v>
      </c>
      <c r="AN180" s="59">
        <f ca="1">AVERAGE(OFFSET($AM$3,0,0,'Données projet'!$E$10+1,1))-AVERAGE(OFFSET($H$3,0,0,'Données projet'!$E$10+1,1))</f>
        <v>691.79662395689525</v>
      </c>
      <c r="AO180" s="59">
        <f t="shared" si="144"/>
        <v>213.38682325741539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245.78668118690868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245.78668118690868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689</v>
      </c>
      <c r="BE180" s="13">
        <f>BD180*VLOOKUP('Données projet'!$B$11,Paramètres!$A$1:$I$89,3,0)*VLOOKUP('Données projet'!$B$11,Paramètres!$A$1:$I$89,5,0)</f>
        <v>412.02199999999999</v>
      </c>
      <c r="BF180" s="13">
        <f t="shared" si="167"/>
        <v>94.209724877926391</v>
      </c>
      <c r="BG180" s="20">
        <f t="shared" si="168"/>
        <v>881.686920829055</v>
      </c>
      <c r="BH180" s="59">
        <f t="shared" si="116"/>
        <v>1171.3705651261462</v>
      </c>
      <c r="BI180" s="59">
        <f ca="1">AVERAGE(OFFSET($BH$3,0,0,'Données projet'!$E$11+1,1))-AVERAGE(OFFSET($H$3,0,0,'Données projet'!$E$11+1,1))</f>
        <v>525.88595000893986</v>
      </c>
      <c r="BJ180" s="59">
        <f t="shared" si="146"/>
        <v>458.67158147469263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14.33417424411518</v>
      </c>
      <c r="BQ180" s="21">
        <f>EXP(-LN(2)/25)*BQ179+(1-EXP(-LN(2)/25))/(LN(2)/25)*Calculateur!BL180*Calculateur!BN180*VLOOKUP('Données projet'!$B$11,Paramètres!$A$1:$I$89,3,0)*0.475*44/12</f>
        <v>0.99978309986708058</v>
      </c>
      <c r="BR180" s="21">
        <f>EXP(-LN(2)/2)*BR179+(1-EXP(-LN(2)/2))/(LN(2)/2)*BL180*BO180*VLOOKUP('Données projet'!$B$11,Paramètres!$A$1:$I$89,3,0)*0.475*44/12</f>
        <v>3.9204426942892283E-24</v>
      </c>
      <c r="BS180" s="22">
        <f t="shared" si="169"/>
        <v>15.333957343982261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69.004630262843037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4.4080000000000004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16.16266666666667</v>
      </c>
      <c r="H181" s="66">
        <f t="shared" si="110"/>
        <v>192.01600000000005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20.879999999999939</v>
      </c>
      <c r="O181" s="13">
        <f>N181*VLOOKUP('Données projet'!$B$9,Paramètres!$A$1:$I$89,3,0)*VLOOKUP('Données projet'!$B$9,Paramètres!$A$1:$I$89,5,0)</f>
        <v>18.892223999999942</v>
      </c>
      <c r="P181" s="13">
        <f t="shared" si="141"/>
        <v>6.184089977612083</v>
      </c>
      <c r="Q181" s="20">
        <f t="shared" si="162"/>
        <v>43.674580177674272</v>
      </c>
      <c r="R181" s="59">
        <f t="shared" si="109"/>
        <v>333.42153842006189</v>
      </c>
      <c r="S181" s="59">
        <f ca="1">AVERAGE(OFFSET($R$3,0,0,'Données projet'!$E$9+1,1))-AVERAGE(OFFSET($H$3,0,0,'Données projet'!$E$9+1,1))</f>
        <v>737.52606296329941</v>
      </c>
      <c r="T181" s="59">
        <f t="shared" si="142"/>
        <v>270.54143254083715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244.03349943271306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244.03349943271306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259.80583199999938</v>
      </c>
      <c r="AK181" s="13">
        <f t="shared" si="164"/>
        <v>62.680987385657332</v>
      </c>
      <c r="AL181" s="20">
        <f t="shared" si="165"/>
        <v>561.66454376335207</v>
      </c>
      <c r="AM181" s="59">
        <f t="shared" si="113"/>
        <v>851.41150200573975</v>
      </c>
      <c r="AN181" s="59">
        <f ca="1">AVERAGE(OFFSET($AM$3,0,0,'Données projet'!$E$10+1,1))-AVERAGE(OFFSET($H$3,0,0,'Données projet'!$E$10+1,1))</f>
        <v>691.79662395689525</v>
      </c>
      <c r="AO181" s="59">
        <f t="shared" si="144"/>
        <v>213.38682325741539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240.96695428390603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240.96695428390603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689</v>
      </c>
      <c r="BE181" s="13">
        <f>BD181*VLOOKUP('Données projet'!$B$11,Paramètres!$A$1:$I$89,3,0)*VLOOKUP('Données projet'!$B$11,Paramètres!$A$1:$I$89,5,0)</f>
        <v>412.02199999999999</v>
      </c>
      <c r="BF181" s="13">
        <f t="shared" si="167"/>
        <v>94.209724877926391</v>
      </c>
      <c r="BG181" s="20">
        <f t="shared" si="168"/>
        <v>881.686920829055</v>
      </c>
      <c r="BH181" s="59">
        <f t="shared" si="116"/>
        <v>1171.4338790714426</v>
      </c>
      <c r="BI181" s="59">
        <f ca="1">AVERAGE(OFFSET($BH$3,0,0,'Données projet'!$E$11+1,1))-AVERAGE(OFFSET($H$3,0,0,'Données projet'!$E$11+1,1))</f>
        <v>525.88595000893986</v>
      </c>
      <c r="BJ181" s="59">
        <f t="shared" si="146"/>
        <v>458.67158147469263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14.053089830171073</v>
      </c>
      <c r="BQ181" s="21">
        <f>EXP(-LN(2)/25)*BQ180+(1-EXP(-LN(2)/25))/(LN(2)/25)*Calculateur!BL181*Calculateur!BN181*VLOOKUP('Données projet'!$B$11,Paramètres!$A$1:$I$89,3,0)*0.475*44/12</f>
        <v>0.97244397842490704</v>
      </c>
      <c r="BR181" s="21">
        <f>EXP(-LN(2)/2)*BR180+(1-EXP(-LN(2)/2))/(LN(2)/2)*BL181*BO181*VLOOKUP('Données projet'!$B$11,Paramètres!$A$1:$I$89,3,0)*0.475*44/12</f>
        <v>2.7721716143851722E-24</v>
      </c>
      <c r="BS181" s="22">
        <f t="shared" si="169"/>
        <v>15.025533808595981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69.021897702469346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4.4080000000000004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16.16266666666667</v>
      </c>
      <c r="H182" s="66">
        <f t="shared" si="110"/>
        <v>192.01600000000005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20.879999999999939</v>
      </c>
      <c r="O182" s="13">
        <f>N182*VLOOKUP('Données projet'!$B$9,Paramètres!$A$1:$I$89,3,0)*VLOOKUP('Données projet'!$B$9,Paramètres!$A$1:$I$89,5,0)</f>
        <v>18.892223999999942</v>
      </c>
      <c r="P182" s="13">
        <f t="shared" si="141"/>
        <v>6.184089977612083</v>
      </c>
      <c r="Q182" s="20">
        <f t="shared" si="162"/>
        <v>43.674580177674272</v>
      </c>
      <c r="R182" s="59">
        <f t="shared" si="109"/>
        <v>333.48375400995627</v>
      </c>
      <c r="S182" s="59">
        <f ca="1">AVERAGE(OFFSET($R$3,0,0,'Données projet'!$E$9+1,1))-AVERAGE(OFFSET($H$3,0,0,'Données projet'!$E$9+1,1))</f>
        <v>737.52606296329941</v>
      </c>
      <c r="T182" s="59">
        <f t="shared" si="142"/>
        <v>270.54143254083715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239.2481513545749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239.2481513545749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259.11116399999935</v>
      </c>
      <c r="AK182" s="13">
        <f t="shared" si="164"/>
        <v>62.532876295377314</v>
      </c>
      <c r="AL182" s="20">
        <f t="shared" si="165"/>
        <v>560.19670351444768</v>
      </c>
      <c r="AM182" s="59">
        <f t="shared" si="113"/>
        <v>850.00587734672968</v>
      </c>
      <c r="AN182" s="59">
        <f ca="1">AVERAGE(OFFSET($AM$3,0,0,'Données projet'!$E$10+1,1))-AVERAGE(OFFSET($H$3,0,0,'Données projet'!$E$10+1,1))</f>
        <v>691.79662395689525</v>
      </c>
      <c r="AO182" s="59">
        <f t="shared" si="144"/>
        <v>213.38682325741539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236.24173928572813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236.24173928572813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689</v>
      </c>
      <c r="BE182" s="13">
        <f>BD182*VLOOKUP('Données projet'!$B$11,Paramètres!$A$1:$I$89,3,0)*VLOOKUP('Données projet'!$B$11,Paramètres!$A$1:$I$89,5,0)</f>
        <v>412.02199999999999</v>
      </c>
      <c r="BF182" s="13">
        <f t="shared" si="167"/>
        <v>94.209724877926391</v>
      </c>
      <c r="BG182" s="20">
        <f t="shared" si="168"/>
        <v>881.686920829055</v>
      </c>
      <c r="BH182" s="59">
        <f t="shared" si="116"/>
        <v>1171.4960946613369</v>
      </c>
      <c r="BI182" s="59">
        <f ca="1">AVERAGE(OFFSET($BH$3,0,0,'Données projet'!$E$11+1,1))-AVERAGE(OFFSET($H$3,0,0,'Données projet'!$E$11+1,1))</f>
        <v>525.88595000893986</v>
      </c>
      <c r="BJ182" s="59">
        <f t="shared" si="146"/>
        <v>458.67158147469263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13.777517310139846</v>
      </c>
      <c r="BQ182" s="21">
        <f>EXP(-LN(2)/25)*BQ181+(1-EXP(-LN(2)/25))/(LN(2)/25)*Calculateur!BL182*Calculateur!BN182*VLOOKUP('Données projet'!$B$11,Paramètres!$A$1:$I$89,3,0)*0.475*44/12</f>
        <v>0.94585244669627166</v>
      </c>
      <c r="BR182" s="21">
        <f>EXP(-LN(2)/2)*BR181+(1-EXP(-LN(2)/2))/(LN(2)/2)*BL182*BO182*VLOOKUP('Données projet'!$B$11,Paramètres!$A$1:$I$89,3,0)*0.475*44/12</f>
        <v>1.9602213471446141E-24</v>
      </c>
      <c r="BS182" s="22">
        <f t="shared" si="169"/>
        <v>14.723369756836117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69.038865590622365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4.4080000000000004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16.16266666666667</v>
      </c>
      <c r="H183" s="66">
        <f t="shared" si="110"/>
        <v>192.01600000000005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20.879999999999939</v>
      </c>
      <c r="O183" s="13">
        <f>N183*VLOOKUP('Données projet'!$B$9,Paramètres!$A$1:$I$89,3,0)*VLOOKUP('Données projet'!$B$9,Paramètres!$A$1:$I$89,5,0)</f>
        <v>18.892223999999942</v>
      </c>
      <c r="P183" s="13">
        <f t="shared" si="141"/>
        <v>6.184089977612083</v>
      </c>
      <c r="Q183" s="20">
        <f t="shared" si="162"/>
        <v>43.674580177674272</v>
      </c>
      <c r="R183" s="59">
        <f t="shared" si="109"/>
        <v>333.54489029845922</v>
      </c>
      <c r="S183" s="59">
        <f ca="1">AVERAGE(OFFSET($R$3,0,0,'Données projet'!$E$9+1,1))-AVERAGE(OFFSET($H$3,0,0,'Données projet'!$E$9+1,1))</f>
        <v>737.52606296329941</v>
      </c>
      <c r="T183" s="59">
        <f t="shared" si="142"/>
        <v>270.54143254083715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234.55664103347493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234.55664103347493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258.41649599999937</v>
      </c>
      <c r="AK183" s="13">
        <f t="shared" si="164"/>
        <v>62.384718977635956</v>
      </c>
      <c r="AL183" s="20">
        <f t="shared" si="165"/>
        <v>558.72878275271478</v>
      </c>
      <c r="AM183" s="59">
        <f t="shared" si="113"/>
        <v>848.59909287349979</v>
      </c>
      <c r="AN183" s="59">
        <f ca="1">AVERAGE(OFFSET($AM$3,0,0,'Données projet'!$E$10+1,1))-AVERAGE(OFFSET($H$3,0,0,'Données projet'!$E$10+1,1))</f>
        <v>691.79662395689525</v>
      </c>
      <c r="AO183" s="59">
        <f t="shared" si="144"/>
        <v>213.38682325741539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266.76545287724872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266.76545287724872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689</v>
      </c>
      <c r="BE183" s="13">
        <f>BD183*VLOOKUP('Données projet'!$B$11,Paramètres!$A$1:$I$89,3,0)*VLOOKUP('Données projet'!$B$11,Paramètres!$A$1:$I$89,5,0)</f>
        <v>412.02199999999999</v>
      </c>
      <c r="BF183" s="13">
        <f t="shared" si="167"/>
        <v>94.209724877926391</v>
      </c>
      <c r="BG183" s="20">
        <f t="shared" si="168"/>
        <v>881.686920829055</v>
      </c>
      <c r="BH183" s="59">
        <f t="shared" si="116"/>
        <v>1171.55723094984</v>
      </c>
      <c r="BI183" s="59">
        <f ca="1">AVERAGE(OFFSET($BH$3,0,0,'Données projet'!$E$11+1,1))-AVERAGE(OFFSET($H$3,0,0,'Données projet'!$E$11+1,1))</f>
        <v>525.88595000893986</v>
      </c>
      <c r="BJ183" s="59">
        <f t="shared" si="146"/>
        <v>458.67158147469263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13.507348599143791</v>
      </c>
      <c r="BQ183" s="21">
        <f>EXP(-LN(2)/25)*BQ182+(1-EXP(-LN(2)/25))/(LN(2)/25)*Calculateur!BL183*Calculateur!BN183*VLOOKUP('Données projet'!$B$11,Paramètres!$A$1:$I$89,3,0)*0.475*44/12</f>
        <v>0.91998806180114368</v>
      </c>
      <c r="BR183" s="21">
        <f>EXP(-LN(2)/2)*BR182+(1-EXP(-LN(2)/2))/(LN(2)/2)*BL183*BO183*VLOOKUP('Données projet'!$B$11,Paramètres!$A$1:$I$89,3,0)*0.475*44/12</f>
        <v>1.3860858071925861E-24</v>
      </c>
      <c r="BS183" s="22">
        <f t="shared" si="169"/>
        <v>14.427336660944935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69.055539123850437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4.4080000000000004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16.16266666666667</v>
      </c>
      <c r="H184" s="66">
        <f t="shared" si="110"/>
        <v>192.01600000000005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20.879999999999939</v>
      </c>
      <c r="O184" s="13">
        <f>N184*VLOOKUP('Données projet'!$B$9,Paramètres!$A$1:$I$89,3,0)*VLOOKUP('Données projet'!$B$9,Paramètres!$A$1:$I$89,5,0)</f>
        <v>18.892223999999942</v>
      </c>
      <c r="P184" s="13">
        <f t="shared" si="141"/>
        <v>6.184089977612083</v>
      </c>
      <c r="Q184" s="20">
        <f t="shared" si="162"/>
        <v>43.674580177674272</v>
      </c>
      <c r="R184" s="59">
        <f t="shared" si="109"/>
        <v>333.60496600903684</v>
      </c>
      <c r="S184" s="59">
        <f ca="1">AVERAGE(OFFSET($R$3,0,0,'Données projet'!$E$9+1,1))-AVERAGE(OFFSET($H$3,0,0,'Données projet'!$E$9+1,1))</f>
        <v>737.52606296329941</v>
      </c>
      <c r="T184" s="59">
        <f t="shared" si="142"/>
        <v>270.54143254083715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229.95712836823299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229.95712836823299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183.70637999999934</v>
      </c>
      <c r="AK184" s="13">
        <f t="shared" si="164"/>
        <v>46.145806722261682</v>
      </c>
      <c r="AL184" s="20">
        <f t="shared" si="165"/>
        <v>400.32589187460462</v>
      </c>
      <c r="AM184" s="59">
        <f t="shared" si="113"/>
        <v>690.25627770596725</v>
      </c>
      <c r="AN184" s="59">
        <f ca="1">AVERAGE(OFFSET($AM$3,0,0,'Données projet'!$E$10+1,1))-AVERAGE(OFFSET($H$3,0,0,'Données projet'!$E$10+1,1))</f>
        <v>691.79662395689525</v>
      </c>
      <c r="AO184" s="59">
        <f t="shared" si="144"/>
        <v>213.38682325741539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261.53434505718576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261.53434505718576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689</v>
      </c>
      <c r="BE184" s="13">
        <f>BD184*VLOOKUP('Données projet'!$B$11,Paramètres!$A$1:$I$89,3,0)*VLOOKUP('Données projet'!$B$11,Paramètres!$A$1:$I$89,5,0)</f>
        <v>412.02199999999999</v>
      </c>
      <c r="BF184" s="13">
        <f t="shared" si="167"/>
        <v>94.209724877926391</v>
      </c>
      <c r="BG184" s="20">
        <f t="shared" si="168"/>
        <v>881.686920829055</v>
      </c>
      <c r="BH184" s="59">
        <f t="shared" si="116"/>
        <v>1171.6173066604176</v>
      </c>
      <c r="BI184" s="59">
        <f ca="1">AVERAGE(OFFSET($BH$3,0,0,'Données projet'!$E$11+1,1))-AVERAGE(OFFSET($H$3,0,0,'Données projet'!$E$11+1,1))</f>
        <v>525.88595000893986</v>
      </c>
      <c r="BJ184" s="59">
        <f t="shared" si="146"/>
        <v>458.67158147469263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13.242477731783726</v>
      </c>
      <c r="BQ184" s="21">
        <f>EXP(-LN(2)/25)*BQ183+(1-EXP(-LN(2)/25))/(LN(2)/25)*Calculateur!BL184*Calculateur!BN184*VLOOKUP('Données projet'!$B$11,Paramètres!$A$1:$I$89,3,0)*0.475*44/12</f>
        <v>0.89483093987112194</v>
      </c>
      <c r="BR184" s="21">
        <f>EXP(-LN(2)/2)*BR183+(1-EXP(-LN(2)/2))/(LN(2)/2)*BL184*BO184*VLOOKUP('Données projet'!$B$11,Paramètres!$A$1:$I$89,3,0)*0.475*44/12</f>
        <v>9.8011067357230706E-25</v>
      </c>
      <c r="BS184" s="22">
        <f t="shared" si="169"/>
        <v>14.137308671654848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69.071923408553431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4.4080000000000004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16.16266666666667</v>
      </c>
      <c r="H185" s="66">
        <f t="shared" si="110"/>
        <v>192.01600000000005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20.879999999999939</v>
      </c>
      <c r="O185" s="13">
        <f>N185*VLOOKUP('Données projet'!$B$9,Paramètres!$A$1:$I$89,3,0)*VLOOKUP('Données projet'!$B$9,Paramètres!$A$1:$I$89,5,0)</f>
        <v>18.892223999999942</v>
      </c>
      <c r="P185" s="13">
        <f t="shared" si="141"/>
        <v>6.184089977612083</v>
      </c>
      <c r="Q185" s="20">
        <f t="shared" si="162"/>
        <v>43.674580177674272</v>
      </c>
      <c r="R185" s="59">
        <f t="shared" si="109"/>
        <v>333.66399954034523</v>
      </c>
      <c r="S185" s="59">
        <f ca="1">AVERAGE(OFFSET($R$3,0,0,'Données projet'!$E$9+1,1))-AVERAGE(OFFSET($H$3,0,0,'Données projet'!$E$9+1,1))</f>
        <v>737.52606296329941</v>
      </c>
      <c r="T185" s="59">
        <f t="shared" si="142"/>
        <v>270.54143254083715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225.44780934093072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225.44780934093072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182.95461599999933</v>
      </c>
      <c r="AK185" s="13">
        <f t="shared" si="164"/>
        <v>45.978909612801665</v>
      </c>
      <c r="AL185" s="20">
        <f t="shared" si="165"/>
        <v>398.72589044229511</v>
      </c>
      <c r="AM185" s="59">
        <f t="shared" si="113"/>
        <v>688.71530980496607</v>
      </c>
      <c r="AN185" s="59">
        <f ca="1">AVERAGE(OFFSET($AM$3,0,0,'Données projet'!$E$10+1,1))-AVERAGE(OFFSET($H$3,0,0,'Données projet'!$E$10+1,1))</f>
        <v>691.79662395689525</v>
      </c>
      <c r="AO185" s="59">
        <f t="shared" si="144"/>
        <v>213.38682325741539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256.4058160708135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256.4058160708135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689</v>
      </c>
      <c r="BE185" s="13">
        <f>BD185*VLOOKUP('Données projet'!$B$11,Paramètres!$A$1:$I$89,3,0)*VLOOKUP('Données projet'!$B$11,Paramètres!$A$1:$I$89,5,0)</f>
        <v>412.02199999999999</v>
      </c>
      <c r="BF185" s="13">
        <f t="shared" si="167"/>
        <v>94.209724877926391</v>
      </c>
      <c r="BG185" s="20">
        <f t="shared" si="168"/>
        <v>881.686920829055</v>
      </c>
      <c r="BH185" s="59">
        <f t="shared" si="116"/>
        <v>1171.676340191726</v>
      </c>
      <c r="BI185" s="59">
        <f ca="1">AVERAGE(OFFSET($BH$3,0,0,'Données projet'!$E$11+1,1))-AVERAGE(OFFSET($H$3,0,0,'Données projet'!$E$11+1,1))</f>
        <v>525.88595000893986</v>
      </c>
      <c r="BJ185" s="59">
        <f t="shared" si="146"/>
        <v>458.67158147469263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12.982800820577316</v>
      </c>
      <c r="BQ185" s="21">
        <f>EXP(-LN(2)/25)*BQ184+(1-EXP(-LN(2)/25))/(LN(2)/25)*Calculateur!BL185*Calculateur!BN185*VLOOKUP('Données projet'!$B$11,Paramètres!$A$1:$I$89,3,0)*0.475*44/12</f>
        <v>0.87036174076323214</v>
      </c>
      <c r="BR185" s="21">
        <f>EXP(-LN(2)/2)*BR184+(1-EXP(-LN(2)/2))/(LN(2)/2)*BL185*BO185*VLOOKUP('Données projet'!$B$11,Paramètres!$A$1:$I$89,3,0)*0.475*44/12</f>
        <v>6.9304290359629305E-25</v>
      </c>
      <c r="BS185" s="22">
        <f t="shared" si="169"/>
        <v>13.853162561340548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69.08802346254663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4.4080000000000004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16.16266666666667</v>
      </c>
      <c r="H186" s="66">
        <f t="shared" si="110"/>
        <v>192.01600000000005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20.879999999999939</v>
      </c>
      <c r="O186" s="13">
        <f>N186*VLOOKUP('Données projet'!$B$9,Paramètres!$A$1:$I$89,3,0)*VLOOKUP('Données projet'!$B$9,Paramètres!$A$1:$I$89,5,0)</f>
        <v>18.892223999999942</v>
      </c>
      <c r="P186" s="13">
        <f t="shared" si="141"/>
        <v>6.184089977612083</v>
      </c>
      <c r="Q186" s="20">
        <f t="shared" si="162"/>
        <v>43.674580177674272</v>
      </c>
      <c r="R186" s="59">
        <f t="shared" si="109"/>
        <v>333.72200897186451</v>
      </c>
      <c r="S186" s="59">
        <f ca="1">AVERAGE(OFFSET($R$3,0,0,'Données projet'!$E$9+1,1))-AVERAGE(OFFSET($H$3,0,0,'Données projet'!$E$9+1,1))</f>
        <v>737.52606296329941</v>
      </c>
      <c r="T186" s="59">
        <f t="shared" si="142"/>
        <v>270.54143254083715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221.02691530934081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221.02691530934081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182.20285199999935</v>
      </c>
      <c r="AK186" s="13">
        <f t="shared" si="164"/>
        <v>45.811932658823196</v>
      </c>
      <c r="AL186" s="20">
        <f t="shared" si="165"/>
        <v>397.12574994744926</v>
      </c>
      <c r="AM186" s="59">
        <f t="shared" si="113"/>
        <v>687.1731787416395</v>
      </c>
      <c r="AN186" s="59">
        <f ca="1">AVERAGE(OFFSET($AM$3,0,0,'Données projet'!$E$10+1,1))-AVERAGE(OFFSET($H$3,0,0,'Données projet'!$E$10+1,1))</f>
        <v>691.79662395689525</v>
      </c>
      <c r="AO186" s="59">
        <f t="shared" si="144"/>
        <v>213.38682325741539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328.16797788074763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328.16797788074763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689</v>
      </c>
      <c r="BE186" s="13">
        <f>BD186*VLOOKUP('Données projet'!$B$11,Paramètres!$A$1:$I$89,3,0)*VLOOKUP('Données projet'!$B$11,Paramètres!$A$1:$I$89,5,0)</f>
        <v>412.02199999999999</v>
      </c>
      <c r="BF186" s="13">
        <f t="shared" si="167"/>
        <v>94.209724877926391</v>
      </c>
      <c r="BG186" s="20">
        <f t="shared" si="168"/>
        <v>881.686920829055</v>
      </c>
      <c r="BH186" s="59">
        <f t="shared" si="116"/>
        <v>1171.7343496232452</v>
      </c>
      <c r="BI186" s="59">
        <f ca="1">AVERAGE(OFFSET($BH$3,0,0,'Données projet'!$E$11+1,1))-AVERAGE(OFFSET($H$3,0,0,'Données projet'!$E$11+1,1))</f>
        <v>525.88595000893986</v>
      </c>
      <c r="BJ186" s="59">
        <f t="shared" si="146"/>
        <v>458.67158147469263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12.728216015212386</v>
      </c>
      <c r="BQ186" s="21">
        <f>EXP(-LN(2)/25)*BQ185+(1-EXP(-LN(2)/25))/(LN(2)/25)*Calculateur!BL186*Calculateur!BN186*VLOOKUP('Données projet'!$B$11,Paramètres!$A$1:$I$89,3,0)*0.475*44/12</f>
        <v>0.84656165319172683</v>
      </c>
      <c r="BR186" s="21">
        <f>EXP(-LN(2)/2)*BR185+(1-EXP(-LN(2)/2))/(LN(2)/2)*BL186*BO186*VLOOKUP('Données projet'!$B$11,Paramètres!$A$1:$I$89,3,0)*0.475*44/12</f>
        <v>4.9005533678615353E-25</v>
      </c>
      <c r="BS186" s="22">
        <f t="shared" si="169"/>
        <v>13.574777668404113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69.103844216597338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4.4080000000000004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16.16266666666667</v>
      </c>
      <c r="H187" s="66">
        <f t="shared" si="110"/>
        <v>192.01600000000005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20.879999999999939</v>
      </c>
      <c r="O187" s="13">
        <f>N187*VLOOKUP('Données projet'!$B$9,Paramètres!$A$1:$I$89,3,0)*VLOOKUP('Données projet'!$B$9,Paramètres!$A$1:$I$89,5,0)</f>
        <v>18.892223999999942</v>
      </c>
      <c r="P187" s="13">
        <f t="shared" si="141"/>
        <v>6.184089977612083</v>
      </c>
      <c r="Q187" s="20">
        <f t="shared" si="162"/>
        <v>43.674580177674272</v>
      </c>
      <c r="R187" s="59">
        <f t="shared" si="109"/>
        <v>333.77901206943665</v>
      </c>
      <c r="S187" s="59">
        <f ca="1">AVERAGE(OFFSET($R$3,0,0,'Données projet'!$E$9+1,1))-AVERAGE(OFFSET($H$3,0,0,'Données projet'!$E$9+1,1))</f>
        <v>737.52606296329941</v>
      </c>
      <c r="T187" s="59">
        <f t="shared" si="142"/>
        <v>270.54143254083715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216.69271231323128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216.69271231323128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20.659235999999357</v>
      </c>
      <c r="AK187" s="13">
        <f t="shared" si="164"/>
        <v>6.6924790783679047</v>
      </c>
      <c r="AL187" s="20">
        <f t="shared" si="165"/>
        <v>47.637570428156316</v>
      </c>
      <c r="AM187" s="59">
        <f t="shared" si="113"/>
        <v>337.7420023199187</v>
      </c>
      <c r="AN187" s="59">
        <f ca="1">AVERAGE(OFFSET($AM$3,0,0,'Données projet'!$E$10+1,1))-AVERAGE(OFFSET($H$3,0,0,'Données projet'!$E$10+1,1))</f>
        <v>691.79662395689525</v>
      </c>
      <c r="AO187" s="59">
        <f t="shared" si="144"/>
        <v>213.38682325741539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321.73280399720824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321.73280399720824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689</v>
      </c>
      <c r="BE187" s="13">
        <f>BD187*VLOOKUP('Données projet'!$B$11,Paramètres!$A$1:$I$89,3,0)*VLOOKUP('Données projet'!$B$11,Paramètres!$A$1:$I$89,5,0)</f>
        <v>412.02199999999999</v>
      </c>
      <c r="BF187" s="13">
        <f t="shared" si="167"/>
        <v>94.209724877926391</v>
      </c>
      <c r="BG187" s="20">
        <f t="shared" si="168"/>
        <v>881.686920829055</v>
      </c>
      <c r="BH187" s="59">
        <f t="shared" si="116"/>
        <v>1171.7913527208175</v>
      </c>
      <c r="BI187" s="59">
        <f ca="1">AVERAGE(OFFSET($BH$3,0,0,'Données projet'!$E$11+1,1))-AVERAGE(OFFSET($H$3,0,0,'Données projet'!$E$11+1,1))</f>
        <v>525.88595000893986</v>
      </c>
      <c r="BJ187" s="59">
        <f t="shared" si="146"/>
        <v>458.67158147469263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12.478623462599264</v>
      </c>
      <c r="BQ187" s="21">
        <f>EXP(-LN(2)/25)*BQ186+(1-EXP(-LN(2)/25))/(LN(2)/25)*Calculateur!BL187*Calculateur!BN187*VLOOKUP('Données projet'!$B$11,Paramètres!$A$1:$I$89,3,0)*0.475*44/12</f>
        <v>0.82341238026645658</v>
      </c>
      <c r="BR187" s="21">
        <f>EXP(-LN(2)/2)*BR186+(1-EXP(-LN(2)/2))/(LN(2)/2)*BL187*BO187*VLOOKUP('Données projet'!$B$11,Paramètres!$A$1:$I$89,3,0)*0.475*44/12</f>
        <v>3.4652145179814653E-25</v>
      </c>
      <c r="BS187" s="22">
        <f t="shared" si="169"/>
        <v>13.30203584286572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69.119390515935194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4.4080000000000004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16.16266666666667</v>
      </c>
      <c r="H188" s="66">
        <f t="shared" si="110"/>
        <v>192.01600000000005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20.879999999999939</v>
      </c>
      <c r="O188" s="13">
        <f>N188*VLOOKUP('Données projet'!$B$9,Paramètres!$A$1:$I$89,3,0)*VLOOKUP('Données projet'!$B$9,Paramètres!$A$1:$I$89,5,0)</f>
        <v>18.892223999999942</v>
      </c>
      <c r="P188" s="13">
        <f t="shared" si="141"/>
        <v>6.184089977612083</v>
      </c>
      <c r="Q188" s="20">
        <f t="shared" si="162"/>
        <v>43.674580177674272</v>
      </c>
      <c r="R188" s="59">
        <f t="shared" si="109"/>
        <v>333.83502629070574</v>
      </c>
      <c r="S188" s="59">
        <f ca="1">AVERAGE(OFFSET($R$3,0,0,'Données projet'!$E$9+1,1))-AVERAGE(OFFSET($H$3,0,0,'Données projet'!$E$9+1,1))</f>
        <v>737.52606296329941</v>
      </c>
      <c r="T188" s="59">
        <f t="shared" si="142"/>
        <v>270.54143254083715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212.44350039427266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212.44350039427266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20.659235999999357</v>
      </c>
      <c r="AK188" s="13">
        <f t="shared" si="164"/>
        <v>6.6924790783679047</v>
      </c>
      <c r="AL188" s="20">
        <f t="shared" si="165"/>
        <v>47.637570428156316</v>
      </c>
      <c r="AM188" s="59">
        <f t="shared" si="113"/>
        <v>337.79801654118779</v>
      </c>
      <c r="AN188" s="59">
        <f ca="1">AVERAGE(OFFSET($AM$3,0,0,'Données projet'!$E$10+1,1))-AVERAGE(OFFSET($H$3,0,0,'Données projet'!$E$10+1,1))</f>
        <v>691.79662395689525</v>
      </c>
      <c r="AO188" s="59">
        <f t="shared" si="144"/>
        <v>213.38682325741539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315.42381994845658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315.42381994845658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689</v>
      </c>
      <c r="BE188" s="13">
        <f>BD188*VLOOKUP('Données projet'!$B$11,Paramètres!$A$1:$I$89,3,0)*VLOOKUP('Données projet'!$B$11,Paramètres!$A$1:$I$89,5,0)</f>
        <v>412.02199999999999</v>
      </c>
      <c r="BF188" s="13">
        <f t="shared" si="167"/>
        <v>94.209724877926391</v>
      </c>
      <c r="BG188" s="20">
        <f t="shared" si="168"/>
        <v>881.686920829055</v>
      </c>
      <c r="BH188" s="59">
        <f t="shared" si="116"/>
        <v>1171.8473669420864</v>
      </c>
      <c r="BI188" s="59">
        <f ca="1">AVERAGE(OFFSET($BH$3,0,0,'Données projet'!$E$11+1,1))-AVERAGE(OFFSET($H$3,0,0,'Données projet'!$E$11+1,1))</f>
        <v>525.88595000893986</v>
      </c>
      <c r="BJ188" s="59">
        <f t="shared" si="146"/>
        <v>458.67158147469263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12.233925267706461</v>
      </c>
      <c r="BQ188" s="21">
        <f>EXP(-LN(2)/25)*BQ187+(1-EXP(-LN(2)/25))/(LN(2)/25)*Calculateur!BL188*Calculateur!BN188*VLOOKUP('Données projet'!$B$11,Paramètres!$A$1:$I$89,3,0)*0.475*44/12</f>
        <v>0.80089612542669519</v>
      </c>
      <c r="BR188" s="21">
        <f>EXP(-LN(2)/2)*BR187+(1-EXP(-LN(2)/2))/(LN(2)/2)*BL188*BO188*VLOOKUP('Données projet'!$B$11,Paramètres!$A$1:$I$89,3,0)*0.475*44/12</f>
        <v>2.4502766839307677E-25</v>
      </c>
      <c r="BS188" s="22">
        <f t="shared" si="169"/>
        <v>13.034821393133155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69.134667121735859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4.4080000000000004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16.16266666666667</v>
      </c>
      <c r="H189" s="66">
        <f t="shared" si="110"/>
        <v>192.01600000000005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20.879999999999939</v>
      </c>
      <c r="O189" s="13">
        <f>N189*VLOOKUP('Données projet'!$B$9,Paramètres!$A$1:$I$89,3,0)*VLOOKUP('Données projet'!$B$9,Paramètres!$A$1:$I$89,5,0)</f>
        <v>18.892223999999942</v>
      </c>
      <c r="P189" s="13">
        <f t="shared" si="141"/>
        <v>6.184089977612083</v>
      </c>
      <c r="Q189" s="20">
        <f t="shared" si="162"/>
        <v>43.674580177674272</v>
      </c>
      <c r="R189" s="59">
        <f t="shared" si="109"/>
        <v>333.89006879046485</v>
      </c>
      <c r="S189" s="59">
        <f ca="1">AVERAGE(OFFSET($R$3,0,0,'Données projet'!$E$9+1,1))-AVERAGE(OFFSET($H$3,0,0,'Données projet'!$E$9+1,1))</f>
        <v>737.52606296329941</v>
      </c>
      <c r="T189" s="59">
        <f t="shared" si="142"/>
        <v>270.54143254083715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208.27761292928147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208.27761292928147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20.659235999999357</v>
      </c>
      <c r="AK189" s="13">
        <f t="shared" si="164"/>
        <v>6.6924790783679047</v>
      </c>
      <c r="AL189" s="20">
        <f t="shared" si="165"/>
        <v>47.637570428156316</v>
      </c>
      <c r="AM189" s="59">
        <f t="shared" si="113"/>
        <v>337.8530590409469</v>
      </c>
      <c r="AN189" s="59">
        <f ca="1">AVERAGE(OFFSET($AM$3,0,0,'Données projet'!$E$10+1,1))-AVERAGE(OFFSET($H$3,0,0,'Données projet'!$E$10+1,1))</f>
        <v>691.79662395689525</v>
      </c>
      <c r="AO189" s="59">
        <f t="shared" si="144"/>
        <v>213.38682325741539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309.23855122880065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309.23855122880065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689</v>
      </c>
      <c r="BE189" s="13">
        <f>BD189*VLOOKUP('Données projet'!$B$11,Paramètres!$A$1:$I$89,3,0)*VLOOKUP('Données projet'!$B$11,Paramètres!$A$1:$I$89,5,0)</f>
        <v>412.02199999999999</v>
      </c>
      <c r="BF189" s="13">
        <f t="shared" si="167"/>
        <v>94.209724877926391</v>
      </c>
      <c r="BG189" s="20">
        <f t="shared" si="168"/>
        <v>881.686920829055</v>
      </c>
      <c r="BH189" s="59">
        <f t="shared" si="116"/>
        <v>1171.9024094418455</v>
      </c>
      <c r="BI189" s="59">
        <f ca="1">AVERAGE(OFFSET($BH$3,0,0,'Données projet'!$E$11+1,1))-AVERAGE(OFFSET($H$3,0,0,'Données projet'!$E$11+1,1))</f>
        <v>525.88595000893986</v>
      </c>
      <c r="BJ189" s="59">
        <f t="shared" si="146"/>
        <v>458.67158147469263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11.994025455164342</v>
      </c>
      <c r="BQ189" s="21">
        <f>EXP(-LN(2)/25)*BQ188+(1-EXP(-LN(2)/25))/(LN(2)/25)*Calculateur!BL189*Calculateur!BN189*VLOOKUP('Données projet'!$B$11,Paramètres!$A$1:$I$89,3,0)*0.475*44/12</f>
        <v>0.77899557875960546</v>
      </c>
      <c r="BR189" s="21">
        <f>EXP(-LN(2)/2)*BR188+(1-EXP(-LN(2)/2))/(LN(2)/2)*BL189*BO189*VLOOKUP('Données projet'!$B$11,Paramètres!$A$1:$I$89,3,0)*0.475*44/12</f>
        <v>1.7326072589907326E-25</v>
      </c>
      <c r="BS189" s="22">
        <f t="shared" si="169"/>
        <v>12.773021033923948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69.149678712579245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4.4080000000000004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16.16266666666667</v>
      </c>
      <c r="H190" s="66">
        <f t="shared" si="110"/>
        <v>192.01600000000005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20.879999999999939</v>
      </c>
      <c r="O190" s="13">
        <f>N190*VLOOKUP('Données projet'!$B$9,Paramètres!$A$1:$I$89,3,0)*VLOOKUP('Données projet'!$B$9,Paramètres!$A$1:$I$89,5,0)</f>
        <v>18.892223999999942</v>
      </c>
      <c r="P190" s="13">
        <f t="shared" si="141"/>
        <v>6.184089977612083</v>
      </c>
      <c r="Q190" s="20">
        <f t="shared" si="162"/>
        <v>43.674580177674272</v>
      </c>
      <c r="R190" s="59">
        <f t="shared" si="109"/>
        <v>333.94415642590974</v>
      </c>
      <c r="S190" s="59">
        <f ca="1">AVERAGE(OFFSET($R$3,0,0,'Données projet'!$E$9+1,1))-AVERAGE(OFFSET($H$3,0,0,'Données projet'!$E$9+1,1))</f>
        <v>737.52606296329941</v>
      </c>
      <c r="T190" s="59">
        <f t="shared" si="142"/>
        <v>270.54143254083715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204.19341597653832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204.19341597653832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20.659235999999357</v>
      </c>
      <c r="AK190" s="13">
        <f t="shared" si="164"/>
        <v>6.6924790783679047</v>
      </c>
      <c r="AL190" s="20">
        <f t="shared" si="165"/>
        <v>47.637570428156316</v>
      </c>
      <c r="AM190" s="59">
        <f t="shared" si="113"/>
        <v>337.90714667639179</v>
      </c>
      <c r="AN190" s="59">
        <f ca="1">AVERAGE(OFFSET($AM$3,0,0,'Données projet'!$E$10+1,1))-AVERAGE(OFFSET($H$3,0,0,'Données projet'!$E$10+1,1))</f>
        <v>691.79662395689525</v>
      </c>
      <c r="AO190" s="59">
        <f t="shared" si="144"/>
        <v>213.38682325741539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303.17457185609572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303.17457185609572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689</v>
      </c>
      <c r="BE190" s="13">
        <f>BD190*VLOOKUP('Données projet'!$B$11,Paramètres!$A$1:$I$89,3,0)*VLOOKUP('Données projet'!$B$11,Paramètres!$A$1:$I$89,5,0)</f>
        <v>412.02199999999999</v>
      </c>
      <c r="BF190" s="13">
        <f t="shared" si="167"/>
        <v>94.209724877926391</v>
      </c>
      <c r="BG190" s="20">
        <f t="shared" si="168"/>
        <v>881.686920829055</v>
      </c>
      <c r="BH190" s="59">
        <f t="shared" si="116"/>
        <v>1171.9564970772904</v>
      </c>
      <c r="BI190" s="59">
        <f ca="1">AVERAGE(OFFSET($BH$3,0,0,'Données projet'!$E$11+1,1))-AVERAGE(OFFSET($H$3,0,0,'Données projet'!$E$11+1,1))</f>
        <v>525.88595000893986</v>
      </c>
      <c r="BJ190" s="59">
        <f t="shared" si="146"/>
        <v>458.67158147469263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11.758829931621738</v>
      </c>
      <c r="BQ190" s="21">
        <f>EXP(-LN(2)/25)*BQ189+(1-EXP(-LN(2)/25))/(LN(2)/25)*Calculateur!BL190*Calculateur!BN190*VLOOKUP('Données projet'!$B$11,Paramètres!$A$1:$I$89,3,0)*0.475*44/12</f>
        <v>0.75769390369282696</v>
      </c>
      <c r="BR190" s="21">
        <f>EXP(-LN(2)/2)*BR189+(1-EXP(-LN(2)/2))/(LN(2)/2)*BL190*BO190*VLOOKUP('Données projet'!$B$11,Paramètres!$A$1:$I$89,3,0)*0.475*44/12</f>
        <v>1.2251383419653838E-25</v>
      </c>
      <c r="BS190" s="22">
        <f t="shared" si="169"/>
        <v>12.516523835314565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69.164429885882399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4.4080000000000004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16.16266666666667</v>
      </c>
      <c r="H191" s="66">
        <f t="shared" si="110"/>
        <v>192.01600000000005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20.879999999999939</v>
      </c>
      <c r="O191" s="13">
        <f>N191*VLOOKUP('Données projet'!$B$9,Paramètres!$A$1:$I$89,3,0)*VLOOKUP('Données projet'!$B$9,Paramètres!$A$1:$I$89,5,0)</f>
        <v>18.892223999999942</v>
      </c>
      <c r="P191" s="13">
        <f t="shared" si="141"/>
        <v>6.184089977612083</v>
      </c>
      <c r="Q191" s="20">
        <f t="shared" si="162"/>
        <v>43.674580177674272</v>
      </c>
      <c r="R191" s="59">
        <f t="shared" si="109"/>
        <v>333.99730576180144</v>
      </c>
      <c r="S191" s="59">
        <f ca="1">AVERAGE(OFFSET($R$3,0,0,'Données projet'!$E$9+1,1))-AVERAGE(OFFSET($H$3,0,0,'Données projet'!$E$9+1,1))</f>
        <v>737.52606296329941</v>
      </c>
      <c r="T191" s="59">
        <f t="shared" si="142"/>
        <v>270.54143254083715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200.18930763492429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200.18930763492429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20.659235999999357</v>
      </c>
      <c r="AK191" s="13">
        <f t="shared" si="164"/>
        <v>6.6924790783679047</v>
      </c>
      <c r="AL191" s="20">
        <f t="shared" si="165"/>
        <v>47.637570428156316</v>
      </c>
      <c r="AM191" s="59">
        <f t="shared" si="113"/>
        <v>337.96029601228349</v>
      </c>
      <c r="AN191" s="59">
        <f ca="1">AVERAGE(OFFSET($AM$3,0,0,'Données projet'!$E$10+1,1))-AVERAGE(OFFSET($H$3,0,0,'Données projet'!$E$10+1,1))</f>
        <v>691.79662395689525</v>
      </c>
      <c r="AO191" s="59">
        <f t="shared" si="144"/>
        <v>213.38682325741539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297.22950342022739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297.22950342022739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689</v>
      </c>
      <c r="BE191" s="13">
        <f>BD191*VLOOKUP('Données projet'!$B$11,Paramètres!$A$1:$I$89,3,0)*VLOOKUP('Données projet'!$B$11,Paramètres!$A$1:$I$89,5,0)</f>
        <v>412.02199999999999</v>
      </c>
      <c r="BF191" s="13">
        <f t="shared" si="167"/>
        <v>94.209724877926391</v>
      </c>
      <c r="BG191" s="20">
        <f t="shared" si="168"/>
        <v>881.686920829055</v>
      </c>
      <c r="BH191" s="59">
        <f t="shared" si="116"/>
        <v>1172.0096464131821</v>
      </c>
      <c r="BI191" s="59">
        <f ca="1">AVERAGE(OFFSET($BH$3,0,0,'Données projet'!$E$11+1,1))-AVERAGE(OFFSET($H$3,0,0,'Données projet'!$E$11+1,1))</f>
        <v>525.88595000893986</v>
      </c>
      <c r="BJ191" s="59">
        <f t="shared" si="146"/>
        <v>458.67158147469263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11.528246448840701</v>
      </c>
      <c r="BQ191" s="21">
        <f>EXP(-LN(2)/25)*BQ190+(1-EXP(-LN(2)/25))/(LN(2)/25)*Calculateur!BL191*Calculateur!BN191*VLOOKUP('Données projet'!$B$11,Paramètres!$A$1:$I$89,3,0)*0.475*44/12</f>
        <v>0.73697472405095599</v>
      </c>
      <c r="BR191" s="21">
        <f>EXP(-LN(2)/2)*BR190+(1-EXP(-LN(2)/2))/(LN(2)/2)*BL191*BO191*VLOOKUP('Données projet'!$B$11,Paramètres!$A$1:$I$89,3,0)*0.475*44/12</f>
        <v>8.6630362949536631E-26</v>
      </c>
      <c r="BS191" s="22">
        <f t="shared" si="169"/>
        <v>12.265221172891657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69.178925159307411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4.4080000000000004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16.16266666666667</v>
      </c>
      <c r="H192" s="66">
        <f t="shared" si="110"/>
        <v>192.01600000000005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20.879999999999939</v>
      </c>
      <c r="O192" s="13">
        <f>N192*VLOOKUP('Données projet'!$B$9,Paramètres!$A$1:$I$89,3,0)*VLOOKUP('Données projet'!$B$9,Paramètres!$A$1:$I$89,5,0)</f>
        <v>18.892223999999942</v>
      </c>
      <c r="P192" s="13">
        <f t="shared" si="141"/>
        <v>6.184089977612083</v>
      </c>
      <c r="Q192" s="20">
        <f t="shared" si="162"/>
        <v>43.674580177674272</v>
      </c>
      <c r="R192" s="59">
        <f t="shared" si="109"/>
        <v>334.04953307553956</v>
      </c>
      <c r="S192" s="59">
        <f ca="1">AVERAGE(OFFSET($R$3,0,0,'Données projet'!$E$9+1,1))-AVERAGE(OFFSET($H$3,0,0,'Données projet'!$E$9+1,1))</f>
        <v>737.52606296329941</v>
      </c>
      <c r="T192" s="59">
        <f t="shared" si="142"/>
        <v>270.54143254083715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196.26371741562437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196.26371741562437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20.659235999999357</v>
      </c>
      <c r="AK192" s="13">
        <f t="shared" si="164"/>
        <v>6.6924790783679047</v>
      </c>
      <c r="AL192" s="20">
        <f t="shared" si="165"/>
        <v>47.637570428156316</v>
      </c>
      <c r="AM192" s="59">
        <f t="shared" si="113"/>
        <v>338.01252332602161</v>
      </c>
      <c r="AN192" s="59">
        <f ca="1">AVERAGE(OFFSET($AM$3,0,0,'Données projet'!$E$10+1,1))-AVERAGE(OFFSET($H$3,0,0,'Données projet'!$E$10+1,1))</f>
        <v>691.79662395689525</v>
      </c>
      <c r="AO192" s="59">
        <f t="shared" si="144"/>
        <v>213.38682325741539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291.40101415025271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291.40101415025271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689</v>
      </c>
      <c r="BE192" s="13">
        <f>BD192*VLOOKUP('Données projet'!$B$11,Paramètres!$A$1:$I$89,3,0)*VLOOKUP('Données projet'!$B$11,Paramètres!$A$1:$I$89,5,0)</f>
        <v>412.02199999999999</v>
      </c>
      <c r="BF192" s="13">
        <f t="shared" si="167"/>
        <v>94.209724877926391</v>
      </c>
      <c r="BG192" s="20">
        <f t="shared" si="168"/>
        <v>881.686920829055</v>
      </c>
      <c r="BH192" s="59">
        <f t="shared" si="116"/>
        <v>1172.0618737269203</v>
      </c>
      <c r="BI192" s="59">
        <f ca="1">AVERAGE(OFFSET($BH$3,0,0,'Données projet'!$E$11+1,1))-AVERAGE(OFFSET($H$3,0,0,'Données projet'!$E$11+1,1))</f>
        <v>525.88595000893986</v>
      </c>
      <c r="BJ192" s="59">
        <f t="shared" si="146"/>
        <v>458.67158147469263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11.302184567514962</v>
      </c>
      <c r="BQ192" s="21">
        <f>EXP(-LN(2)/25)*BQ191+(1-EXP(-LN(2)/25))/(LN(2)/25)*Calculateur!BL192*Calculateur!BN192*VLOOKUP('Données projet'!$B$11,Paramètres!$A$1:$I$89,3,0)*0.475*44/12</f>
        <v>0.71682211146596619</v>
      </c>
      <c r="BR192" s="21">
        <f>EXP(-LN(2)/2)*BR191+(1-EXP(-LN(2)/2))/(LN(2)/2)*BL192*BO192*VLOOKUP('Données projet'!$B$11,Paramètres!$A$1:$I$89,3,0)*0.475*44/12</f>
        <v>6.1256917098269191E-26</v>
      </c>
      <c r="BS192" s="22">
        <f t="shared" si="169"/>
        <v>12.019006678980928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69.193168972145074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4.4080000000000004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16.16266666666667</v>
      </c>
      <c r="H193" s="66">
        <f t="shared" si="110"/>
        <v>192.01600000000005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20.879999999999939</v>
      </c>
      <c r="O193" s="13">
        <f>N193*VLOOKUP('Données projet'!$B$9,Paramètres!$A$1:$I$89,3,0)*VLOOKUP('Données projet'!$B$9,Paramètres!$A$1:$I$89,5,0)</f>
        <v>18.892223999999942</v>
      </c>
      <c r="P193" s="13">
        <f t="shared" si="141"/>
        <v>6.184089977612083</v>
      </c>
      <c r="Q193" s="20">
        <f t="shared" si="162"/>
        <v>43.674580177674272</v>
      </c>
      <c r="R193" s="59">
        <f t="shared" si="109"/>
        <v>334.10085436214712</v>
      </c>
      <c r="S193" s="59">
        <f ca="1">AVERAGE(OFFSET($R$3,0,0,'Données projet'!$E$9+1,1))-AVERAGE(OFFSET($H$3,0,0,'Données projet'!$E$9+1,1))</f>
        <v>737.52606296329941</v>
      </c>
      <c r="T193" s="59">
        <f t="shared" si="142"/>
        <v>270.54143254083715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192.4151056261513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192.4151056261513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20.659235999999357</v>
      </c>
      <c r="AK193" s="13">
        <f t="shared" si="164"/>
        <v>6.6924790783679047</v>
      </c>
      <c r="AL193" s="20">
        <f t="shared" si="165"/>
        <v>47.637570428156316</v>
      </c>
      <c r="AM193" s="59">
        <f t="shared" si="113"/>
        <v>338.06384461262917</v>
      </c>
      <c r="AN193" s="59">
        <f ca="1">AVERAGE(OFFSET($AM$3,0,0,'Données projet'!$E$10+1,1))-AVERAGE(OFFSET($H$3,0,0,'Données projet'!$E$10+1,1))</f>
        <v>691.79662395689525</v>
      </c>
      <c r="AO193" s="59">
        <f t="shared" si="144"/>
        <v>213.38682325741539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285.68681799983483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285.68681799983483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689</v>
      </c>
      <c r="BE193" s="13">
        <f>BD193*VLOOKUP('Données projet'!$B$11,Paramètres!$A$1:$I$89,3,0)*VLOOKUP('Données projet'!$B$11,Paramètres!$A$1:$I$89,5,0)</f>
        <v>412.02199999999999</v>
      </c>
      <c r="BF193" s="13">
        <f t="shared" si="167"/>
        <v>94.209724877926391</v>
      </c>
      <c r="BG193" s="20">
        <f t="shared" si="168"/>
        <v>881.686920829055</v>
      </c>
      <c r="BH193" s="59">
        <f t="shared" si="116"/>
        <v>1172.1131950135277</v>
      </c>
      <c r="BI193" s="59">
        <f ca="1">AVERAGE(OFFSET($BH$3,0,0,'Données projet'!$E$11+1,1))-AVERAGE(OFFSET($H$3,0,0,'Données projet'!$E$11+1,1))</f>
        <v>525.88595000893986</v>
      </c>
      <c r="BJ193" s="59">
        <f t="shared" si="146"/>
        <v>458.67158147469263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11.080555621797888</v>
      </c>
      <c r="BQ193" s="21">
        <f>EXP(-LN(2)/25)*BQ192+(1-EXP(-LN(2)/25))/(LN(2)/25)*Calculateur!BL193*Calculateur!BN193*VLOOKUP('Données projet'!$B$11,Paramètres!$A$1:$I$89,3,0)*0.475*44/12</f>
        <v>0.69722057313189278</v>
      </c>
      <c r="BR193" s="21">
        <f>EXP(-LN(2)/2)*BR192+(1-EXP(-LN(2)/2))/(LN(2)/2)*BL193*BO193*VLOOKUP('Données projet'!$B$11,Paramètres!$A$1:$I$89,3,0)*0.475*44/12</f>
        <v>4.3315181474768316E-26</v>
      </c>
      <c r="BS193" s="22">
        <f t="shared" si="169"/>
        <v>11.777776194929782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69.207165686674415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4.4080000000000004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16.16266666666667</v>
      </c>
      <c r="H194" s="66">
        <f t="shared" si="110"/>
        <v>192.01600000000005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20.879999999999939</v>
      </c>
      <c r="O194" s="13">
        <f>N194*VLOOKUP('Données projet'!$B$9,Paramètres!$A$1:$I$89,3,0)*VLOOKUP('Données projet'!$B$9,Paramètres!$A$1:$I$89,5,0)</f>
        <v>18.892223999999942</v>
      </c>
      <c r="P194" s="13">
        <f t="shared" si="141"/>
        <v>6.184089977612083</v>
      </c>
      <c r="Q194" s="20">
        <f t="shared" si="162"/>
        <v>43.674580177674272</v>
      </c>
      <c r="R194" s="59">
        <f t="shared" si="109"/>
        <v>334.15128533916925</v>
      </c>
      <c r="S194" s="59">
        <f ca="1">AVERAGE(OFFSET($R$3,0,0,'Données projet'!$E$9+1,1))-AVERAGE(OFFSET($H$3,0,0,'Données projet'!$E$9+1,1))</f>
        <v>737.52606296329941</v>
      </c>
      <c r="T194" s="59">
        <f t="shared" si="142"/>
        <v>270.54143254083715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188.64196276644842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188.64196276644842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20.659235999999357</v>
      </c>
      <c r="AK194" s="13">
        <f t="shared" si="164"/>
        <v>6.6924790783679047</v>
      </c>
      <c r="AL194" s="20">
        <f t="shared" si="165"/>
        <v>47.637570428156316</v>
      </c>
      <c r="AM194" s="59">
        <f t="shared" si="113"/>
        <v>338.1142755896513</v>
      </c>
      <c r="AN194" s="59">
        <f ca="1">AVERAGE(OFFSET($AM$3,0,0,'Données projet'!$E$10+1,1))-AVERAGE(OFFSET($H$3,0,0,'Données projet'!$E$10+1,1))</f>
        <v>691.79662395689525</v>
      </c>
      <c r="AO194" s="59">
        <f t="shared" si="144"/>
        <v>213.38682325741539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280.0846737506111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280.0846737506111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689</v>
      </c>
      <c r="BE194" s="13">
        <f>BD194*VLOOKUP('Données projet'!$B$11,Paramètres!$A$1:$I$89,3,0)*VLOOKUP('Données projet'!$B$11,Paramètres!$A$1:$I$89,5,0)</f>
        <v>412.02199999999999</v>
      </c>
      <c r="BF194" s="13">
        <f t="shared" si="167"/>
        <v>94.209724877926391</v>
      </c>
      <c r="BG194" s="20">
        <f t="shared" si="168"/>
        <v>881.686920829055</v>
      </c>
      <c r="BH194" s="59">
        <f t="shared" si="116"/>
        <v>1172.1636259905499</v>
      </c>
      <c r="BI194" s="59">
        <f ca="1">AVERAGE(OFFSET($BH$3,0,0,'Données projet'!$E$11+1,1))-AVERAGE(OFFSET($H$3,0,0,'Données projet'!$E$11+1,1))</f>
        <v>525.88595000893986</v>
      </c>
      <c r="BJ194" s="59">
        <f t="shared" si="146"/>
        <v>458.67158147469263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10.863272684526017</v>
      </c>
      <c r="BQ194" s="21">
        <f>EXP(-LN(2)/25)*BQ193+(1-EXP(-LN(2)/25))/(LN(2)/25)*Calculateur!BL194*Calculateur!BN194*VLOOKUP('Données projet'!$B$11,Paramètres!$A$1:$I$89,3,0)*0.475*44/12</f>
        <v>0.67815503989436476</v>
      </c>
      <c r="BR194" s="21">
        <f>EXP(-LN(2)/2)*BR193+(1-EXP(-LN(2)/2))/(LN(2)/2)*BL194*BO194*VLOOKUP('Données projet'!$B$11,Paramètres!$A$1:$I$89,3,0)*0.475*44/12</f>
        <v>3.0628458549134596E-26</v>
      </c>
      <c r="BS194" s="22">
        <f t="shared" si="169"/>
        <v>11.541427724420382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69.220919589498621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4.4080000000000004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16.16266666666667</v>
      </c>
      <c r="H195" s="66">
        <f t="shared" si="110"/>
        <v>192.01600000000005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20.879999999999939</v>
      </c>
      <c r="O195" s="13">
        <f>N195*VLOOKUP('Données projet'!$B$9,Paramètres!$A$1:$I$89,3,0)*VLOOKUP('Données projet'!$B$9,Paramètres!$A$1:$I$89,5,0)</f>
        <v>18.892223999999942</v>
      </c>
      <c r="P195" s="13">
        <f t="shared" si="141"/>
        <v>6.184089977612083</v>
      </c>
      <c r="Q195" s="20">
        <f t="shared" si="162"/>
        <v>43.674580177674272</v>
      </c>
      <c r="R195" s="59">
        <f t="shared" ref="R195:R203" si="191">Q195+(I195+J195)*44/12</f>
        <v>334.20084145148684</v>
      </c>
      <c r="S195" s="59">
        <f ca="1">AVERAGE(OFFSET($R$3,0,0,'Données projet'!$E$9+1,1))-AVERAGE(OFFSET($H$3,0,0,'Données projet'!$E$9+1,1))</f>
        <v>737.52606296329941</v>
      </c>
      <c r="T195" s="59">
        <f t="shared" si="142"/>
        <v>270.54143254083715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184.94280893683438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184.94280893683438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20.659235999999357</v>
      </c>
      <c r="AK195" s="13">
        <f t="shared" si="164"/>
        <v>6.6924790783679047</v>
      </c>
      <c r="AL195" s="20">
        <f t="shared" si="165"/>
        <v>47.637570428156316</v>
      </c>
      <c r="AM195" s="59">
        <f t="shared" si="113"/>
        <v>338.16383170196889</v>
      </c>
      <c r="AN195" s="59">
        <f ca="1">AVERAGE(OFFSET($AM$3,0,0,'Données projet'!$E$10+1,1))-AVERAGE(OFFSET($H$3,0,0,'Données projet'!$E$10+1,1))</f>
        <v>691.79662395689525</v>
      </c>
      <c r="AO195" s="59">
        <f t="shared" si="144"/>
        <v>213.38682325741539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274.59238413314409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274.59238413314409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689</v>
      </c>
      <c r="BE195" s="13">
        <f>BD195*VLOOKUP('Données projet'!$B$11,Paramètres!$A$1:$I$89,3,0)*VLOOKUP('Données projet'!$B$11,Paramètres!$A$1:$I$89,5,0)</f>
        <v>412.02199999999999</v>
      </c>
      <c r="BF195" s="13">
        <f t="shared" si="167"/>
        <v>94.209724877926391</v>
      </c>
      <c r="BG195" s="20">
        <f t="shared" si="168"/>
        <v>881.686920829055</v>
      </c>
      <c r="BH195" s="59">
        <f t="shared" si="116"/>
        <v>1172.2131821028674</v>
      </c>
      <c r="BI195" s="59">
        <f ca="1">AVERAGE(OFFSET($BH$3,0,0,'Données projet'!$E$11+1,1))-AVERAGE(OFFSET($H$3,0,0,'Données projet'!$E$11+1,1))</f>
        <v>525.88595000893986</v>
      </c>
      <c r="BJ195" s="59">
        <f t="shared" si="146"/>
        <v>458.67158147469263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10.650250533124542</v>
      </c>
      <c r="BQ195" s="21">
        <f>EXP(-LN(2)/25)*BQ194+(1-EXP(-LN(2)/25))/(LN(2)/25)*Calculateur!BL195*Calculateur!BN195*VLOOKUP('Données projet'!$B$11,Paramètres!$A$1:$I$89,3,0)*0.475*44/12</f>
        <v>0.6596108546658298</v>
      </c>
      <c r="BR195" s="21">
        <f>EXP(-LN(2)/2)*BR194+(1-EXP(-LN(2)/2))/(LN(2)/2)*BL195*BO195*VLOOKUP('Données projet'!$B$11,Paramètres!$A$1:$I$89,3,0)*0.475*44/12</f>
        <v>2.1657590737384158E-26</v>
      </c>
      <c r="BS195" s="22">
        <f t="shared" si="169"/>
        <v>11.309861387790372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69.234434892857976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4.4080000000000004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16.16266666666667</v>
      </c>
      <c r="H196" s="66">
        <f t="shared" ref="H196:H203" si="192">(B196+E196+F196)*44/12+(C196+D196)*0.475*44/12</f>
        <v>192.01600000000005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20.879999999999939</v>
      </c>
      <c r="O196" s="13">
        <f>N196*VLOOKUP('Données projet'!$B$9,Paramètres!$A$1:$I$89,3,0)*VLOOKUP('Données projet'!$B$9,Paramètres!$A$1:$I$89,5,0)</f>
        <v>18.892223999999942</v>
      </c>
      <c r="P196" s="13">
        <f t="shared" si="141"/>
        <v>6.184089977612083</v>
      </c>
      <c r="Q196" s="20">
        <f t="shared" si="162"/>
        <v>43.674580177674272</v>
      </c>
      <c r="R196" s="59">
        <f t="shared" si="191"/>
        <v>334.24953787604659</v>
      </c>
      <c r="S196" s="59">
        <f ca="1">AVERAGE(OFFSET($R$3,0,0,'Données projet'!$E$9+1,1))-AVERAGE(OFFSET($H$3,0,0,'Données projet'!$E$9+1,1))</f>
        <v>737.52606296329941</v>
      </c>
      <c r="T196" s="59">
        <f t="shared" si="142"/>
        <v>270.54143254083715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181.31619325755804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181.31619325755804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20.659235999999357</v>
      </c>
      <c r="AK196" s="13">
        <f t="shared" si="164"/>
        <v>6.6924790783679047</v>
      </c>
      <c r="AL196" s="20">
        <f t="shared" si="165"/>
        <v>47.637570428156316</v>
      </c>
      <c r="AM196" s="59">
        <f t="shared" ref="AM196:AM203" si="193">AL196+(AD196+AE196)*44/12</f>
        <v>338.21252812652864</v>
      </c>
      <c r="AN196" s="59">
        <f ca="1">AVERAGE(OFFSET($AM$3,0,0,'Données projet'!$E$10+1,1))-AVERAGE(OFFSET($H$3,0,0,'Données projet'!$E$10+1,1))</f>
        <v>691.79662395689525</v>
      </c>
      <c r="AO196" s="59">
        <f t="shared" si="144"/>
        <v>213.38682325741539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269.20779496510971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269.20779496510971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689</v>
      </c>
      <c r="BE196" s="13">
        <f>BD196*VLOOKUP('Données projet'!$B$11,Paramètres!$A$1:$I$89,3,0)*VLOOKUP('Données projet'!$B$11,Paramètres!$A$1:$I$89,5,0)</f>
        <v>412.02199999999999</v>
      </c>
      <c r="BF196" s="13">
        <f t="shared" si="167"/>
        <v>94.209724877926391</v>
      </c>
      <c r="BG196" s="20">
        <f t="shared" si="168"/>
        <v>881.686920829055</v>
      </c>
      <c r="BH196" s="59">
        <f t="shared" ref="BH196:BH203" si="194">BG196+(AY196+AZ196)*44/12</f>
        <v>1172.2618785274274</v>
      </c>
      <c r="BI196" s="59">
        <f ca="1">AVERAGE(OFFSET($BH$3,0,0,'Données projet'!$E$11+1,1))-AVERAGE(OFFSET($H$3,0,0,'Données projet'!$E$11+1,1))</f>
        <v>525.88595000893986</v>
      </c>
      <c r="BJ196" s="59">
        <f t="shared" si="146"/>
        <v>458.67158147469263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10.441405616181367</v>
      </c>
      <c r="BQ196" s="21">
        <f>EXP(-LN(2)/25)*BQ195+(1-EXP(-LN(2)/25))/(LN(2)/25)*Calculateur!BL196*Calculateur!BN196*VLOOKUP('Données projet'!$B$11,Paramètres!$A$1:$I$89,3,0)*0.475*44/12</f>
        <v>0.64157376115756537</v>
      </c>
      <c r="BR196" s="21">
        <f>EXP(-LN(2)/2)*BR195+(1-EXP(-LN(2)/2))/(LN(2)/2)*BL196*BO196*VLOOKUP('Données projet'!$B$11,Paramètres!$A$1:$I$89,3,0)*0.475*44/12</f>
        <v>1.5314229274567298E-26</v>
      </c>
      <c r="BS196" s="22">
        <f t="shared" si="169"/>
        <v>11.082979377338932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69.247715735919712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4.4080000000000004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16.16266666666667</v>
      </c>
      <c r="H197" s="66">
        <f t="shared" si="192"/>
        <v>192.01600000000005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20.879999999999939</v>
      </c>
      <c r="O197" s="13">
        <f>N197*VLOOKUP('Données projet'!$B$9,Paramètres!$A$1:$I$89,3,0)*VLOOKUP('Données projet'!$B$9,Paramètres!$A$1:$I$89,5,0)</f>
        <v>18.892223999999942</v>
      </c>
      <c r="P197" s="13">
        <f t="shared" ref="P197:P203" si="203">EXP(-1.0587+0.8836*LN(O197)+0.284)</f>
        <v>6.184089977612083</v>
      </c>
      <c r="Q197" s="20">
        <f t="shared" si="162"/>
        <v>43.674580177674272</v>
      </c>
      <c r="R197" s="59">
        <f t="shared" si="191"/>
        <v>334.29738952650905</v>
      </c>
      <c r="S197" s="59">
        <f ca="1">AVERAGE(OFFSET($R$3,0,0,'Données projet'!$E$9+1,1))-AVERAGE(OFFSET($H$3,0,0,'Données projet'!$E$9+1,1))</f>
        <v>737.52606296329941</v>
      </c>
      <c r="T197" s="59">
        <f t="shared" ref="T197:T203" si="204">$T$3</f>
        <v>270.54143254083715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177.76069329973515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177.76069329973515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20.659235999999357</v>
      </c>
      <c r="AK197" s="13">
        <f t="shared" si="164"/>
        <v>6.6924790783679047</v>
      </c>
      <c r="AL197" s="20">
        <f t="shared" si="165"/>
        <v>47.637570428156316</v>
      </c>
      <c r="AM197" s="59">
        <f t="shared" si="193"/>
        <v>338.2603797769911</v>
      </c>
      <c r="AN197" s="59">
        <f ca="1">AVERAGE(OFFSET($AM$3,0,0,'Données projet'!$E$10+1,1))-AVERAGE(OFFSET($H$3,0,0,'Données projet'!$E$10+1,1))</f>
        <v>691.79662395689525</v>
      </c>
      <c r="AO197" s="59">
        <f t="shared" ref="AO197:AO203" si="205">$AO$3</f>
        <v>213.38682325741539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263.92879430638538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263.92879430638538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689</v>
      </c>
      <c r="BE197" s="13">
        <f>BD197*VLOOKUP('Données projet'!$B$11,Paramètres!$A$1:$I$89,3,0)*VLOOKUP('Données projet'!$B$11,Paramètres!$A$1:$I$89,5,0)</f>
        <v>412.02199999999999</v>
      </c>
      <c r="BF197" s="13">
        <f t="shared" si="167"/>
        <v>94.209724877926391</v>
      </c>
      <c r="BG197" s="20">
        <f t="shared" si="168"/>
        <v>881.686920829055</v>
      </c>
      <c r="BH197" s="59">
        <f t="shared" si="194"/>
        <v>1172.3097301778898</v>
      </c>
      <c r="BI197" s="59">
        <f ca="1">AVERAGE(OFFSET($BH$3,0,0,'Données projet'!$E$11+1,1))-AVERAGE(OFFSET($H$3,0,0,'Données projet'!$E$11+1,1))</f>
        <v>525.88595000893986</v>
      </c>
      <c r="BJ197" s="59">
        <f t="shared" ref="BJ197:BJ203" si="206">$BJ$3</f>
        <v>458.67158147469263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10.236656020676627</v>
      </c>
      <c r="BQ197" s="21">
        <f>EXP(-LN(2)/25)*BQ196+(1-EXP(-LN(2)/25))/(LN(2)/25)*Calculateur!BL197*Calculateur!BN197*VLOOKUP('Données projet'!$B$11,Paramètres!$A$1:$I$89,3,0)*0.475*44/12</f>
        <v>0.62402989291981403</v>
      </c>
      <c r="BR197" s="21">
        <f>EXP(-LN(2)/2)*BR196+(1-EXP(-LN(2)/2))/(LN(2)/2)*BL197*BO197*VLOOKUP('Données projet'!$B$11,Paramètres!$A$1:$I$89,3,0)*0.475*44/12</f>
        <v>1.0828795368692079E-26</v>
      </c>
      <c r="BS197" s="22">
        <f t="shared" si="169"/>
        <v>10.860685913596441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69.260766186045856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4.4080000000000004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16.16266666666667</v>
      </c>
      <c r="H198" s="66">
        <f t="shared" si="192"/>
        <v>192.01600000000005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20.879999999999939</v>
      </c>
      <c r="O198" s="13">
        <f>N198*VLOOKUP('Données projet'!$B$9,Paramètres!$A$1:$I$89,3,0)*VLOOKUP('Données projet'!$B$9,Paramètres!$A$1:$I$89,5,0)</f>
        <v>18.892223999999942</v>
      </c>
      <c r="P198" s="13">
        <f t="shared" si="203"/>
        <v>6.184089977612083</v>
      </c>
      <c r="Q198" s="20">
        <f t="shared" si="162"/>
        <v>43.674580177674272</v>
      </c>
      <c r="R198" s="59">
        <f t="shared" si="191"/>
        <v>334.34441105781633</v>
      </c>
      <c r="S198" s="59">
        <f ca="1">AVERAGE(OFFSET($R$3,0,0,'Données projet'!$E$9+1,1))-AVERAGE(OFFSET($H$3,0,0,'Données projet'!$E$9+1,1))</f>
        <v>737.52606296329941</v>
      </c>
      <c r="T198" s="59">
        <f t="shared" si="204"/>
        <v>270.54143254083715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174.27491452744434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174.27491452744434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20.659235999999357</v>
      </c>
      <c r="AK198" s="13">
        <f t="shared" si="164"/>
        <v>6.6924790783679047</v>
      </c>
      <c r="AL198" s="20">
        <f t="shared" si="165"/>
        <v>47.637570428156316</v>
      </c>
      <c r="AM198" s="59">
        <f t="shared" si="193"/>
        <v>338.30740130829838</v>
      </c>
      <c r="AN198" s="59">
        <f ca="1">AVERAGE(OFFSET($AM$3,0,0,'Données projet'!$E$10+1,1))-AVERAGE(OFFSET($H$3,0,0,'Données projet'!$E$10+1,1))</f>
        <v>691.79662395689525</v>
      </c>
      <c r="AO198" s="59">
        <f t="shared" si="205"/>
        <v>213.38682325741539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258.75331163070615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258.75331163070615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689</v>
      </c>
      <c r="BE198" s="13">
        <f>BD198*VLOOKUP('Données projet'!$B$11,Paramètres!$A$1:$I$89,3,0)*VLOOKUP('Données projet'!$B$11,Paramètres!$A$1:$I$89,5,0)</f>
        <v>412.02199999999999</v>
      </c>
      <c r="BF198" s="13">
        <f t="shared" si="167"/>
        <v>94.209724877926391</v>
      </c>
      <c r="BG198" s="20">
        <f t="shared" si="168"/>
        <v>881.686920829055</v>
      </c>
      <c r="BH198" s="59">
        <f t="shared" si="194"/>
        <v>1172.3567517091969</v>
      </c>
      <c r="BI198" s="59">
        <f ca="1">AVERAGE(OFFSET($BH$3,0,0,'Données projet'!$E$11+1,1))-AVERAGE(OFFSET($H$3,0,0,'Données projet'!$E$11+1,1))</f>
        <v>525.88595000893986</v>
      </c>
      <c r="BJ198" s="59">
        <f t="shared" si="206"/>
        <v>458.67158147469263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10.035921439854812</v>
      </c>
      <c r="BQ198" s="21">
        <f>EXP(-LN(2)/25)*BQ197+(1-EXP(-LN(2)/25))/(LN(2)/25)*Calculateur!BL198*Calculateur!BN198*VLOOKUP('Données projet'!$B$11,Paramètres!$A$1:$I$89,3,0)*0.475*44/12</f>
        <v>0.60696576268161584</v>
      </c>
      <c r="BR198" s="21">
        <f>EXP(-LN(2)/2)*BR197+(1-EXP(-LN(2)/2))/(LN(2)/2)*BL198*BO198*VLOOKUP('Données projet'!$B$11,Paramètres!$A$1:$I$89,3,0)*0.475*44/12</f>
        <v>7.6571146372836489E-27</v>
      </c>
      <c r="BS198" s="22">
        <f t="shared" si="169"/>
        <v>10.642887202536429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69.273590240038743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4.4080000000000004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16.16266666666667</v>
      </c>
      <c r="H199" s="66">
        <f t="shared" si="192"/>
        <v>192.01600000000005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20.879999999999939</v>
      </c>
      <c r="O199" s="13">
        <f>N199*VLOOKUP('Données projet'!$B$9,Paramètres!$A$1:$I$89,3,0)*VLOOKUP('Données projet'!$B$9,Paramètres!$A$1:$I$89,5,0)</f>
        <v>18.892223999999942</v>
      </c>
      <c r="P199" s="13">
        <f t="shared" si="203"/>
        <v>6.184089977612083</v>
      </c>
      <c r="Q199" s="20">
        <f t="shared" si="162"/>
        <v>43.674580177674272</v>
      </c>
      <c r="R199" s="59">
        <f t="shared" si="191"/>
        <v>334.39061687067976</v>
      </c>
      <c r="S199" s="59">
        <f ca="1">AVERAGE(OFFSET($R$3,0,0,'Données projet'!$E$9+1,1))-AVERAGE(OFFSET($H$3,0,0,'Données projet'!$E$9+1,1))</f>
        <v>737.52606296329941</v>
      </c>
      <c r="T199" s="59">
        <f t="shared" si="204"/>
        <v>270.54143254083715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170.85748975076305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170.85748975076305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20.659235999999357</v>
      </c>
      <c r="AK199" s="13">
        <f t="shared" si="164"/>
        <v>6.6924790783679047</v>
      </c>
      <c r="AL199" s="20">
        <f t="shared" si="165"/>
        <v>47.637570428156316</v>
      </c>
      <c r="AM199" s="59">
        <f t="shared" si="193"/>
        <v>338.35360712116182</v>
      </c>
      <c r="AN199" s="59">
        <f ca="1">AVERAGE(OFFSET($AM$3,0,0,'Données projet'!$E$10+1,1))-AVERAGE(OFFSET($H$3,0,0,'Données projet'!$E$10+1,1))</f>
        <v>691.79662395689525</v>
      </c>
      <c r="AO199" s="59">
        <f t="shared" si="205"/>
        <v>213.38682325741539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253.67931701356429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253.67931701356429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689</v>
      </c>
      <c r="BE199" s="13">
        <f>BD199*VLOOKUP('Données projet'!$B$11,Paramètres!$A$1:$I$89,3,0)*VLOOKUP('Données projet'!$B$11,Paramètres!$A$1:$I$89,5,0)</f>
        <v>412.02199999999999</v>
      </c>
      <c r="BF199" s="13">
        <f t="shared" si="167"/>
        <v>94.209724877926391</v>
      </c>
      <c r="BG199" s="20">
        <f t="shared" si="168"/>
        <v>881.686920829055</v>
      </c>
      <c r="BH199" s="59">
        <f t="shared" si="194"/>
        <v>1172.4029575220604</v>
      </c>
      <c r="BI199" s="59">
        <f ca="1">AVERAGE(OFFSET($BH$3,0,0,'Données projet'!$E$11+1,1))-AVERAGE(OFFSET($H$3,0,0,'Données projet'!$E$11+1,1))</f>
        <v>525.88595000893986</v>
      </c>
      <c r="BJ199" s="59">
        <f t="shared" si="206"/>
        <v>458.67158147469263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9.8391231417269083</v>
      </c>
      <c r="BQ199" s="21">
        <f>EXP(-LN(2)/25)*BQ198+(1-EXP(-LN(2)/25))/(LN(2)/25)*Calculateur!BL199*Calculateur!BN199*VLOOKUP('Données projet'!$B$11,Paramètres!$A$1:$I$89,3,0)*0.475*44/12</f>
        <v>0.59036825198214482</v>
      </c>
      <c r="BR199" s="21">
        <f>EXP(-LN(2)/2)*BR198+(1-EXP(-LN(2)/2))/(LN(2)/2)*BL199*BO199*VLOOKUP('Données projet'!$B$11,Paramètres!$A$1:$I$89,3,0)*0.475*44/12</f>
        <v>5.4143976843460395E-27</v>
      </c>
      <c r="BS199" s="22">
        <f t="shared" si="169"/>
        <v>10.429491393709053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69.286191825365137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4.4080000000000004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16.16266666666667</v>
      </c>
      <c r="H200" s="66">
        <f t="shared" si="192"/>
        <v>192.01600000000005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20.879999999999939</v>
      </c>
      <c r="O200" s="13">
        <f>N200*VLOOKUP('Données projet'!$B$9,Paramètres!$A$1:$I$89,3,0)*VLOOKUP('Données projet'!$B$9,Paramètres!$A$1:$I$89,5,0)</f>
        <v>18.892223999999942</v>
      </c>
      <c r="P200" s="13">
        <f t="shared" si="203"/>
        <v>6.184089977612083</v>
      </c>
      <c r="Q200" s="20">
        <f t="shared" si="162"/>
        <v>43.674580177674272</v>
      </c>
      <c r="R200" s="59">
        <f t="shared" si="191"/>
        <v>334.43602111599074</v>
      </c>
      <c r="S200" s="59">
        <f ca="1">AVERAGE(OFFSET($R$3,0,0,'Données projet'!$E$9+1,1))-AVERAGE(OFFSET($H$3,0,0,'Données projet'!$E$9+1,1))</f>
        <v>737.52606296329941</v>
      </c>
      <c r="T200" s="59">
        <f t="shared" si="204"/>
        <v>270.54143254083715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167.50707858952919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167.50707858952919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20.659235999999357</v>
      </c>
      <c r="AK200" s="13">
        <f t="shared" si="164"/>
        <v>6.6924790783679047</v>
      </c>
      <c r="AL200" s="20">
        <f t="shared" si="165"/>
        <v>47.637570428156316</v>
      </c>
      <c r="AM200" s="59">
        <f t="shared" si="193"/>
        <v>338.39901136647279</v>
      </c>
      <c r="AN200" s="59">
        <f ca="1">AVERAGE(OFFSET($AM$3,0,0,'Données projet'!$E$10+1,1))-AVERAGE(OFFSET($H$3,0,0,'Données projet'!$E$10+1,1))</f>
        <v>691.79662395689525</v>
      </c>
      <c r="AO200" s="59">
        <f t="shared" si="205"/>
        <v>213.38682325741539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248.70482033603344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248.70482033603344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689</v>
      </c>
      <c r="BE200" s="13">
        <f>BD200*VLOOKUP('Données projet'!$B$11,Paramètres!$A$1:$I$89,3,0)*VLOOKUP('Données projet'!$B$11,Paramètres!$A$1:$I$89,5,0)</f>
        <v>412.02199999999999</v>
      </c>
      <c r="BF200" s="13">
        <f t="shared" si="167"/>
        <v>94.209724877926391</v>
      </c>
      <c r="BG200" s="20">
        <f t="shared" si="168"/>
        <v>881.686920829055</v>
      </c>
      <c r="BH200" s="59">
        <f t="shared" si="194"/>
        <v>1172.4483617673714</v>
      </c>
      <c r="BI200" s="59">
        <f ca="1">AVERAGE(OFFSET($BH$3,0,0,'Données projet'!$E$11+1,1))-AVERAGE(OFFSET($H$3,0,0,'Données projet'!$E$11+1,1))</f>
        <v>525.88595000893986</v>
      </c>
      <c r="BJ200" s="59">
        <f t="shared" si="206"/>
        <v>458.67158147469263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9.6461839381901839</v>
      </c>
      <c r="BQ200" s="21">
        <f>EXP(-LN(2)/25)*BQ199+(1-EXP(-LN(2)/25))/(LN(2)/25)*Calculateur!BL200*Calculateur!BN200*VLOOKUP('Données projet'!$B$11,Paramètres!$A$1:$I$89,3,0)*0.475*44/12</f>
        <v>0.57422460108557605</v>
      </c>
      <c r="BR200" s="21">
        <f>EXP(-LN(2)/2)*BR199+(1-EXP(-LN(2)/2))/(LN(2)/2)*BL200*BO200*VLOOKUP('Données projet'!$B$11,Paramètres!$A$1:$I$89,3,0)*0.475*44/12</f>
        <v>3.8285573186418245E-27</v>
      </c>
      <c r="BS200" s="22">
        <f t="shared" si="169"/>
        <v>10.220408539275759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69.298574801359038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4.4080000000000004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16.16266666666667</v>
      </c>
      <c r="H201" s="66">
        <f t="shared" si="192"/>
        <v>192.01600000000005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20.879999999999939</v>
      </c>
      <c r="O201" s="13">
        <f>N201*VLOOKUP('Données projet'!$B$9,Paramètres!$A$1:$I$89,3,0)*VLOOKUP('Données projet'!$B$9,Paramètres!$A$1:$I$89,5,0)</f>
        <v>18.892223999999942</v>
      </c>
      <c r="P201" s="13">
        <f t="shared" si="203"/>
        <v>6.184089977612083</v>
      </c>
      <c r="Q201" s="20">
        <f t="shared" si="162"/>
        <v>43.674580177674272</v>
      </c>
      <c r="R201" s="59">
        <f t="shared" si="191"/>
        <v>334.48063769915427</v>
      </c>
      <c r="S201" s="59">
        <f ca="1">AVERAGE(OFFSET($R$3,0,0,'Données projet'!$E$9+1,1))-AVERAGE(OFFSET($H$3,0,0,'Données projet'!$E$9+1,1))</f>
        <v>737.52606296329941</v>
      </c>
      <c r="T201" s="59">
        <f t="shared" si="204"/>
        <v>270.54143254083715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164.2223669476181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164.2223669476181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20.659235999999357</v>
      </c>
      <c r="AK201" s="13">
        <f t="shared" si="164"/>
        <v>6.6924790783679047</v>
      </c>
      <c r="AL201" s="20">
        <f t="shared" si="165"/>
        <v>47.637570428156316</v>
      </c>
      <c r="AM201" s="59">
        <f t="shared" si="193"/>
        <v>338.44362794963632</v>
      </c>
      <c r="AN201" s="59">
        <f ca="1">AVERAGE(OFFSET($AM$3,0,0,'Données projet'!$E$10+1,1))-AVERAGE(OFFSET($H$3,0,0,'Données projet'!$E$10+1,1))</f>
        <v>691.79662395689525</v>
      </c>
      <c r="AO201" s="59">
        <f t="shared" si="205"/>
        <v>213.38682325741539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243.82787050420558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243.82787050420558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689</v>
      </c>
      <c r="BE201" s="13">
        <f>BD201*VLOOKUP('Données projet'!$B$11,Paramètres!$A$1:$I$89,3,0)*VLOOKUP('Données projet'!$B$11,Paramètres!$A$1:$I$89,5,0)</f>
        <v>412.02199999999999</v>
      </c>
      <c r="BF201" s="13">
        <f t="shared" si="167"/>
        <v>94.209724877926391</v>
      </c>
      <c r="BG201" s="20">
        <f t="shared" si="168"/>
        <v>881.686920829055</v>
      </c>
      <c r="BH201" s="59">
        <f t="shared" si="194"/>
        <v>1172.4929783505349</v>
      </c>
      <c r="BI201" s="59">
        <f ca="1">AVERAGE(OFFSET($BH$3,0,0,'Données projet'!$E$11+1,1))-AVERAGE(OFFSET($H$3,0,0,'Données projet'!$E$11+1,1))</f>
        <v>525.88595000893986</v>
      </c>
      <c r="BJ201" s="59">
        <f t="shared" si="206"/>
        <v>458.67158147469263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9.4570281547535195</v>
      </c>
      <c r="BQ201" s="21">
        <f>EXP(-LN(2)/25)*BQ200+(1-EXP(-LN(2)/25))/(LN(2)/25)*Calculateur!BL201*Calculateur!BN201*VLOOKUP('Données projet'!$B$11,Paramètres!$A$1:$I$89,3,0)*0.475*44/12</f>
        <v>0.55852239917173163</v>
      </c>
      <c r="BR201" s="21">
        <f>EXP(-LN(2)/2)*BR200+(1-EXP(-LN(2)/2))/(LN(2)/2)*BL201*BO201*VLOOKUP('Données projet'!$B$11,Paramètres!$A$1:$I$89,3,0)*0.475*44/12</f>
        <v>2.7071988421730197E-27</v>
      </c>
      <c r="BS201" s="22">
        <f t="shared" si="169"/>
        <v>10.015550553925252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69.310742960403644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4.4080000000000004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16.16266666666667</v>
      </c>
      <c r="H202" s="66">
        <f t="shared" si="192"/>
        <v>192.01600000000005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20.879999999999939</v>
      </c>
      <c r="O202" s="13">
        <f>N202*VLOOKUP('Données projet'!$B$9,Paramètres!$A$1:$I$89,3,0)*VLOOKUP('Données projet'!$B$9,Paramètres!$A$1:$I$89,5,0)</f>
        <v>18.892223999999942</v>
      </c>
      <c r="P202" s="13">
        <f t="shared" si="203"/>
        <v>6.184089977612083</v>
      </c>
      <c r="Q202" s="20">
        <f t="shared" si="162"/>
        <v>43.674580177674272</v>
      </c>
      <c r="R202" s="59">
        <f t="shared" si="191"/>
        <v>334.52448028434765</v>
      </c>
      <c r="S202" s="59">
        <f ca="1">AVERAGE(OFFSET($R$3,0,0,'Données projet'!$E$9+1,1))-AVERAGE(OFFSET($H$3,0,0,'Données projet'!$E$9+1,1))</f>
        <v>737.52606296329941</v>
      </c>
      <c r="T202" s="59">
        <f t="shared" si="204"/>
        <v>270.54143254083715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161.0020664975286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161.0020664975286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20.659235999999357</v>
      </c>
      <c r="AK202" s="13">
        <f t="shared" si="164"/>
        <v>6.6924790783679047</v>
      </c>
      <c r="AL202" s="20">
        <f t="shared" si="165"/>
        <v>47.637570428156316</v>
      </c>
      <c r="AM202" s="59">
        <f t="shared" si="193"/>
        <v>338.4874705348297</v>
      </c>
      <c r="AN202" s="59">
        <f ca="1">AVERAGE(OFFSET($AM$3,0,0,'Données projet'!$E$10+1,1))-AVERAGE(OFFSET($H$3,0,0,'Données projet'!$E$10+1,1))</f>
        <v>691.79662395689525</v>
      </c>
      <c r="AO202" s="59">
        <f t="shared" si="205"/>
        <v>213.38682325741539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239.0465546839342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239.0465546839342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689</v>
      </c>
      <c r="BE202" s="13">
        <f>BD202*VLOOKUP('Données projet'!$B$11,Paramètres!$A$1:$I$89,3,0)*VLOOKUP('Données projet'!$B$11,Paramètres!$A$1:$I$89,5,0)</f>
        <v>412.02199999999999</v>
      </c>
      <c r="BF202" s="13">
        <f t="shared" si="167"/>
        <v>94.209724877926391</v>
      </c>
      <c r="BG202" s="20">
        <f t="shared" si="168"/>
        <v>881.686920829055</v>
      </c>
      <c r="BH202" s="59">
        <f t="shared" si="194"/>
        <v>1172.5368209357284</v>
      </c>
      <c r="BI202" s="59">
        <f ca="1">AVERAGE(OFFSET($BH$3,0,0,'Données projet'!$E$11+1,1))-AVERAGE(OFFSET($H$3,0,0,'Données projet'!$E$11+1,1))</f>
        <v>525.88595000893986</v>
      </c>
      <c r="BJ202" s="59">
        <f t="shared" si="206"/>
        <v>458.67158147469263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9.2715816008564129</v>
      </c>
      <c r="BQ202" s="21">
        <f>EXP(-LN(2)/25)*BQ201+(1-EXP(-LN(2)/25))/(LN(2)/25)*Calculateur!BL202*Calculateur!BN202*VLOOKUP('Données projet'!$B$11,Paramètres!$A$1:$I$89,3,0)*0.475*44/12</f>
        <v>0.54324957479496416</v>
      </c>
      <c r="BR202" s="21">
        <f>EXP(-LN(2)/2)*BR201+(1-EXP(-LN(2)/2))/(LN(2)/2)*BL202*BO202*VLOOKUP('Données projet'!$B$11,Paramètres!$A$1:$I$89,3,0)*0.475*44/12</f>
        <v>1.9142786593209122E-27</v>
      </c>
      <c r="BS202" s="22">
        <f t="shared" si="169"/>
        <v>9.8148311756513777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69.322700029092744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4.4080000000000004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47.960000000000008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16.16266666666667</v>
      </c>
      <c r="H203" s="66">
        <f t="shared" si="192"/>
        <v>192.01600000000005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20.879999999999939</v>
      </c>
      <c r="O203" s="13">
        <f>N203*VLOOKUP('Données projet'!$B$9,Paramètres!$A$1:$I$89,3,0)*VLOOKUP('Données projet'!$B$9,Paramètres!$A$1:$I$89,5,0)</f>
        <v>18.892223999999942</v>
      </c>
      <c r="P203" s="13">
        <f t="shared" si="203"/>
        <v>6.184089977612083</v>
      </c>
      <c r="Q203" s="20">
        <f t="shared" si="162"/>
        <v>43.674580177674272</v>
      </c>
      <c r="R203" s="59">
        <f t="shared" si="191"/>
        <v>334.5675622987053</v>
      </c>
      <c r="S203" s="59">
        <f ca="1">AVERAGE(OFFSET($R$3,0,0,'Données projet'!$E$9+1,1))-AVERAGE(OFFSET($H$3,0,0,'Données projet'!$E$9+1,1))</f>
        <v>737.52606296329941</v>
      </c>
      <c r="T203" s="59">
        <f t="shared" si="204"/>
        <v>270.54143254083715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157.84491417507604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157.84491417507604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20.659235999999357</v>
      </c>
      <c r="AK203" s="13">
        <f t="shared" si="164"/>
        <v>6.6924790783679047</v>
      </c>
      <c r="AL203" s="20">
        <f t="shared" si="165"/>
        <v>47.637570428156316</v>
      </c>
      <c r="AM203" s="59">
        <f t="shared" si="193"/>
        <v>338.53055254918735</v>
      </c>
      <c r="AN203" s="59">
        <f ca="1">AVERAGE(OFFSET($AM$3,0,0,'Données projet'!$E$10+1,1))-AVERAGE(OFFSET($H$3,0,0,'Données projet'!$E$10+1,1))</f>
        <v>691.79662395689525</v>
      </c>
      <c r="AO203" s="59">
        <f t="shared" si="205"/>
        <v>213.38682325741539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234.35899755058367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234.35899755058367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689</v>
      </c>
      <c r="BE203" s="13">
        <f>BD203*VLOOKUP('Données projet'!$B$11,Paramètres!$A$1:$I$89,3,0)*VLOOKUP('Données projet'!$B$11,Paramètres!$A$1:$I$89,5,0)</f>
        <v>412.02199999999999</v>
      </c>
      <c r="BF203" s="13">
        <f t="shared" si="167"/>
        <v>94.209724877926391</v>
      </c>
      <c r="BG203" s="20">
        <f t="shared" si="168"/>
        <v>881.686920829055</v>
      </c>
      <c r="BH203" s="59">
        <f t="shared" si="194"/>
        <v>1172.5799029500861</v>
      </c>
      <c r="BI203" s="59">
        <f ca="1">AVERAGE(OFFSET($BH$3,0,0,'Données projet'!$E$11+1,1))-AVERAGE(OFFSET($H$3,0,0,'Données projet'!$E$11+1,1))</f>
        <v>525.88595000893986</v>
      </c>
      <c r="BJ203" s="59">
        <f t="shared" si="206"/>
        <v>458.67158147469263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9.0897715407700002</v>
      </c>
      <c r="BQ203" s="21">
        <f>EXP(-LN(2)/25)*BQ202+(1-EXP(-LN(2)/25))/(LN(2)/25)*Calculateur!BL203*Calculateur!BN203*VLOOKUP('Données projet'!$B$11,Paramètres!$A$1:$I$89,3,0)*0.475*44/12</f>
        <v>0.52839438660394233</v>
      </c>
      <c r="BR203" s="21">
        <f>EXP(-LN(2)/2)*BR202+(1-EXP(-LN(2)/2))/(LN(2)/2)*BL203*BO203*VLOOKUP('Données projet'!$B$11,Paramètres!$A$1:$I$89,3,0)*0.475*44/12</f>
        <v>1.3535994210865099E-27</v>
      </c>
      <c r="BS203" s="22">
        <f t="shared" si="169"/>
        <v>9.6181659273739424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69.334449669372106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1.1690615875887691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>
        <f>EXP(LN('Données projet'!B88)/'Données projet'!A88)</f>
        <v>1.3680212568593273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sessile</v>
      </c>
      <c r="B6" s="144">
        <f>'Données projet'!D9</f>
        <v>2.4799999889999995</v>
      </c>
      <c r="C6" s="145">
        <f ca="1">IF(OR('Données projet'!B9="",'Données projet'!C9="",'Données projet'!C9=0%),0,Calculateur!S3)</f>
        <v>737.52606296329941</v>
      </c>
      <c r="D6" s="145">
        <f>IF(OR('Données projet'!B9="",'Données projet'!C9="",'Données projet'!C9=0%),0,Calculateur!T3)</f>
        <v>270.54143254083715</v>
      </c>
      <c r="E6" s="145">
        <f ca="1">MIN(C6,D6)</f>
        <v>270.54143254083715</v>
      </c>
      <c r="F6" s="145">
        <f ca="1">E6*B6</f>
        <v>670.94274972532025</v>
      </c>
      <c r="G6" s="145">
        <f ca="1">F6*(100%-'Données projet'!$C$24)*(100%-'Données projet'!$C$25)*(100%-'Données projet'!$C$26)*(100%-'Données projet'!$C$27)</f>
        <v>513.27120353986993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0</v>
      </c>
      <c r="K6" s="149">
        <f>J6*(100%-'Données projet'!$C$24)*(100%-'Données projet'!$C$25)*(100%-'Données projet'!$C$26)*(100%-'Données projet'!$C$27)</f>
        <v>0</v>
      </c>
      <c r="L6" s="150">
        <f ca="1">G6+I6+K6</f>
        <v>513.27120353986993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Charme</v>
      </c>
      <c r="B7" s="152">
        <f>'Données projet'!D10</f>
        <v>0.6200000189999999</v>
      </c>
      <c r="C7" s="145">
        <f ca="1">IF(OR('Données projet'!B10="",'Données projet'!C10="",'Données projet'!C10=0%),0,Calculateur!AN3)</f>
        <v>691.79662395689525</v>
      </c>
      <c r="D7" s="145">
        <f>IF(OR('Données projet'!B10="",'Données projet'!C10="",'Données projet'!C10=0%),0,Calculateur!AO3)</f>
        <v>213.38682325741539</v>
      </c>
      <c r="E7" s="145">
        <f t="shared" ref="E7:E15" ca="1" si="0">MIN(C7,D7)</f>
        <v>213.38682325741539</v>
      </c>
      <c r="F7" s="145">
        <f t="shared" ref="F7:F15" ca="1" si="1">E7*B7</f>
        <v>132.29983447394716</v>
      </c>
      <c r="G7" s="145">
        <f ca="1">F7*(100%-'Données projet'!$C$24)*(100%-'Données projet'!$C$25)*(100%-'Données projet'!$C$26)*(100%-'Données projet'!$C$27)</f>
        <v>101.20937337256957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101.20937337256957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laricio</v>
      </c>
      <c r="B8" s="152">
        <f>'Données projet'!D11</f>
        <v>5.5999999919999999</v>
      </c>
      <c r="C8" s="145">
        <f ca="1">IF(OR('Données projet'!B11="",'Données projet'!C11="",'Données projet'!C11=0%),0,Calculateur!BI3)</f>
        <v>525.88595000893986</v>
      </c>
      <c r="D8" s="145">
        <f>IF(OR('Données projet'!B11="",'Données projet'!C11="",'Données projet'!C11=0%),0,Calculateur!BJ3)</f>
        <v>458.67158147469263</v>
      </c>
      <c r="E8" s="145">
        <f t="shared" ca="1" si="0"/>
        <v>458.67158147469263</v>
      </c>
      <c r="F8" s="145">
        <f t="shared" ca="1" si="1"/>
        <v>2568.5608525889061</v>
      </c>
      <c r="G8" s="145">
        <f ca="1">F8*(100%-'Données projet'!$C$24)*(100%-'Données projet'!$C$25)*(100%-'Données projet'!$C$26)*(100%-'Données projet'!$C$27)</f>
        <v>1964.949052230513</v>
      </c>
      <c r="H8" s="153">
        <f>IF(OR('Données projet'!B11="",'Données projet'!C11="",'Données projet'!C11=0%),0,AVERAGE(Calculateur!$BS$3:$BS$33)*B8)</f>
        <v>71.449526240306938</v>
      </c>
      <c r="I8" s="147">
        <f>H8*(100%-'Données projet'!$C$24)*(100%-'Données projet'!$C$25)*(100%-'Données projet'!$C$26)*(100%-'Données projet'!$C$27)</f>
        <v>54.658887573834804</v>
      </c>
      <c r="J8" s="148">
        <f>IF(OR('Données projet'!B11="",'Données projet'!C11="",'Données projet'!C11=0%),0,SUM(Calculateur!$BL$3:$BL$33)*VLOOKUP('Données projet'!$B$11,Paramètres!$A$1:$I$89,9,0)*B8)</f>
        <v>488.82399930167992</v>
      </c>
      <c r="K8" s="149">
        <f>J8*(100%-'Données projet'!$C$24)*(100%-'Données projet'!$C$25)*(100%-'Données projet'!$C$26)*(100%-'Données projet'!$C$27)</f>
        <v>373.95035946578514</v>
      </c>
      <c r="L8" s="150">
        <f t="shared" ca="1" si="2"/>
        <v>2393.5582992701329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3371.8034367881737</v>
      </c>
      <c r="G16" s="164">
        <f t="shared" ca="1" si="3"/>
        <v>2579.4296291429523</v>
      </c>
      <c r="H16" s="165">
        <f t="shared" si="3"/>
        <v>71.449526240306938</v>
      </c>
      <c r="I16" s="165">
        <f t="shared" si="3"/>
        <v>54.658887573834804</v>
      </c>
      <c r="J16" s="166">
        <f t="shared" si="3"/>
        <v>488.82399930167992</v>
      </c>
      <c r="K16" s="166">
        <f t="shared" si="3"/>
        <v>373.95035946578514</v>
      </c>
      <c r="L16" s="167">
        <f t="shared" ca="1" si="3"/>
        <v>3008.0388761825725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sessile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6317.6237563057184</v>
      </c>
      <c r="U10" s="176">
        <f>'Données projet'!D9</f>
        <v>2.4799999889999995</v>
      </c>
      <c r="V10" s="175">
        <f>U10*T10</f>
        <v>15667.706846144318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-1157.1298659148038</v>
      </c>
      <c r="U11" s="176">
        <f>'Données projet'!D10</f>
        <v>0.6200000189999999</v>
      </c>
      <c r="V11" s="175">
        <f t="shared" ref="V11" si="0">U11*T11</f>
        <v>-717.42053885264568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laricio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1782.6723740274451</v>
      </c>
      <c r="U12" s="176">
        <f>'Données projet'!D11</f>
        <v>5.5999999919999999</v>
      </c>
      <c r="V12" s="175">
        <f t="shared" ref="V12:V19" si="1">U12*T12</f>
        <v>9982.9652802923138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sessile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3350.34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2346.63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1520.34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708.97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30</v>
      </c>
      <c r="B23" s="179">
        <f>'Données projet'!D36</f>
        <v>0</v>
      </c>
      <c r="C23" s="191">
        <v>20</v>
      </c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-13788.063541671301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34</v>
      </c>
      <c r="B24" s="179">
        <f>'Données projet'!D37</f>
        <v>35.450000000000003</v>
      </c>
      <c r="C24" s="191">
        <v>235</v>
      </c>
      <c r="D24" s="180">
        <f t="shared" ref="D24:D42" si="2">B24*C24</f>
        <v>8330.75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42</v>
      </c>
      <c r="B25" s="179">
        <f>'Données projet'!D38</f>
        <v>55.41</v>
      </c>
      <c r="C25" s="191">
        <v>235</v>
      </c>
      <c r="D25" s="180">
        <f t="shared" si="2"/>
        <v>13021.349999999999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-13788.063541671301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50</v>
      </c>
      <c r="B26" s="179">
        <f>'Données projet'!D39</f>
        <v>66.62</v>
      </c>
      <c r="C26" s="191">
        <v>235</v>
      </c>
      <c r="D26" s="180">
        <f t="shared" si="2"/>
        <v>15655.7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58</v>
      </c>
      <c r="B27" s="179">
        <f>'Données projet'!D40</f>
        <v>62.16</v>
      </c>
      <c r="C27" s="191">
        <v>235</v>
      </c>
      <c r="D27" s="180">
        <f t="shared" si="2"/>
        <v>14607.599999999999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66</v>
      </c>
      <c r="B28" s="179">
        <f>'Données projet'!D41</f>
        <v>71.34</v>
      </c>
      <c r="C28" s="191">
        <v>235</v>
      </c>
      <c r="D28" s="180">
        <f t="shared" si="2"/>
        <v>16764.900000000001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74</v>
      </c>
      <c r="B29" s="179">
        <f>'Données projet'!D42</f>
        <v>70.209999999999994</v>
      </c>
      <c r="C29" s="191">
        <v>235</v>
      </c>
      <c r="D29" s="180">
        <f t="shared" si="2"/>
        <v>16499.349999999999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82</v>
      </c>
      <c r="B30" s="179">
        <f>'Données projet'!D43</f>
        <v>53.92</v>
      </c>
      <c r="C30" s="191">
        <v>235</v>
      </c>
      <c r="D30" s="180">
        <f t="shared" si="2"/>
        <v>12671.2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90</v>
      </c>
      <c r="B31" s="179">
        <f>'Données projet'!D44</f>
        <v>63.25</v>
      </c>
      <c r="C31" s="191">
        <v>235</v>
      </c>
      <c r="D31" s="180">
        <f t="shared" si="2"/>
        <v>14863.75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100</v>
      </c>
      <c r="B32" s="179">
        <f>'Données projet'!D45</f>
        <v>85.23</v>
      </c>
      <c r="C32" s="191">
        <v>235</v>
      </c>
      <c r="D32" s="180">
        <f t="shared" si="2"/>
        <v>20029.05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110</v>
      </c>
      <c r="B33" s="179">
        <f>'Données projet'!D46</f>
        <v>67.22</v>
      </c>
      <c r="C33" s="191">
        <v>235</v>
      </c>
      <c r="D33" s="180">
        <f t="shared" si="2"/>
        <v>15796.699999999999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120</v>
      </c>
      <c r="B34" s="179">
        <f>'Données projet'!D47</f>
        <v>60.46</v>
      </c>
      <c r="C34" s="191">
        <v>235</v>
      </c>
      <c r="D34" s="180">
        <f t="shared" si="2"/>
        <v>14208.1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130</v>
      </c>
      <c r="B35" s="179">
        <f>'Données projet'!D48</f>
        <v>69</v>
      </c>
      <c r="C35" s="191">
        <v>235</v>
      </c>
      <c r="D35" s="180">
        <f t="shared" si="2"/>
        <v>16215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140</v>
      </c>
      <c r="B36" s="179">
        <f>'Données projet'!D49</f>
        <v>67.930000000000007</v>
      </c>
      <c r="C36" s="191">
        <v>235</v>
      </c>
      <c r="D36" s="180">
        <f t="shared" si="2"/>
        <v>15963.550000000001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150</v>
      </c>
      <c r="B37" s="179">
        <f>'Données projet'!D50</f>
        <v>234.51</v>
      </c>
      <c r="C37" s="191">
        <v>235</v>
      </c>
      <c r="D37" s="180">
        <f t="shared" si="2"/>
        <v>55109.85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153</v>
      </c>
      <c r="B38" s="179">
        <f>'Données projet'!D51</f>
        <v>141.22</v>
      </c>
      <c r="C38" s="191">
        <v>235</v>
      </c>
      <c r="D38" s="180">
        <f t="shared" si="2"/>
        <v>33186.699999999997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156</v>
      </c>
      <c r="B39" s="179">
        <f>'Données projet'!D52</f>
        <v>87.28</v>
      </c>
      <c r="C39" s="191">
        <v>235</v>
      </c>
      <c r="D39" s="180">
        <f t="shared" si="2"/>
        <v>20510.8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159</v>
      </c>
      <c r="B40" s="179">
        <f>'Données projet'!D53</f>
        <v>180.6</v>
      </c>
      <c r="C40" s="191">
        <v>235</v>
      </c>
      <c r="D40" s="180">
        <f t="shared" si="2"/>
        <v>42441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2053.92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>
        <v>20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>
        <v>55</v>
      </c>
      <c r="D55" s="177">
        <f t="shared" ref="D55:D73" si="4">B55*C55</f>
        <v>2376.5500000000002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>
        <v>55</v>
      </c>
      <c r="D56" s="177">
        <f t="shared" si="4"/>
        <v>1956.8999999999999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>
        <v>55</v>
      </c>
      <c r="D57" s="177">
        <f t="shared" si="4"/>
        <v>2471.15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>
        <v>55</v>
      </c>
      <c r="D58" s="177">
        <f t="shared" si="4"/>
        <v>2745.0499999999997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>
        <v>55</v>
      </c>
      <c r="D59" s="177">
        <f t="shared" si="4"/>
        <v>2607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>
        <v>55</v>
      </c>
      <c r="D60" s="177">
        <f t="shared" si="4"/>
        <v>3380.85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>
        <v>55</v>
      </c>
      <c r="D61" s="177">
        <f t="shared" si="4"/>
        <v>3401.75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>
        <v>55</v>
      </c>
      <c r="D62" s="177">
        <f t="shared" si="4"/>
        <v>3310.45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>
        <v>55</v>
      </c>
      <c r="D63" s="177">
        <f t="shared" si="4"/>
        <v>3083.85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>
        <v>55</v>
      </c>
      <c r="D64" s="177">
        <f t="shared" si="4"/>
        <v>2889.15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>
        <v>55</v>
      </c>
      <c r="D65" s="177">
        <f t="shared" si="4"/>
        <v>3022.25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>
        <v>55</v>
      </c>
      <c r="D66" s="177">
        <f t="shared" si="4"/>
        <v>3080.5499999999997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>
        <v>55</v>
      </c>
      <c r="D67" s="177">
        <f t="shared" si="4"/>
        <v>3032.15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>
        <v>55</v>
      </c>
      <c r="D68" s="177">
        <f t="shared" si="4"/>
        <v>3276.9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>
        <v>55</v>
      </c>
      <c r="D69" s="177">
        <f t="shared" si="4"/>
        <v>11812.35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>
        <v>55</v>
      </c>
      <c r="D70" s="177">
        <f t="shared" si="4"/>
        <v>6335.45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>
        <v>55</v>
      </c>
      <c r="D71" s="177">
        <f t="shared" si="4"/>
        <v>4274.6000000000004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>
        <v>55</v>
      </c>
      <c r="D72" s="177">
        <f t="shared" si="4"/>
        <v>9336.7999999999993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laricio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1714.04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14</v>
      </c>
      <c r="C85" s="189">
        <v>20</v>
      </c>
      <c r="D85" s="177">
        <f>B85*C85</f>
        <v>280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63</v>
      </c>
      <c r="C86" s="189">
        <v>20</v>
      </c>
      <c r="D86" s="177">
        <f t="shared" ref="D86:D104" si="6">B86*C86</f>
        <v>1260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63</v>
      </c>
      <c r="C87" s="189">
        <v>20</v>
      </c>
      <c r="D87" s="177">
        <f t="shared" si="6"/>
        <v>1260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63</v>
      </c>
      <c r="C88" s="189">
        <v>20</v>
      </c>
      <c r="D88" s="177">
        <f t="shared" si="6"/>
        <v>1260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63</v>
      </c>
      <c r="C89" s="189">
        <v>41</v>
      </c>
      <c r="D89" s="177">
        <f t="shared" si="6"/>
        <v>2583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63</v>
      </c>
      <c r="C90" s="189">
        <v>41</v>
      </c>
      <c r="D90" s="177">
        <f t="shared" si="6"/>
        <v>2583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60</v>
      </c>
      <c r="C91" s="189">
        <v>41</v>
      </c>
      <c r="D91" s="177">
        <f t="shared" si="6"/>
        <v>2460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53</v>
      </c>
      <c r="C92" s="189">
        <v>41</v>
      </c>
      <c r="D92" s="177">
        <f t="shared" si="6"/>
        <v>2173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45</v>
      </c>
      <c r="C93" s="189">
        <v>41</v>
      </c>
      <c r="D93" s="177">
        <f t="shared" si="6"/>
        <v>1845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39</v>
      </c>
      <c r="C94" s="189">
        <v>41</v>
      </c>
      <c r="D94" s="177">
        <f t="shared" si="6"/>
        <v>1599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0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34</v>
      </c>
      <c r="C95" s="189">
        <v>41</v>
      </c>
      <c r="D95" s="177">
        <f t="shared" si="6"/>
        <v>1394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0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31</v>
      </c>
      <c r="C96" s="189">
        <v>41</v>
      </c>
      <c r="D96" s="177">
        <f t="shared" si="6"/>
        <v>1271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0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30</v>
      </c>
      <c r="C97" s="189">
        <v>41</v>
      </c>
      <c r="D97" s="177">
        <f t="shared" si="6"/>
        <v>1230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0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29</v>
      </c>
      <c r="C98" s="189">
        <v>41</v>
      </c>
      <c r="D98" s="177">
        <f t="shared" si="6"/>
        <v>1189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0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0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0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0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0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0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0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0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0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0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0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0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0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0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0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0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2024-12-05T14:30:09Z</dcterms:modified>
</cp:coreProperties>
</file>