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Festival de Cannes\CNPF C+for n° 192 Ger (Festival de Cannes n° 5)\"/>
    </mc:Choice>
  </mc:AlternateContent>
  <bookViews>
    <workbookView xWindow="0" yWindow="0" windowWidth="20490" windowHeight="7755" tabRatio="866" firstSheet="1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1" l="1"/>
  <c r="B156" i="1" l="1"/>
  <c r="D156" i="1" s="1"/>
  <c r="B155" i="1"/>
  <c r="B154" i="1"/>
  <c r="B153" i="1"/>
  <c r="B152" i="1"/>
  <c r="B151" i="1"/>
  <c r="B150" i="1"/>
  <c r="B149" i="1"/>
  <c r="B148" i="1"/>
  <c r="B147" i="1"/>
  <c r="B146" i="1"/>
  <c r="D153" i="1"/>
  <c r="D151" i="1"/>
  <c r="D149" i="1"/>
  <c r="D147" i="1"/>
  <c r="D145" i="1"/>
  <c r="B145" i="1"/>
  <c r="B144" i="1"/>
  <c r="D143" i="1"/>
  <c r="B143" i="1"/>
  <c r="B142" i="1"/>
  <c r="B141" i="1"/>
  <c r="B140" i="1"/>
  <c r="D253" i="1" l="1"/>
  <c r="D252" i="1"/>
  <c r="D251" i="1"/>
  <c r="D250" i="1"/>
  <c r="D249" i="1"/>
  <c r="D248" i="1"/>
  <c r="D247" i="1"/>
  <c r="D246" i="1"/>
  <c r="D245" i="1"/>
  <c r="D244" i="1"/>
  <c r="D254" i="1"/>
  <c r="B254" i="1"/>
  <c r="B253" i="1"/>
  <c r="B252" i="1"/>
  <c r="B251" i="1"/>
  <c r="B250" i="1"/>
  <c r="B249" i="1"/>
  <c r="B248" i="1"/>
  <c r="B247" i="1"/>
  <c r="B246" i="1"/>
  <c r="B245" i="1"/>
  <c r="B244" i="1"/>
  <c r="B107" i="1" l="1"/>
  <c r="D106" i="1"/>
  <c r="B106" i="1"/>
  <c r="D105" i="1"/>
  <c r="B105" i="1"/>
  <c r="D104" i="1"/>
  <c r="B104" i="1"/>
  <c r="D103" i="1"/>
  <c r="B103" i="1"/>
  <c r="D102" i="1"/>
  <c r="B102" i="1"/>
  <c r="D101" i="1"/>
  <c r="B101" i="1"/>
  <c r="B99" i="1"/>
  <c r="B97" i="1"/>
  <c r="B95" i="1"/>
  <c r="B93" i="1"/>
  <c r="D99" i="1"/>
  <c r="D97" i="1"/>
  <c r="D95" i="1"/>
  <c r="D93" i="1"/>
  <c r="D91" i="1"/>
  <c r="B91" i="1"/>
  <c r="D107" i="1"/>
  <c r="D43" i="1" l="1"/>
  <c r="B43" i="1"/>
  <c r="B42" i="1"/>
  <c r="D41" i="1"/>
  <c r="B41" i="1"/>
  <c r="B40" i="1"/>
  <c r="D39" i="1"/>
  <c r="B39" i="1"/>
  <c r="B38" i="1"/>
  <c r="B37" i="1"/>
  <c r="D228" i="1" l="1"/>
  <c r="B281" i="1" l="1"/>
  <c r="D281" i="1" s="1"/>
  <c r="D280" i="1"/>
  <c r="B280" i="1"/>
  <c r="D279" i="1"/>
  <c r="B279" i="1"/>
  <c r="D278" i="1"/>
  <c r="B278" i="1"/>
  <c r="D277" i="1"/>
  <c r="B277" i="1"/>
  <c r="D276" i="1"/>
  <c r="B276" i="1"/>
  <c r="B275" i="1"/>
  <c r="D274" i="1"/>
  <c r="B274" i="1"/>
  <c r="B273" i="1"/>
  <c r="D272" i="1"/>
  <c r="B272" i="1"/>
  <c r="B271" i="1"/>
  <c r="B270" i="1"/>
  <c r="B200" i="1" l="1"/>
  <c r="D200" i="1" s="1"/>
  <c r="D199" i="1"/>
  <c r="B199" i="1"/>
  <c r="D198" i="1"/>
  <c r="B198" i="1"/>
  <c r="D197" i="1"/>
  <c r="B197" i="1"/>
  <c r="B196" i="1"/>
  <c r="D195" i="1"/>
  <c r="B195" i="1"/>
  <c r="B194" i="1"/>
  <c r="D193" i="1"/>
  <c r="B193" i="1"/>
  <c r="D192" i="1"/>
  <c r="B192" i="1"/>
  <c r="D72" i="1" l="1"/>
  <c r="B72" i="1"/>
  <c r="B71" i="1"/>
  <c r="D70" i="1"/>
  <c r="B70" i="1"/>
  <c r="D69" i="1"/>
  <c r="B69" i="1"/>
  <c r="D68" i="1"/>
  <c r="B68" i="1"/>
  <c r="D67" i="1"/>
  <c r="B67" i="1"/>
  <c r="D66" i="1"/>
  <c r="B66" i="1"/>
  <c r="B65" i="1"/>
  <c r="D64" i="1"/>
  <c r="B64" i="1"/>
  <c r="D63" i="1"/>
  <c r="B63" i="1"/>
  <c r="B62" i="1"/>
  <c r="B127" i="1" l="1"/>
  <c r="D127" i="1" s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GL4" i="2"/>
  <c r="FR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CM35" i="2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A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H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HI113" i="2"/>
  <c r="FS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C118" i="2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FS124" i="2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FS140" i="2"/>
  <c r="FR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FR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HG146" i="2"/>
  <c r="FR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J154" i="2"/>
  <c r="HH155" i="2"/>
  <c r="HG155" i="2"/>
  <c r="DI154" i="2"/>
  <c r="AC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HI156" i="2"/>
  <c r="DH156" i="2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CN156" i="2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H160" i="2"/>
  <c r="HI160" i="2"/>
  <c r="FS160" i="2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FS161" i="2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W162" i="2"/>
  <c r="EY161" i="2"/>
  <c r="EC162" i="2"/>
  <c r="EB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I163" i="2"/>
  <c r="HG163" i="2"/>
  <c r="EY162" i="2"/>
  <c r="ED162" i="2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H167" i="2"/>
  <c r="HI167" i="2"/>
  <c r="EY166" i="2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DG168" i="2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HG172" i="2"/>
  <c r="EY171" i="2"/>
  <c r="ED171" i="2"/>
  <c r="EV172" i="2"/>
  <c r="EW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D172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HH174" i="2"/>
  <c r="EY173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D174" i="2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Q178" i="2"/>
  <c r="ED177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DF179" i="2"/>
  <c r="HI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HI185" i="2"/>
  <c r="ED184" i="2"/>
  <c r="EY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D185" i="2"/>
  <c r="FR186" i="2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Y186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Y189" i="2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HI191" i="2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H192" i="2"/>
  <c r="HI192" i="2"/>
  <c r="EY191" i="2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FQ194" i="2"/>
  <c r="CN193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HG195" i="2"/>
  <c r="HI195" i="2"/>
  <c r="DH195" i="2"/>
  <c r="FQ195" i="2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FS197" i="2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H199" i="2"/>
  <c r="EY198" i="2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H201" i="2"/>
  <c r="HG201" i="2"/>
  <c r="EY200" i="2"/>
  <c r="DI200" i="2"/>
  <c r="ED200" i="2"/>
  <c r="FS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HG202" i="2"/>
  <c r="HH202" i="2"/>
  <c r="HI202" i="2"/>
  <c r="FS202" i="2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59" i="2" a="1"/>
  <c r="FD59" i="2" s="1"/>
  <c r="GT51" i="2" a="1"/>
  <c r="GT51" i="2" s="1"/>
  <c r="GT152" i="2" a="1"/>
  <c r="GT152" i="2" s="1"/>
  <c r="GT102" i="2" a="1"/>
  <c r="GT102" i="2" s="1"/>
  <c r="GT11" i="2" a="1"/>
  <c r="GT11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43" i="2" a="1"/>
  <c r="DN43" i="2" s="1"/>
  <c r="DN41" i="2" a="1"/>
  <c r="DN41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72" i="2" l="1" a="1"/>
  <c r="CS72" i="2" s="1"/>
  <c r="CS77" i="2" a="1"/>
  <c r="CS77" i="2" s="1"/>
  <c r="CS105" i="2" a="1"/>
  <c r="CS105" i="2" s="1"/>
  <c r="CS52" i="2" a="1"/>
  <c r="CS52" i="2" s="1"/>
  <c r="CS56" i="2" a="1"/>
  <c r="CS56" i="2" s="1"/>
  <c r="CS185" i="2" a="1"/>
  <c r="CS185" i="2" s="1"/>
  <c r="CS24" i="2" a="1"/>
  <c r="CS24" i="2" s="1"/>
  <c r="CS161" i="2" a="1"/>
  <c r="CS161" i="2" s="1"/>
  <c r="CS137" i="2" a="1"/>
  <c r="CS137" i="2" s="1"/>
  <c r="CS134" i="2" a="1"/>
  <c r="CS134" i="2" s="1"/>
  <c r="CS66" i="2" a="1"/>
  <c r="CS66" i="2" s="1"/>
  <c r="CS114" i="2" a="1"/>
  <c r="CS114" i="2" s="1"/>
  <c r="CS120" i="2" a="1"/>
  <c r="CS120" i="2" s="1"/>
  <c r="CS38" i="2" a="1"/>
  <c r="CS38" i="2" s="1"/>
  <c r="CS116" i="2" a="1"/>
  <c r="CS116" i="2" s="1"/>
  <c r="CS129" i="2" a="1"/>
  <c r="CS129" i="2" s="1"/>
  <c r="BC68" i="2" a="1"/>
  <c r="BC68" i="2" s="1"/>
  <c r="BC38" i="2" a="1"/>
  <c r="BC38" i="2" s="1"/>
  <c r="FD188" i="2" a="1"/>
  <c r="FD188" i="2" s="1"/>
  <c r="FD60" i="2" a="1"/>
  <c r="FD60" i="2" s="1"/>
  <c r="FD144" i="2" a="1"/>
  <c r="FD144" i="2" s="1"/>
  <c r="FD21" i="2" a="1"/>
  <c r="FD21" i="2" s="1"/>
  <c r="DN186" i="2" a="1"/>
  <c r="DN186" i="2" s="1"/>
  <c r="DN137" i="2" a="1"/>
  <c r="DN137" i="2" s="1"/>
  <c r="DN25" i="2" a="1"/>
  <c r="DN25" i="2" s="1"/>
  <c r="DN184" i="2" a="1"/>
  <c r="DN184" i="2" s="1"/>
  <c r="DN124" i="2" a="1"/>
  <c r="DN124" i="2" s="1"/>
  <c r="DN29" i="2" a="1"/>
  <c r="DN29" i="2" s="1"/>
  <c r="DN155" i="2" a="1"/>
  <c r="DN155" i="2" s="1"/>
  <c r="GT184" i="2" a="1"/>
  <c r="GT184" i="2" s="1"/>
  <c r="GT190" i="2" a="1"/>
  <c r="GT190" i="2" s="1"/>
  <c r="GT191" i="2" a="1"/>
  <c r="GT191" i="2" s="1"/>
  <c r="GT126" i="2" a="1"/>
  <c r="GT126" i="2" s="1"/>
  <c r="GT68" i="2" a="1"/>
  <c r="GT68" i="2" s="1"/>
  <c r="GT38" i="2" a="1"/>
  <c r="GT38" i="2" s="1"/>
  <c r="GT147" i="2" a="1"/>
  <c r="GT147" i="2" s="1"/>
  <c r="GT181" i="2" a="1"/>
  <c r="GT181" i="2" s="1"/>
  <c r="GT74" i="2" a="1"/>
  <c r="GT74" i="2" s="1"/>
  <c r="GT33" i="2" a="1"/>
  <c r="GT33" i="2" s="1"/>
  <c r="GT115" i="2" a="1"/>
  <c r="GT115" i="2" s="1"/>
  <c r="GT138" i="2" a="1"/>
  <c r="GT138" i="2" s="1"/>
  <c r="GT178" i="2" a="1"/>
  <c r="GT178" i="2" s="1"/>
  <c r="GT133" i="2" a="1"/>
  <c r="GT133" i="2" s="1"/>
  <c r="GT107" i="2" a="1"/>
  <c r="GT107" i="2" s="1"/>
  <c r="GT189" i="2" a="1"/>
  <c r="GT189" i="2" s="1"/>
  <c r="GT121" i="2" a="1"/>
  <c r="GT121" i="2" s="1"/>
  <c r="GT15" i="2" a="1"/>
  <c r="GT15" i="2" s="1"/>
  <c r="GT174" i="2" a="1"/>
  <c r="GT174" i="2" s="1"/>
  <c r="GT198" i="2" a="1"/>
  <c r="GT198" i="2" s="1"/>
  <c r="GT122" i="2" a="1"/>
  <c r="GT122" i="2" s="1"/>
  <c r="HG203" i="2"/>
  <c r="HH203" i="2"/>
  <c r="BC7" i="2" a="1"/>
  <c r="BC7" i="2" s="1"/>
  <c r="BC185" i="2" a="1"/>
  <c r="BC185" i="2" s="1"/>
  <c r="BC143" i="2" a="1"/>
  <c r="BC143" i="2" s="1"/>
  <c r="BC55" i="2" a="1"/>
  <c r="BC55" i="2" s="1"/>
  <c r="BC181" i="2" a="1"/>
  <c r="BC181" i="2" s="1"/>
  <c r="FY142" i="2" a="1"/>
  <c r="FY142" i="2" s="1"/>
  <c r="FY174" i="2" a="1"/>
  <c r="FY174" i="2" s="1"/>
  <c r="FY173" i="2" a="1"/>
  <c r="FY173" i="2" s="1"/>
  <c r="FY66" i="2" a="1"/>
  <c r="FY66" i="2" s="1"/>
  <c r="FY86" i="2" a="1"/>
  <c r="FY86" i="2" s="1"/>
  <c r="FY34" i="2" a="1"/>
  <c r="FY34" i="2" s="1"/>
  <c r="FY121" i="2" a="1"/>
  <c r="FY121" i="2" s="1"/>
  <c r="FY72" i="2" a="1"/>
  <c r="FY72" i="2" s="1"/>
  <c r="FY58" i="2" a="1"/>
  <c r="FY58" i="2" s="1"/>
  <c r="FY164" i="2" a="1"/>
  <c r="FY164" i="2" s="1"/>
  <c r="FY99" i="2" a="1"/>
  <c r="FY99" i="2" s="1"/>
  <c r="FY159" i="2" a="1"/>
  <c r="FY159" i="2" s="1"/>
  <c r="FY120" i="2" a="1"/>
  <c r="FY120" i="2" s="1"/>
  <c r="FY30" i="2" a="1"/>
  <c r="FY30" i="2" s="1"/>
  <c r="FY149" i="2" a="1"/>
  <c r="FY149" i="2" s="1"/>
  <c r="FY178" i="2" a="1"/>
  <c r="FY178" i="2" s="1"/>
  <c r="FY116" i="2" a="1"/>
  <c r="FY116" i="2" s="1"/>
  <c r="FY143" i="2" a="1"/>
  <c r="FY143" i="2" s="1"/>
  <c r="FY29" i="2" a="1"/>
  <c r="FY29" i="2" s="1"/>
  <c r="FY24" i="2" a="1"/>
  <c r="FY24" i="2" s="1"/>
  <c r="FY55" i="2" a="1"/>
  <c r="FY55" i="2" s="1"/>
  <c r="FY92" i="2" a="1"/>
  <c r="FY92" i="2" s="1"/>
  <c r="FY191" i="2" a="1"/>
  <c r="FY191" i="2" s="1"/>
  <c r="FY47" i="2" a="1"/>
  <c r="FY47" i="2" s="1"/>
  <c r="FY42" i="2" a="1"/>
  <c r="FY42" i="2" s="1"/>
  <c r="FY196" i="2" a="1"/>
  <c r="FY196" i="2" s="1"/>
  <c r="FY124" i="2" a="1"/>
  <c r="FY124" i="2" s="1"/>
  <c r="FY126" i="2" a="1"/>
  <c r="FY126" i="2" s="1"/>
  <c r="FY111" i="2" a="1"/>
  <c r="FY111" i="2" s="1"/>
  <c r="FY110" i="2" a="1"/>
  <c r="FY110" i="2" s="1"/>
  <c r="FY80" i="2" a="1"/>
  <c r="FY80" i="2" s="1"/>
  <c r="FY82" i="2" a="1"/>
  <c r="FY82" i="2" s="1"/>
  <c r="FY169" i="2" a="1"/>
  <c r="FY169" i="2" s="1"/>
  <c r="FY188" i="2" a="1"/>
  <c r="FY188" i="2" s="1"/>
  <c r="FY73" i="2" a="1"/>
  <c r="FY73" i="2" s="1"/>
  <c r="FY153" i="2" a="1"/>
  <c r="FY153" i="2" s="1"/>
  <c r="FY182" i="2" a="1"/>
  <c r="FY1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167" i="2" a="1"/>
  <c r="FY167" i="2" s="1"/>
  <c r="FY115" i="2" a="1"/>
  <c r="FY115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146" i="2" a="1"/>
  <c r="FY146" i="2" s="1"/>
  <c r="FY32" i="2" a="1"/>
  <c r="FY32" i="2" s="1"/>
  <c r="FY71" i="2" a="1"/>
  <c r="FY71" i="2" s="1"/>
  <c r="FY18" i="2" a="1"/>
  <c r="FY18" i="2" s="1"/>
  <c r="FY133" i="2" a="1"/>
  <c r="FY133" i="2" s="1"/>
  <c r="FY140" i="2" a="1"/>
  <c r="FY140" i="2" s="1"/>
  <c r="FS203" i="2"/>
  <c r="FY50" i="2" a="1"/>
  <c r="FY50" i="2" s="1"/>
  <c r="FY35" i="2" a="1"/>
  <c r="FY35" i="2" s="1"/>
  <c r="FY165" i="2" a="1"/>
  <c r="FY165" i="2" s="1"/>
  <c r="DN56" i="2" a="1"/>
  <c r="DN56" i="2" s="1"/>
  <c r="EI166" i="2" a="1"/>
  <c r="EI166" i="2" s="1"/>
  <c r="EI198" i="2" a="1"/>
  <c r="EI198" i="2" s="1"/>
  <c r="BC151" i="2" a="1"/>
  <c r="BC151" i="2" s="1"/>
  <c r="BC192" i="2" a="1"/>
  <c r="BC192" i="2" s="1"/>
  <c r="BC47" i="2" a="1"/>
  <c r="BC47" i="2" s="1"/>
  <c r="BC130" i="2" a="1"/>
  <c r="BC130" i="2" s="1"/>
  <c r="BC117" i="2" a="1"/>
  <c r="BC117" i="2" s="1"/>
  <c r="BC58" i="2" a="1"/>
  <c r="BC58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2" i="2" a="1"/>
  <c r="BC32" i="2" s="1"/>
  <c r="BC126" i="2" a="1"/>
  <c r="BC126" i="2" s="1"/>
  <c r="BC83" i="2" a="1"/>
  <c r="BC83" i="2" s="1"/>
  <c r="BC164" i="2" a="1"/>
  <c r="BC164" i="2" s="1"/>
  <c r="BC82" i="2" a="1"/>
  <c r="BC82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T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J37" i="2" l="1"/>
  <c r="FJ155" i="2"/>
  <c r="FJ187" i="2"/>
  <c r="FJ136" i="2"/>
  <c r="FJ124" i="2"/>
  <c r="FJ17" i="2"/>
  <c r="FJ103" i="2"/>
  <c r="FJ151" i="2"/>
  <c r="FJ16" i="2"/>
  <c r="FJ59" i="2"/>
  <c r="FJ81" i="2"/>
  <c r="FJ162" i="2"/>
  <c r="FJ200" i="2"/>
  <c r="FJ114" i="2"/>
  <c r="FJ126" i="2"/>
  <c r="FJ112" i="2"/>
  <c r="FJ183" i="2"/>
  <c r="FJ90" i="2"/>
  <c r="FJ83" i="2"/>
  <c r="FJ40" i="2"/>
  <c r="FJ171" i="2"/>
  <c r="FJ86" i="2"/>
  <c r="FJ143" i="2"/>
  <c r="FJ79" i="2"/>
  <c r="FJ61" i="2"/>
  <c r="FJ197" i="2"/>
  <c r="FJ25" i="2"/>
  <c r="FJ196" i="2"/>
  <c r="FJ174" i="2"/>
  <c r="FJ138" i="2"/>
  <c r="FJ102" i="2"/>
  <c r="FJ153" i="2"/>
  <c r="FJ21" i="2"/>
  <c r="FJ142" i="2"/>
  <c r="FJ104" i="2"/>
  <c r="FJ99" i="2"/>
  <c r="FJ76" i="2"/>
  <c r="FJ66" i="2"/>
  <c r="FJ147" i="2"/>
  <c r="FJ94" i="2"/>
  <c r="FJ107" i="2"/>
  <c r="FJ145" i="2"/>
  <c r="FJ8" i="2"/>
  <c r="FJ97" i="2"/>
  <c r="FJ149" i="2"/>
  <c r="FJ195" i="2"/>
  <c r="FJ78" i="2"/>
  <c r="FJ132" i="2"/>
  <c r="FJ42" i="2"/>
  <c r="FJ133" i="2"/>
  <c r="FJ89" i="2"/>
  <c r="FJ109" i="2"/>
  <c r="FJ198" i="2"/>
  <c r="FJ60" i="2"/>
  <c r="FJ91" i="2"/>
  <c r="FJ129" i="2"/>
  <c r="FJ50" i="2"/>
  <c r="FJ27" i="2"/>
  <c r="FJ120" i="2"/>
  <c r="FJ51" i="2"/>
  <c r="FJ92" i="2"/>
  <c r="FJ170" i="2"/>
  <c r="FJ135" i="2"/>
  <c r="FJ157" i="2"/>
  <c r="FJ56" i="2"/>
  <c r="FJ110" i="2"/>
  <c r="FJ46" i="2"/>
  <c r="FJ115" i="2"/>
  <c r="FJ116" i="2"/>
  <c r="FJ185" i="2"/>
  <c r="FJ22" i="2"/>
  <c r="FJ192" i="2"/>
  <c r="FJ169" i="2"/>
  <c r="FJ48" i="2"/>
  <c r="FJ123" i="2"/>
  <c r="FJ161" i="2"/>
  <c r="FJ150" i="2"/>
  <c r="FJ105" i="2"/>
  <c r="FJ106" i="2"/>
  <c r="FJ69" i="2"/>
  <c r="FJ154" i="2"/>
  <c r="FJ80" i="2"/>
  <c r="FJ68" i="2"/>
  <c r="FJ113" i="2"/>
  <c r="FJ125" i="2"/>
  <c r="FJ34" i="2"/>
  <c r="FJ180" i="2"/>
  <c r="FJ144" i="2"/>
  <c r="FJ121" i="2"/>
  <c r="FJ182" i="2"/>
  <c r="FJ193" i="2"/>
  <c r="FJ29" i="2"/>
  <c r="FJ167" i="2"/>
  <c r="FJ95" i="2"/>
  <c r="FJ30" i="2"/>
  <c r="FJ5" i="2"/>
  <c r="FJ85" i="2"/>
  <c r="FJ35" i="2"/>
  <c r="FJ19" i="2"/>
  <c r="FJ45" i="2"/>
  <c r="FJ18" i="2"/>
  <c r="FJ111" i="2"/>
  <c r="FJ96" i="2"/>
  <c r="FJ73" i="2"/>
  <c r="FJ140" i="2"/>
  <c r="FJ148" i="2"/>
  <c r="FJ84" i="2"/>
  <c r="FJ127" i="2"/>
  <c r="FJ158" i="2"/>
  <c r="FJ163" i="2"/>
  <c r="FJ190" i="2"/>
  <c r="FJ165" i="2"/>
  <c r="FJ203" i="2"/>
  <c r="FJ75" i="2"/>
  <c r="FJ14" i="2"/>
  <c r="FJ181" i="2"/>
  <c r="FJ139" i="2"/>
  <c r="FJ87" i="2"/>
  <c r="FJ172" i="2"/>
  <c r="FJ23" i="2"/>
  <c r="FJ72" i="2"/>
  <c r="FJ159" i="2"/>
  <c r="FJ57" i="2"/>
  <c r="FJ63" i="2"/>
  <c r="FJ191" i="2"/>
  <c r="FJ131" i="2"/>
  <c r="FJ141" i="2"/>
  <c r="FJ70" i="2"/>
  <c r="FJ41" i="2"/>
  <c r="FJ156" i="2"/>
  <c r="FJ178" i="2"/>
  <c r="FJ122" i="2"/>
  <c r="FJ12" i="2"/>
  <c r="FJ93" i="2"/>
  <c r="FJ100" i="2"/>
  <c r="FJ160" i="2"/>
  <c r="FJ184" i="2"/>
  <c r="FJ146" i="2"/>
  <c r="FJ7" i="2"/>
  <c r="FJ164" i="2"/>
  <c r="FJ176" i="2"/>
  <c r="FJ26" i="2"/>
  <c r="FJ3" i="2"/>
  <c r="C13" i="4" s="1"/>
  <c r="E13" i="4" s="1"/>
  <c r="F13" i="4" s="1"/>
  <c r="G13" i="4" s="1"/>
  <c r="L13" i="4" s="1"/>
  <c r="FJ152" i="2"/>
  <c r="FJ128" i="2"/>
  <c r="FJ88" i="2"/>
  <c r="FJ179" i="2"/>
  <c r="FJ177" i="2"/>
  <c r="FJ98" i="2"/>
  <c r="FJ28" i="2"/>
  <c r="FJ54" i="2"/>
  <c r="FJ6" i="2"/>
  <c r="FJ74" i="2"/>
  <c r="FJ53" i="2"/>
  <c r="FJ39" i="2"/>
  <c r="FJ134" i="2"/>
  <c r="FJ65" i="2"/>
  <c r="FJ43" i="2"/>
  <c r="FJ31" i="2"/>
  <c r="FJ32" i="2"/>
  <c r="FJ33" i="2"/>
  <c r="FJ77" i="2"/>
  <c r="FJ71" i="2"/>
  <c r="FJ186" i="2"/>
  <c r="FJ9" i="2"/>
  <c r="FJ108" i="2"/>
  <c r="FJ55" i="2"/>
  <c r="FJ64" i="2"/>
  <c r="FJ11" i="2"/>
  <c r="FJ52" i="2"/>
  <c r="FJ137" i="2"/>
  <c r="FJ82" i="2"/>
  <c r="FJ62" i="2"/>
  <c r="FJ38" i="2"/>
  <c r="FJ118" i="2"/>
  <c r="FJ13" i="2"/>
  <c r="FJ202" i="2"/>
  <c r="FJ189" i="2"/>
  <c r="FJ168" i="2"/>
  <c r="FJ175" i="2"/>
  <c r="FJ10" i="2"/>
  <c r="FJ4" i="2"/>
  <c r="FJ101" i="2"/>
  <c r="FJ67" i="2"/>
  <c r="FJ36" i="2"/>
  <c r="FJ173" i="2"/>
  <c r="FJ20" i="2"/>
  <c r="FJ49" i="2"/>
  <c r="FJ47" i="2"/>
  <c r="FJ166" i="2"/>
  <c r="FJ130" i="2"/>
  <c r="FJ201" i="2"/>
  <c r="FJ119" i="2"/>
  <c r="FJ199" i="2"/>
  <c r="FJ24" i="2"/>
  <c r="FJ58" i="2"/>
  <c r="FJ117" i="2"/>
  <c r="FJ188" i="2"/>
  <c r="FJ194" i="2"/>
  <c r="FJ44" i="2"/>
  <c r="FJ15" i="2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GZ170" i="2" l="1"/>
  <c r="GZ184" i="2"/>
  <c r="GZ132" i="2"/>
  <c r="GZ182" i="2"/>
  <c r="GZ202" i="2"/>
  <c r="GZ60" i="2"/>
  <c r="GZ94" i="2"/>
  <c r="GZ65" i="2"/>
  <c r="GZ160" i="2"/>
  <c r="GZ130" i="2"/>
  <c r="GZ126" i="2"/>
  <c r="GZ186" i="2"/>
  <c r="GZ48" i="2"/>
  <c r="GZ113" i="2"/>
  <c r="GZ178" i="2"/>
  <c r="GZ187" i="2"/>
  <c r="GZ24" i="2"/>
  <c r="GZ50" i="2"/>
  <c r="GZ21" i="2"/>
  <c r="GZ34" i="2"/>
  <c r="GZ105" i="2"/>
  <c r="GZ77" i="2"/>
  <c r="GZ191" i="2"/>
  <c r="GZ168" i="2"/>
  <c r="GZ137" i="2"/>
  <c r="GZ97" i="2"/>
  <c r="GZ117" i="2"/>
  <c r="GZ6" i="2"/>
  <c r="GZ129" i="2"/>
  <c r="GZ124" i="2"/>
  <c r="GZ92" i="2"/>
  <c r="GZ185" i="2"/>
  <c r="GZ146" i="2"/>
  <c r="GZ57" i="2"/>
  <c r="GZ95" i="2"/>
  <c r="GZ145" i="2"/>
  <c r="GZ33" i="2"/>
  <c r="GZ90" i="2"/>
  <c r="GZ52" i="2"/>
  <c r="GZ167" i="2"/>
  <c r="GZ188" i="2"/>
  <c r="GZ175" i="2"/>
  <c r="GZ165" i="2"/>
  <c r="GZ49" i="2"/>
  <c r="GZ102" i="2"/>
  <c r="GZ193" i="2"/>
  <c r="GZ192" i="2"/>
  <c r="GZ38" i="2"/>
  <c r="GZ164" i="2"/>
  <c r="GZ201" i="2"/>
  <c r="GZ173" i="2"/>
  <c r="GZ156" i="2"/>
  <c r="GZ28" i="2"/>
  <c r="GZ172" i="2"/>
  <c r="GZ31" i="2"/>
  <c r="GZ158" i="2"/>
  <c r="GZ109" i="2"/>
  <c r="GZ166" i="2"/>
  <c r="GZ78" i="2"/>
  <c r="GZ82" i="2"/>
  <c r="GZ67" i="2"/>
  <c r="GZ199" i="2"/>
  <c r="GZ56" i="2"/>
  <c r="GZ123" i="2"/>
  <c r="GZ197" i="2"/>
  <c r="GZ131" i="2"/>
  <c r="GZ114" i="2"/>
  <c r="GZ179" i="2"/>
  <c r="GZ72" i="2"/>
  <c r="GZ62" i="2"/>
  <c r="GZ149" i="2"/>
  <c r="GZ127" i="2"/>
  <c r="GZ81" i="2"/>
  <c r="GZ98" i="2"/>
  <c r="GZ96" i="2"/>
  <c r="GZ11" i="2"/>
  <c r="GZ171" i="2"/>
  <c r="GZ150" i="2"/>
  <c r="GZ136" i="2"/>
  <c r="GZ112" i="2"/>
  <c r="GZ74" i="2"/>
  <c r="GZ108" i="2"/>
  <c r="GZ71" i="2"/>
  <c r="GZ51" i="2"/>
  <c r="GZ125" i="2"/>
  <c r="GZ29" i="2"/>
  <c r="GZ99" i="2"/>
  <c r="GZ36" i="2"/>
  <c r="GZ139" i="2"/>
  <c r="GZ7" i="2"/>
  <c r="GZ55" i="2"/>
  <c r="GZ116" i="2"/>
  <c r="GZ174" i="2"/>
  <c r="GZ8" i="2"/>
  <c r="GZ157" i="2"/>
  <c r="GZ163" i="2"/>
  <c r="GZ47" i="2"/>
  <c r="GZ45" i="2"/>
  <c r="GZ162" i="2"/>
  <c r="GZ200" i="2"/>
  <c r="GZ177" i="2"/>
  <c r="GZ101" i="2"/>
  <c r="GZ53" i="2"/>
  <c r="GZ5" i="2"/>
  <c r="GZ143" i="2"/>
  <c r="GZ14" i="2"/>
  <c r="GZ61" i="2"/>
  <c r="GZ10" i="2"/>
  <c r="GZ13" i="2"/>
  <c r="GZ41" i="2"/>
  <c r="GZ17" i="2"/>
  <c r="GZ68" i="2"/>
  <c r="GZ69" i="2"/>
  <c r="GZ141" i="2"/>
  <c r="GZ22" i="2"/>
  <c r="GZ180" i="2"/>
  <c r="GZ93" i="2"/>
  <c r="GZ195" i="2"/>
  <c r="GZ122" i="2"/>
  <c r="GZ42" i="2"/>
  <c r="GZ88" i="2"/>
  <c r="GZ190" i="2"/>
  <c r="GZ142" i="2"/>
  <c r="GZ84" i="2"/>
  <c r="GZ159" i="2"/>
  <c r="GZ44" i="2"/>
  <c r="GZ9" i="2"/>
  <c r="GZ111" i="2"/>
  <c r="GZ151" i="2"/>
  <c r="GZ73" i="2"/>
  <c r="GZ152" i="2"/>
  <c r="GZ89" i="2"/>
  <c r="GZ12" i="2"/>
  <c r="GZ20" i="2"/>
  <c r="GZ83" i="2"/>
  <c r="GZ120" i="2"/>
  <c r="GZ59" i="2"/>
  <c r="GZ91" i="2"/>
  <c r="GZ32" i="2"/>
  <c r="GZ19" i="2"/>
  <c r="GZ115" i="2"/>
  <c r="GZ181" i="2"/>
  <c r="GZ169" i="2"/>
  <c r="GZ119" i="2"/>
  <c r="GZ196" i="2"/>
  <c r="GZ64" i="2"/>
  <c r="GZ75" i="2"/>
  <c r="GZ140" i="2"/>
  <c r="GZ70" i="2"/>
  <c r="GZ189" i="2"/>
  <c r="GZ135" i="2"/>
  <c r="GZ100" i="2"/>
  <c r="GZ86" i="2"/>
  <c r="GZ63" i="2"/>
  <c r="GZ154" i="2"/>
  <c r="GZ147" i="2"/>
  <c r="GZ133" i="2"/>
  <c r="GZ106" i="2"/>
  <c r="GZ176" i="2"/>
  <c r="GZ54" i="2"/>
  <c r="GZ37" i="2"/>
  <c r="GZ118" i="2"/>
  <c r="GZ161" i="2"/>
  <c r="GZ87" i="2"/>
  <c r="GZ18" i="2"/>
  <c r="GZ153" i="2"/>
  <c r="GZ85" i="2"/>
  <c r="GZ155" i="2"/>
  <c r="GZ128" i="2"/>
  <c r="GZ148" i="2"/>
  <c r="GZ198" i="2"/>
  <c r="GZ58" i="2"/>
  <c r="GZ183" i="2"/>
  <c r="GZ4" i="2"/>
  <c r="GZ134" i="2"/>
  <c r="GZ104" i="2"/>
  <c r="GZ138" i="2"/>
  <c r="GZ103" i="2"/>
  <c r="GZ39" i="2"/>
  <c r="GZ66" i="2"/>
  <c r="GZ144" i="2"/>
  <c r="GZ15" i="2"/>
  <c r="GZ79" i="2"/>
  <c r="GZ16" i="2"/>
  <c r="GZ43" i="2"/>
  <c r="GZ27" i="2"/>
  <c r="GZ40" i="2"/>
  <c r="GZ23" i="2"/>
  <c r="GZ76" i="2"/>
  <c r="GZ121" i="2"/>
  <c r="GZ46" i="2"/>
  <c r="GZ203" i="2"/>
  <c r="GZ107" i="2"/>
  <c r="GZ30" i="2"/>
  <c r="GZ110" i="2"/>
  <c r="GZ25" i="2"/>
  <c r="GZ80" i="2"/>
  <c r="GZ35" i="2"/>
  <c r="GZ26" i="2"/>
  <c r="GZ194" i="2"/>
  <c r="GZ3" i="2"/>
  <c r="C15" i="4" s="1"/>
  <c r="E15" i="4" s="1"/>
  <c r="F15" i="4" s="1"/>
  <c r="G15" i="4" s="1"/>
  <c r="L15" i="4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46" i="2" l="1"/>
  <c r="CD125" i="2"/>
  <c r="CD96" i="2"/>
  <c r="CD86" i="2"/>
  <c r="CD82" i="2"/>
  <c r="CD190" i="2"/>
  <c r="CD39" i="2"/>
  <c r="CD151" i="2"/>
  <c r="CD65" i="2"/>
  <c r="CD3" i="2"/>
  <c r="C9" i="4" s="1"/>
  <c r="E9" i="4" s="1"/>
  <c r="F9" i="4" s="1"/>
  <c r="G9" i="4" s="1"/>
  <c r="L9" i="4" s="1"/>
  <c r="CD141" i="2"/>
  <c r="CD136" i="2"/>
  <c r="CD33" i="2"/>
  <c r="CD42" i="2"/>
  <c r="CD119" i="2"/>
  <c r="CD176" i="2"/>
  <c r="CD103" i="2"/>
  <c r="CD150" i="2"/>
  <c r="CD114" i="2"/>
  <c r="CD19" i="2"/>
  <c r="CD113" i="2"/>
  <c r="CD191" i="2"/>
  <c r="CD91" i="2"/>
  <c r="CD38" i="2"/>
  <c r="CD106" i="2"/>
  <c r="CD152" i="2"/>
  <c r="CD13" i="2"/>
  <c r="CD10" i="2"/>
  <c r="CD154" i="2"/>
  <c r="CD196" i="2"/>
  <c r="CD148" i="2"/>
  <c r="CD94" i="2"/>
  <c r="CD109" i="2"/>
  <c r="CD4" i="2"/>
  <c r="CD40" i="2"/>
  <c r="CD70" i="2"/>
  <c r="CD69" i="2"/>
  <c r="CD110" i="2"/>
  <c r="CD87" i="2"/>
  <c r="CD179" i="2"/>
  <c r="CD185" i="2"/>
  <c r="CD95" i="2"/>
  <c r="CD37" i="2"/>
  <c r="CD15" i="2"/>
  <c r="CD56" i="2"/>
  <c r="CD140" i="2"/>
  <c r="CD85" i="2"/>
  <c r="CD156" i="2"/>
  <c r="CD61" i="2"/>
  <c r="CD43" i="2"/>
  <c r="CD11" i="2"/>
  <c r="CD182" i="2"/>
  <c r="CD31" i="2"/>
  <c r="CD200" i="2"/>
  <c r="CD172" i="2"/>
  <c r="CD64" i="2"/>
  <c r="CD52" i="2"/>
  <c r="CD129" i="2"/>
  <c r="CD29" i="2"/>
  <c r="CD159" i="2"/>
  <c r="CD126" i="2"/>
  <c r="CD104" i="2"/>
  <c r="CD7" i="2"/>
  <c r="CD139" i="2"/>
  <c r="CD47" i="2"/>
  <c r="CD58" i="2"/>
  <c r="CD186" i="2"/>
  <c r="CD180" i="2"/>
  <c r="CD67" i="2"/>
  <c r="CD183" i="2"/>
  <c r="CD189" i="2"/>
  <c r="CD102" i="2"/>
  <c r="CD6" i="2"/>
  <c r="CD184" i="2"/>
  <c r="CD72" i="2"/>
  <c r="CD100" i="2"/>
  <c r="CD68" i="2"/>
  <c r="CD167" i="2"/>
  <c r="CD132" i="2"/>
  <c r="CD171" i="2"/>
  <c r="CD76" i="2"/>
  <c r="CD97" i="2"/>
  <c r="CD116" i="2"/>
  <c r="CD36" i="2"/>
  <c r="CD45" i="2"/>
  <c r="CD105" i="2"/>
  <c r="CD155" i="2"/>
  <c r="CD108" i="2"/>
  <c r="CD118" i="2"/>
  <c r="CD71" i="2"/>
  <c r="CD92" i="2"/>
  <c r="CD16" i="2"/>
  <c r="CD20" i="2"/>
  <c r="CD25" i="2"/>
  <c r="CD22" i="2"/>
  <c r="CD44" i="2"/>
  <c r="CD123" i="2"/>
  <c r="CD32" i="2"/>
  <c r="CD138" i="2"/>
  <c r="CD93" i="2"/>
  <c r="CD112" i="2"/>
  <c r="CD9" i="2"/>
  <c r="CD164" i="2"/>
  <c r="CD21" i="2"/>
  <c r="CD14" i="2"/>
  <c r="CD77" i="2"/>
  <c r="CD49" i="2"/>
  <c r="CD170" i="2"/>
  <c r="CD174" i="2"/>
  <c r="CD41" i="2"/>
  <c r="CD79" i="2"/>
  <c r="CD175" i="2"/>
  <c r="CD28" i="2"/>
  <c r="CD202" i="2"/>
  <c r="CD23" i="2"/>
  <c r="CD135" i="2"/>
  <c r="CD157" i="2"/>
  <c r="CD46" i="2"/>
  <c r="CD111" i="2"/>
  <c r="CD160" i="2"/>
  <c r="CD99" i="2"/>
  <c r="CD83" i="2"/>
  <c r="CD122" i="2"/>
  <c r="CD195" i="2"/>
  <c r="CD90" i="2"/>
  <c r="CD144" i="2"/>
  <c r="CD137" i="2"/>
  <c r="CD98" i="2"/>
  <c r="CD50" i="2"/>
  <c r="CD101" i="2"/>
  <c r="CD163" i="2"/>
  <c r="CD59" i="2"/>
  <c r="CD115" i="2"/>
  <c r="CD12" i="2"/>
  <c r="CD177" i="2"/>
  <c r="CD201" i="2"/>
  <c r="CD181" i="2"/>
  <c r="CD27" i="2"/>
  <c r="CD198" i="2"/>
  <c r="CD81" i="2"/>
  <c r="CD74" i="2"/>
  <c r="CD187" i="2"/>
  <c r="CD73" i="2"/>
  <c r="CD199" i="2"/>
  <c r="CD80" i="2"/>
  <c r="CD117" i="2"/>
  <c r="CD60" i="2"/>
  <c r="CD133" i="2"/>
  <c r="CD51" i="2"/>
  <c r="CD107" i="2"/>
  <c r="CD5" i="2"/>
  <c r="CD120" i="2"/>
  <c r="CD26" i="2"/>
  <c r="CD53" i="2"/>
  <c r="CD145" i="2"/>
  <c r="CD142" i="2"/>
  <c r="CD194" i="2"/>
  <c r="CD128" i="2"/>
  <c r="CD188" i="2"/>
  <c r="CD57" i="2"/>
  <c r="CD54" i="2"/>
  <c r="CD62" i="2"/>
  <c r="CD147" i="2"/>
  <c r="CD161" i="2"/>
  <c r="CD89" i="2"/>
  <c r="CD192" i="2"/>
  <c r="CD8" i="2"/>
  <c r="CD18" i="2"/>
  <c r="CD63" i="2"/>
  <c r="CD34" i="2"/>
  <c r="CD165" i="2"/>
  <c r="CD143" i="2"/>
  <c r="CD66" i="2"/>
  <c r="CD131" i="2"/>
  <c r="CD30" i="2"/>
  <c r="CD88" i="2"/>
  <c r="CD84" i="2"/>
  <c r="CD55" i="2"/>
  <c r="CD168" i="2"/>
  <c r="CD178" i="2"/>
  <c r="CD153" i="2"/>
  <c r="CD173" i="2"/>
  <c r="CD78" i="2"/>
  <c r="CD130" i="2"/>
  <c r="CD127" i="2"/>
  <c r="CD203" i="2"/>
  <c r="CD169" i="2"/>
  <c r="CD48" i="2"/>
  <c r="CD158" i="2"/>
  <c r="CD162" i="2"/>
  <c r="CD35" i="2"/>
  <c r="CD121" i="2"/>
  <c r="CD75" i="2"/>
  <c r="CD193" i="2"/>
  <c r="CD17" i="2"/>
  <c r="CD149" i="2"/>
  <c r="CD124" i="2"/>
  <c r="CD134" i="2"/>
  <c r="CD24" i="2"/>
  <c r="CD166" i="2"/>
  <c r="CD19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1" i="2" l="1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<sst xmlns="http://schemas.openxmlformats.org/spreadsheetml/2006/main" count="1179" uniqueCount="324">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</sst>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0955136"/>
        <c:axId val="-620955680"/>
      </c:scatterChart>
      <c:valAx>
        <c:axId val="-620955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0955680"/>
        <c:crosses val="autoZero"/>
        <c:crossBetween val="midCat"/>
      </c:valAx>
      <c:valAx>
        <c:axId val="-62095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095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6638288"/>
        <c:axId val="-766637744"/>
      </c:scatterChart>
      <c:valAx>
        <c:axId val="-766638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6637744"/>
        <c:crosses val="autoZero"/>
        <c:crossBetween val="midCat"/>
      </c:valAx>
      <c:valAx>
        <c:axId val="-76663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663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0969280"/>
        <c:axId val="-867613776"/>
      </c:scatterChart>
      <c:valAx>
        <c:axId val="-620969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13776"/>
        <c:crosses val="autoZero"/>
        <c:crossBetween val="midCat"/>
      </c:valAx>
      <c:valAx>
        <c:axId val="-86761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096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238.96515518245596</c:v>
                </c:pt>
                <c:pt idx="32">
                  <c:v>257.78890626510474</c:v>
                </c:pt>
                <c:pt idx="33">
                  <c:v>276.58158830990754</c:v>
                </c:pt>
                <c:pt idx="34">
                  <c:v>295.34560890488154</c:v>
                </c:pt>
                <c:pt idx="35">
                  <c:v>314.08304469239323</c:v>
                </c:pt>
                <c:pt idx="36">
                  <c:v>230.46511069348841</c:v>
                </c:pt>
                <c:pt idx="37">
                  <c:v>250.04186301596869</c:v>
                </c:pt>
                <c:pt idx="38">
                  <c:v>269.58386372150011</c:v>
                </c:pt>
                <c:pt idx="39">
                  <c:v>289.09398574595832</c:v>
                </c:pt>
                <c:pt idx="40">
                  <c:v>308.57468250394254</c:v>
                </c:pt>
                <c:pt idx="41">
                  <c:v>328.39486727133897</c:v>
                </c:pt>
                <c:pt idx="42">
                  <c:v>348.18865493629545</c:v>
                </c:pt>
                <c:pt idx="43">
                  <c:v>367.95775652370889</c:v>
                </c:pt>
                <c:pt idx="44">
                  <c:v>387.70368425262313</c:v>
                </c:pt>
                <c:pt idx="45">
                  <c:v>407.42778379371674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365.39643285792198</c:v>
                </c:pt>
                <c:pt idx="49">
                  <c:v>385.51079352962591</c:v>
                </c:pt>
                <c:pt idx="50">
                  <c:v>405.60236216041102</c:v>
                </c:pt>
                <c:pt idx="51">
                  <c:v>425.67242592235567</c:v>
                </c:pt>
                <c:pt idx="52">
                  <c:v>445.72214076928839</c:v>
                </c:pt>
                <c:pt idx="53">
                  <c:v>465.7525502351603</c:v>
                </c:pt>
                <c:pt idx="54">
                  <c:v>485.76460083050733</c:v>
                </c:pt>
                <c:pt idx="55">
                  <c:v>505.75915477017446</c:v>
                </c:pt>
                <c:pt idx="56">
                  <c:v>423.48397302905886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521.01643278606741</c:v>
                </c:pt>
                <c:pt idx="62">
                  <c:v>539.89338352110906</c:v>
                </c:pt>
                <c:pt idx="63">
                  <c:v>558.75647389763037</c:v>
                </c:pt>
                <c:pt idx="64">
                  <c:v>577.60623734341596</c:v>
                </c:pt>
                <c:pt idx="65">
                  <c:v>596.44316965824487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602.5986930584329</c:v>
                </c:pt>
                <c:pt idx="72">
                  <c:v>619.61015231945032</c:v>
                </c:pt>
                <c:pt idx="73">
                  <c:v>636.61193754186297</c:v>
                </c:pt>
                <c:pt idx="74">
                  <c:v>653.60434327896314</c:v>
                </c:pt>
                <c:pt idx="75">
                  <c:v>670.58764753168168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664.08446166144438</c:v>
                </c:pt>
                <c:pt idx="82">
                  <c:v>679.25654809959303</c:v>
                </c:pt>
                <c:pt idx="83">
                  <c:v>694.42167934111387</c:v>
                </c:pt>
                <c:pt idx="84">
                  <c:v>709.58002856627388</c:v>
                </c:pt>
                <c:pt idx="85">
                  <c:v>724.73176095850465</c:v>
                </c:pt>
                <c:pt idx="86">
                  <c:v>639.32411319685377</c:v>
                </c:pt>
                <c:pt idx="87">
                  <c:v>653.24289845337069</c:v>
                </c:pt>
                <c:pt idx="88">
                  <c:v>667.15557298910005</c:v>
                </c:pt>
                <c:pt idx="89">
                  <c:v>681.06228211658663</c:v>
                </c:pt>
                <c:pt idx="90">
                  <c:v>694.96316473380296</c:v>
                </c:pt>
                <c:pt idx="91">
                  <c:v>708.85835373260863</c:v>
                </c:pt>
                <c:pt idx="92">
                  <c:v>722.74797637354322</c:v>
                </c:pt>
                <c:pt idx="93">
                  <c:v>736.63215463032918</c:v>
                </c:pt>
                <c:pt idx="94">
                  <c:v>750.51100550707315</c:v>
                </c:pt>
                <c:pt idx="95">
                  <c:v>764.38464133080004</c:v>
                </c:pt>
                <c:pt idx="96">
                  <c:v>685.03455148539706</c:v>
                </c:pt>
                <c:pt idx="97">
                  <c:v>697.67046222084412</c:v>
                </c:pt>
                <c:pt idx="98">
                  <c:v>710.30168839718817</c:v>
                </c:pt>
                <c:pt idx="99">
                  <c:v>722.9283250124663</c:v>
                </c:pt>
                <c:pt idx="100">
                  <c:v>735.55046347762664</c:v>
                </c:pt>
                <c:pt idx="101">
                  <c:v>748.16819181248877</c:v>
                </c:pt>
                <c:pt idx="102">
                  <c:v>760.78159482780268</c:v>
                </c:pt>
                <c:pt idx="103">
                  <c:v>773.39075429462139</c:v>
                </c:pt>
                <c:pt idx="104">
                  <c:v>785.99574910205695</c:v>
                </c:pt>
                <c:pt idx="105">
                  <c:v>798.59665540440074</c:v>
                </c:pt>
                <c:pt idx="106">
                  <c:v>724.91209951452481</c:v>
                </c:pt>
                <c:pt idx="107">
                  <c:v>735.91103079239883</c:v>
                </c:pt>
                <c:pt idx="108">
                  <c:v>746.90661499339785</c:v>
                </c:pt>
                <c:pt idx="109">
                  <c:v>757.89890831170942</c:v>
                </c:pt>
                <c:pt idx="110">
                  <c:v>768.88796517943445</c:v>
                </c:pt>
                <c:pt idx="111">
                  <c:v>779.87383834676211</c:v>
                </c:pt>
                <c:pt idx="112">
                  <c:v>790.85657895739769</c:v>
                </c:pt>
                <c:pt idx="113">
                  <c:v>801.83623661958381</c:v>
                </c:pt>
                <c:pt idx="114">
                  <c:v>812.81285947303388</c:v>
                </c:pt>
                <c:pt idx="115">
                  <c:v>823.78649425206277</c:v>
                </c:pt>
                <c:pt idx="116">
                  <c:v>754.29523694491024</c:v>
                </c:pt>
                <c:pt idx="117">
                  <c:v>764.02435221498672</c:v>
                </c:pt>
                <c:pt idx="118">
                  <c:v>773.75095443005705</c:v>
                </c:pt>
                <c:pt idx="119">
                  <c:v>783.47507961966846</c:v>
                </c:pt>
                <c:pt idx="120">
                  <c:v>793.1967628465095</c:v>
                </c:pt>
                <c:pt idx="121">
                  <c:v>802.91603824413835</c:v>
                </c:pt>
                <c:pt idx="122">
                  <c:v>812.63293905279068</c:v>
                </c:pt>
                <c:pt idx="123">
                  <c:v>822.34749765338483</c:v>
                </c:pt>
                <c:pt idx="124">
                  <c:v>832.05974559984031</c:v>
                </c:pt>
                <c:pt idx="125">
                  <c:v>841.7697136498083</c:v>
                </c:pt>
                <c:pt idx="126">
                  <c:v>774.83153445720052</c:v>
                </c:pt>
                <c:pt idx="127">
                  <c:v>783.47507961966824</c:v>
                </c:pt>
                <c:pt idx="128">
                  <c:v>792.11669534290741</c:v>
                </c:pt>
                <c:pt idx="129">
                  <c:v>800.75640563492686</c:v>
                </c:pt>
                <c:pt idx="130">
                  <c:v>809.39423394365087</c:v>
                </c:pt>
                <c:pt idx="131">
                  <c:v>818.03020317595019</c:v>
                </c:pt>
                <c:pt idx="132">
                  <c:v>826.66433571582638</c:v>
                </c:pt>
                <c:pt idx="133">
                  <c:v>835.29665344180057</c:v>
                </c:pt>
                <c:pt idx="134">
                  <c:v>843.92717774354321</c:v>
                </c:pt>
                <c:pt idx="135">
                  <c:v>852.55592953779114</c:v>
                </c:pt>
                <c:pt idx="136">
                  <c:v>788.03617126113193</c:v>
                </c:pt>
                <c:pt idx="137">
                  <c:v>795.47680779353868</c:v>
                </c:pt>
                <c:pt idx="138">
                  <c:v>802.91603824413835</c:v>
                </c:pt>
                <c:pt idx="139">
                  <c:v>810.35387747296409</c:v>
                </c:pt>
                <c:pt idx="140">
                  <c:v>817.7903400451172</c:v>
                </c:pt>
                <c:pt idx="141">
                  <c:v>825.2254402393072</c:v>
                </c:pt>
                <c:pt idx="142">
                  <c:v>832.65919205606758</c:v>
                </c:pt>
                <c:pt idx="143">
                  <c:v>840.09160922566343</c:v>
                </c:pt>
                <c:pt idx="144">
                  <c:v>847.5227052157037</c:v>
                </c:pt>
                <c:pt idx="145">
                  <c:v>854.95249323847474</c:v>
                </c:pt>
                <c:pt idx="146">
                  <c:v>862.38098625800421</c:v>
                </c:pt>
                <c:pt idx="147">
                  <c:v>869.80819699686901</c:v>
                </c:pt>
                <c:pt idx="148">
                  <c:v>877.23413794276087</c:v>
                </c:pt>
                <c:pt idx="149">
                  <c:v>884.65882135481513</c:v>
                </c:pt>
                <c:pt idx="150">
                  <c:v>892.08225926971784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608880"/>
        <c:axId val="-867600176"/>
      </c:scatterChart>
      <c:valAx>
        <c:axId val="-86760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00176"/>
        <c:crosses val="autoZero"/>
        <c:crossBetween val="midCat"/>
      </c:valAx>
      <c:valAx>
        <c:axId val="-86760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0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106.595922899923</c:v>
                </c:pt>
                <c:pt idx="22">
                  <c:v>126.66372945155246</c:v>
                </c:pt>
                <c:pt idx="23">
                  <c:v>146.65432993091889</c:v>
                </c:pt>
                <c:pt idx="24">
                  <c:v>166.57974956981329</c:v>
                </c:pt>
                <c:pt idx="25">
                  <c:v>186.44889028681465</c:v>
                </c:pt>
                <c:pt idx="26">
                  <c:v>205.47668575959185</c:v>
                </c:pt>
                <c:pt idx="27">
                  <c:v>224.46374350828043</c:v>
                </c:pt>
                <c:pt idx="28">
                  <c:v>243.41399447605218</c:v>
                </c:pt>
                <c:pt idx="29">
                  <c:v>262.33070707949565</c:v>
                </c:pt>
                <c:pt idx="30">
                  <c:v>281.21663963435122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615408"/>
        <c:axId val="-867607248"/>
      </c:scatterChart>
      <c:valAx>
        <c:axId val="-86761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07248"/>
        <c:crosses val="autoZero"/>
        <c:crossBetween val="midCat"/>
      </c:valAx>
      <c:valAx>
        <c:axId val="-86760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1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22.563840725114591</c:v>
                </c:pt>
                <c:pt idx="12">
                  <c:v>30.915571937362625</c:v>
                </c:pt>
                <c:pt idx="13">
                  <c:v>39.204163730546632</c:v>
                </c:pt>
                <c:pt idx="14">
                  <c:v>47.445001472262504</c:v>
                </c:pt>
                <c:pt idx="15">
                  <c:v>55.647607276796499</c:v>
                </c:pt>
                <c:pt idx="16">
                  <c:v>70.509737306549212</c:v>
                </c:pt>
                <c:pt idx="17">
                  <c:v>85.29115470752177</c:v>
                </c:pt>
                <c:pt idx="18">
                  <c:v>100.00789455228305</c:v>
                </c:pt>
                <c:pt idx="19">
                  <c:v>114.67084666878549</c:v>
                </c:pt>
                <c:pt idx="20">
                  <c:v>129.28787235572034</c:v>
                </c:pt>
                <c:pt idx="21">
                  <c:v>141.00957959587166</c:v>
                </c:pt>
                <c:pt idx="22">
                  <c:v>152.70791420506629</c:v>
                </c:pt>
                <c:pt idx="23">
                  <c:v>164.38492068159681</c:v>
                </c:pt>
                <c:pt idx="24">
                  <c:v>176.042328862972</c:v>
                </c:pt>
                <c:pt idx="25">
                  <c:v>187.68162045019116</c:v>
                </c:pt>
                <c:pt idx="26">
                  <c:v>154.7030079571785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187.96529046020373</c:v>
                </c:pt>
                <c:pt idx="30">
                  <c:v>199.02079476214132</c:v>
                </c:pt>
                <c:pt idx="31">
                  <c:v>209.21321667808266</c:v>
                </c:pt>
                <c:pt idx="32">
                  <c:v>219.39418126734583</c:v>
                </c:pt>
                <c:pt idx="33">
                  <c:v>229.56429560621925</c:v>
                </c:pt>
                <c:pt idx="34">
                  <c:v>239.72410853611791</c:v>
                </c:pt>
                <c:pt idx="35">
                  <c:v>249.87411853503863</c:v>
                </c:pt>
                <c:pt idx="36">
                  <c:v>201.85320984852058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231.54060536306486</c:v>
                </c:pt>
                <c:pt idx="40">
                  <c:v>241.41644483936727</c:v>
                </c:pt>
                <c:pt idx="41">
                  <c:v>250.43772987290322</c:v>
                </c:pt>
                <c:pt idx="42">
                  <c:v>259.45164815796988</c:v>
                </c:pt>
                <c:pt idx="43">
                  <c:v>268.4584919570637</c:v>
                </c:pt>
                <c:pt idx="44">
                  <c:v>277.4585323020433</c:v>
                </c:pt>
                <c:pt idx="45">
                  <c:v>286.45202119010253</c:v>
                </c:pt>
                <c:pt idx="46">
                  <c:v>232.66975188863589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265.36317005758804</c:v>
                </c:pt>
                <c:pt idx="51">
                  <c:v>273.24059406456826</c:v>
                </c:pt>
                <c:pt idx="52">
                  <c:v>281.11291365958601</c:v>
                </c:pt>
                <c:pt idx="53">
                  <c:v>288.98029209880167</c:v>
                </c:pt>
                <c:pt idx="54">
                  <c:v>296.84288301434111</c:v>
                </c:pt>
                <c:pt idx="55">
                  <c:v>304.70083122716079</c:v>
                </c:pt>
                <c:pt idx="56">
                  <c:v>254.10050561748869</c:v>
                </c:pt>
                <c:pt idx="57">
                  <c:v>261.1409617991394</c:v>
                </c:pt>
                <c:pt idx="58">
                  <c:v>268.17713242968824</c:v>
                </c:pt>
                <c:pt idx="59">
                  <c:v>275.20914595206574</c:v>
                </c:pt>
                <c:pt idx="60">
                  <c:v>282.23712370144091</c:v>
                </c:pt>
                <c:pt idx="61">
                  <c:v>288.98029209880167</c:v>
                </c:pt>
                <c:pt idx="62">
                  <c:v>295.71994327479518</c:v>
                </c:pt>
                <c:pt idx="63">
                  <c:v>302.45616879398904</c:v>
                </c:pt>
                <c:pt idx="64">
                  <c:v>309.189055804661</c:v>
                </c:pt>
                <c:pt idx="65">
                  <c:v>315.91868734548387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288.69939762230462</c:v>
                </c:pt>
                <c:pt idx="70">
                  <c:v>294.87767605242175</c:v>
                </c:pt>
                <c:pt idx="71">
                  <c:v>300.4917850095556</c:v>
                </c:pt>
                <c:pt idx="72">
                  <c:v>306.10355828446791</c:v>
                </c:pt>
                <c:pt idx="73">
                  <c:v>311.71304479765814</c:v>
                </c:pt>
                <c:pt idx="74">
                  <c:v>317.32029156286308</c:v>
                </c:pt>
                <c:pt idx="75">
                  <c:v>322.92534379451848</c:v>
                </c:pt>
                <c:pt idx="76">
                  <c:v>281.95608061803119</c:v>
                </c:pt>
                <c:pt idx="77">
                  <c:v>287.2948334174273</c:v>
                </c:pt>
                <c:pt idx="78">
                  <c:v>292.63136713800878</c:v>
                </c:pt>
                <c:pt idx="79">
                  <c:v>297.96572801830735</c:v>
                </c:pt>
                <c:pt idx="80">
                  <c:v>303.29796050375222</c:v>
                </c:pt>
                <c:pt idx="81">
                  <c:v>308.34762462686376</c:v>
                </c:pt>
                <c:pt idx="82">
                  <c:v>313.39545190962349</c:v>
                </c:pt>
                <c:pt idx="83">
                  <c:v>318.44147615553698</c:v>
                </c:pt>
                <c:pt idx="84">
                  <c:v>323.48573000787184</c:v>
                </c:pt>
                <c:pt idx="85">
                  <c:v>328.52824500736261</c:v>
                </c:pt>
                <c:pt idx="86">
                  <c:v>333.28905114515595</c:v>
                </c:pt>
                <c:pt idx="87">
                  <c:v>338.04835834418958</c:v>
                </c:pt>
                <c:pt idx="88">
                  <c:v>342.80619071488087</c:v>
                </c:pt>
                <c:pt idx="89">
                  <c:v>347.5625716428699</c:v>
                </c:pt>
                <c:pt idx="90">
                  <c:v>352.31752382065253</c:v>
                </c:pt>
                <c:pt idx="91">
                  <c:v>3.5340687393033375E-12</c:v>
                </c:pt>
                <c:pt idx="92">
                  <c:v>3.5340687393033375E-12</c:v>
                </c:pt>
                <c:pt idx="93">
                  <c:v>3.5340687393033375E-12</c:v>
                </c:pt>
                <c:pt idx="94">
                  <c:v>3.5340687393033375E-12</c:v>
                </c:pt>
                <c:pt idx="95">
                  <c:v>3.5340687393033375E-12</c:v>
                </c:pt>
                <c:pt idx="96">
                  <c:v>3.5340687393033375E-12</c:v>
                </c:pt>
                <c:pt idx="97">
                  <c:v>3.5340687393033375E-12</c:v>
                </c:pt>
                <c:pt idx="98">
                  <c:v>3.5340687393033375E-12</c:v>
                </c:pt>
                <c:pt idx="99">
                  <c:v>3.5340687393033375E-12</c:v>
                </c:pt>
                <c:pt idx="100">
                  <c:v>3.5340687393033375E-12</c:v>
                </c:pt>
                <c:pt idx="101">
                  <c:v>3.5340687393033375E-12</c:v>
                </c:pt>
                <c:pt idx="102">
                  <c:v>3.5340687393033375E-12</c:v>
                </c:pt>
                <c:pt idx="103">
                  <c:v>3.5340687393033375E-12</c:v>
                </c:pt>
                <c:pt idx="104">
                  <c:v>3.5340687393033375E-12</c:v>
                </c:pt>
                <c:pt idx="105">
                  <c:v>3.5340687393033375E-12</c:v>
                </c:pt>
                <c:pt idx="106">
                  <c:v>3.5340687393033375E-12</c:v>
                </c:pt>
                <c:pt idx="107">
                  <c:v>3.5340687393033375E-12</c:v>
                </c:pt>
                <c:pt idx="108">
                  <c:v>3.5340687393033375E-12</c:v>
                </c:pt>
                <c:pt idx="109">
                  <c:v>3.5340687393033375E-12</c:v>
                </c:pt>
                <c:pt idx="110">
                  <c:v>3.5340687393033375E-12</c:v>
                </c:pt>
                <c:pt idx="111">
                  <c:v>3.5340687393033375E-12</c:v>
                </c:pt>
                <c:pt idx="112">
                  <c:v>3.5340687393033375E-12</c:v>
                </c:pt>
                <c:pt idx="113">
                  <c:v>3.5340687393033375E-12</c:v>
                </c:pt>
                <c:pt idx="114">
                  <c:v>3.5340687393033375E-12</c:v>
                </c:pt>
                <c:pt idx="115">
                  <c:v>3.5340687393033375E-12</c:v>
                </c:pt>
                <c:pt idx="116">
                  <c:v>3.5340687393033375E-12</c:v>
                </c:pt>
                <c:pt idx="117">
                  <c:v>3.5340687393033375E-12</c:v>
                </c:pt>
                <c:pt idx="118">
                  <c:v>3.5340687393033375E-12</c:v>
                </c:pt>
                <c:pt idx="119">
                  <c:v>3.5340687393033375E-12</c:v>
                </c:pt>
                <c:pt idx="120">
                  <c:v>3.5340687393033375E-12</c:v>
                </c:pt>
                <c:pt idx="121">
                  <c:v>3.5340687393033375E-12</c:v>
                </c:pt>
                <c:pt idx="122">
                  <c:v>3.5340687393033375E-12</c:v>
                </c:pt>
                <c:pt idx="123">
                  <c:v>3.5340687393033375E-12</c:v>
                </c:pt>
                <c:pt idx="124">
                  <c:v>3.5340687393033375E-12</c:v>
                </c:pt>
                <c:pt idx="125">
                  <c:v>3.5340687393033375E-12</c:v>
                </c:pt>
                <c:pt idx="126">
                  <c:v>3.5340687393033375E-12</c:v>
                </c:pt>
                <c:pt idx="127">
                  <c:v>3.5340687393033375E-12</c:v>
                </c:pt>
                <c:pt idx="128">
                  <c:v>3.5340687393033375E-12</c:v>
                </c:pt>
                <c:pt idx="129">
                  <c:v>3.5340687393033375E-12</c:v>
                </c:pt>
                <c:pt idx="130">
                  <c:v>3.5340687393033375E-12</c:v>
                </c:pt>
                <c:pt idx="131">
                  <c:v>3.5340687393033375E-12</c:v>
                </c:pt>
                <c:pt idx="132">
                  <c:v>3.5340687393033375E-12</c:v>
                </c:pt>
                <c:pt idx="133">
                  <c:v>3.5340687393033375E-12</c:v>
                </c:pt>
                <c:pt idx="134">
                  <c:v>3.5340687393033375E-12</c:v>
                </c:pt>
                <c:pt idx="135">
                  <c:v>3.5340687393033375E-12</c:v>
                </c:pt>
                <c:pt idx="136">
                  <c:v>3.5340687393033375E-12</c:v>
                </c:pt>
                <c:pt idx="137">
                  <c:v>3.5340687393033375E-12</c:v>
                </c:pt>
                <c:pt idx="138">
                  <c:v>3.5340687393033375E-12</c:v>
                </c:pt>
                <c:pt idx="139">
                  <c:v>3.5340687393033375E-12</c:v>
                </c:pt>
                <c:pt idx="140">
                  <c:v>3.5340687393033375E-12</c:v>
                </c:pt>
                <c:pt idx="141">
                  <c:v>3.5340687393033375E-12</c:v>
                </c:pt>
                <c:pt idx="142">
                  <c:v>3.5340687393033375E-12</c:v>
                </c:pt>
                <c:pt idx="143">
                  <c:v>3.5340687393033375E-12</c:v>
                </c:pt>
                <c:pt idx="144">
                  <c:v>3.5340687393033375E-12</c:v>
                </c:pt>
                <c:pt idx="145">
                  <c:v>3.5340687393033375E-12</c:v>
                </c:pt>
                <c:pt idx="146">
                  <c:v>3.5340687393033375E-12</c:v>
                </c:pt>
                <c:pt idx="147">
                  <c:v>3.5340687393033375E-12</c:v>
                </c:pt>
                <c:pt idx="148">
                  <c:v>3.5340687393033375E-12</c:v>
                </c:pt>
                <c:pt idx="149">
                  <c:v>3.5340687393033375E-12</c:v>
                </c:pt>
                <c:pt idx="150">
                  <c:v>3.5340687393033375E-12</c:v>
                </c:pt>
                <c:pt idx="151">
                  <c:v>3.5340687393033375E-12</c:v>
                </c:pt>
                <c:pt idx="152">
                  <c:v>3.5340687393033375E-12</c:v>
                </c:pt>
                <c:pt idx="153">
                  <c:v>3.5340687393033375E-12</c:v>
                </c:pt>
                <c:pt idx="154">
                  <c:v>3.5340687393033375E-12</c:v>
                </c:pt>
                <c:pt idx="155">
                  <c:v>3.5340687393033375E-12</c:v>
                </c:pt>
                <c:pt idx="156">
                  <c:v>3.5340687393033375E-12</c:v>
                </c:pt>
                <c:pt idx="157">
                  <c:v>3.5340687393033375E-12</c:v>
                </c:pt>
                <c:pt idx="158">
                  <c:v>3.5340687393033375E-12</c:v>
                </c:pt>
                <c:pt idx="159">
                  <c:v>3.5340687393033375E-12</c:v>
                </c:pt>
                <c:pt idx="160">
                  <c:v>3.5340687393033375E-12</c:v>
                </c:pt>
                <c:pt idx="161">
                  <c:v>3.5340687393033375E-12</c:v>
                </c:pt>
                <c:pt idx="162">
                  <c:v>3.5340687393033375E-12</c:v>
                </c:pt>
                <c:pt idx="163">
                  <c:v>3.5340687393033375E-12</c:v>
                </c:pt>
                <c:pt idx="164">
                  <c:v>3.5340687393033375E-12</c:v>
                </c:pt>
                <c:pt idx="165">
                  <c:v>3.5340687393033375E-12</c:v>
                </c:pt>
                <c:pt idx="166">
                  <c:v>3.5340687393033375E-12</c:v>
                </c:pt>
                <c:pt idx="167">
                  <c:v>3.5340687393033375E-12</c:v>
                </c:pt>
                <c:pt idx="168">
                  <c:v>3.5340687393033375E-12</c:v>
                </c:pt>
                <c:pt idx="169">
                  <c:v>3.5340687393033375E-12</c:v>
                </c:pt>
                <c:pt idx="170">
                  <c:v>3.5340687393033375E-12</c:v>
                </c:pt>
                <c:pt idx="171">
                  <c:v>3.5340687393033375E-12</c:v>
                </c:pt>
                <c:pt idx="172">
                  <c:v>3.5340687393033375E-12</c:v>
                </c:pt>
                <c:pt idx="173">
                  <c:v>3.5340687393033375E-12</c:v>
                </c:pt>
                <c:pt idx="174">
                  <c:v>3.5340687393033375E-12</c:v>
                </c:pt>
                <c:pt idx="175">
                  <c:v>3.5340687393033375E-12</c:v>
                </c:pt>
                <c:pt idx="176">
                  <c:v>3.5340687393033375E-12</c:v>
                </c:pt>
                <c:pt idx="177">
                  <c:v>3.5340687393033375E-12</c:v>
                </c:pt>
                <c:pt idx="178">
                  <c:v>3.5340687393033375E-12</c:v>
                </c:pt>
                <c:pt idx="179">
                  <c:v>3.5340687393033375E-12</c:v>
                </c:pt>
                <c:pt idx="180">
                  <c:v>3.5340687393033375E-12</c:v>
                </c:pt>
                <c:pt idx="181">
                  <c:v>3.5340687393033375E-12</c:v>
                </c:pt>
                <c:pt idx="182">
                  <c:v>3.5340687393033375E-12</c:v>
                </c:pt>
                <c:pt idx="183">
                  <c:v>3.5340687393033375E-12</c:v>
                </c:pt>
                <c:pt idx="184">
                  <c:v>3.5340687393033375E-12</c:v>
                </c:pt>
                <c:pt idx="185">
                  <c:v>3.5340687393033375E-12</c:v>
                </c:pt>
                <c:pt idx="186">
                  <c:v>3.5340687393033375E-12</c:v>
                </c:pt>
                <c:pt idx="187">
                  <c:v>3.5340687393033375E-12</c:v>
                </c:pt>
                <c:pt idx="188">
                  <c:v>3.5340687393033375E-12</c:v>
                </c:pt>
                <c:pt idx="189">
                  <c:v>3.5340687393033375E-12</c:v>
                </c:pt>
                <c:pt idx="190">
                  <c:v>3.5340687393033375E-12</c:v>
                </c:pt>
                <c:pt idx="191">
                  <c:v>3.5340687393033375E-12</c:v>
                </c:pt>
                <c:pt idx="192">
                  <c:v>3.5340687393033375E-12</c:v>
                </c:pt>
                <c:pt idx="193">
                  <c:v>3.5340687393033375E-12</c:v>
                </c:pt>
                <c:pt idx="194">
                  <c:v>3.5340687393033375E-12</c:v>
                </c:pt>
                <c:pt idx="195">
                  <c:v>3.5340687393033375E-12</c:v>
                </c:pt>
                <c:pt idx="196">
                  <c:v>3.5340687393033375E-12</c:v>
                </c:pt>
                <c:pt idx="197">
                  <c:v>3.5340687393033375E-12</c:v>
                </c:pt>
                <c:pt idx="198">
                  <c:v>3.5340687393033375E-12</c:v>
                </c:pt>
                <c:pt idx="199">
                  <c:v>3.5340687393033375E-12</c:v>
                </c:pt>
                <c:pt idx="200">
                  <c:v>3.5340687393033375E-12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613232"/>
        <c:axId val="-866296256"/>
      </c:scatterChart>
      <c:valAx>
        <c:axId val="-867613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296256"/>
        <c:crosses val="autoZero"/>
        <c:crossBetween val="midCat"/>
      </c:valAx>
      <c:valAx>
        <c:axId val="-8662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613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170.67629870031385</c:v>
                </c:pt>
                <c:pt idx="20">
                  <c:v>190.1127547666068</c:v>
                </c:pt>
                <c:pt idx="21">
                  <c:v>209.50290995382576</c:v>
                </c:pt>
                <c:pt idx="22">
                  <c:v>228.851653261661</c:v>
                </c:pt>
                <c:pt idx="23">
                  <c:v>248.16297855306289</c:v>
                </c:pt>
                <c:pt idx="24">
                  <c:v>267.44020689106782</c:v>
                </c:pt>
                <c:pt idx="25">
                  <c:v>286.68614125741368</c:v>
                </c:pt>
                <c:pt idx="26">
                  <c:v>211.5237693240953</c:v>
                </c:pt>
                <c:pt idx="27">
                  <c:v>235.06877345752704</c:v>
                </c:pt>
                <c:pt idx="28">
                  <c:v>258.55996582862014</c:v>
                </c:pt>
                <c:pt idx="29">
                  <c:v>282.00292156784491</c:v>
                </c:pt>
                <c:pt idx="30">
                  <c:v>305.40221266685126</c:v>
                </c:pt>
                <c:pt idx="31">
                  <c:v>228.01120786322755</c:v>
                </c:pt>
                <c:pt idx="32">
                  <c:v>239.77112154331269</c:v>
                </c:pt>
                <c:pt idx="33">
                  <c:v>251.51790458784345</c:v>
                </c:pt>
                <c:pt idx="34">
                  <c:v>263.25225698326904</c:v>
                </c:pt>
                <c:pt idx="35">
                  <c:v>274.97481117699641</c:v>
                </c:pt>
                <c:pt idx="36">
                  <c:v>286.68614125741374</c:v>
                </c:pt>
                <c:pt idx="37">
                  <c:v>220.94863667100969</c:v>
                </c:pt>
                <c:pt idx="38">
                  <c:v>243.29650191025405</c:v>
                </c:pt>
                <c:pt idx="39">
                  <c:v>265.59769251928259</c:v>
                </c:pt>
                <c:pt idx="40">
                  <c:v>287.85667749117107</c:v>
                </c:pt>
                <c:pt idx="41">
                  <c:v>310.07717798339257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6305504"/>
        <c:axId val="-866294080"/>
      </c:scatterChart>
      <c:valAx>
        <c:axId val="-86630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294080"/>
        <c:crosses val="autoZero"/>
        <c:crossBetween val="midCat"/>
      </c:valAx>
      <c:valAx>
        <c:axId val="-86629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30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179.17198857385839</c:v>
                </c:pt>
                <c:pt idx="25">
                  <c:v>198.66710978758559</c:v>
                </c:pt>
                <c:pt idx="26">
                  <c:v>218.14017912965292</c:v>
                </c:pt>
                <c:pt idx="27">
                  <c:v>237.57329645777699</c:v>
                </c:pt>
                <c:pt idx="28">
                  <c:v>256.97018935365219</c:v>
                </c:pt>
                <c:pt idx="29">
                  <c:v>276.33397636592599</c:v>
                </c:pt>
                <c:pt idx="30">
                  <c:v>233.28692088602762</c:v>
                </c:pt>
                <c:pt idx="31">
                  <c:v>251.52986006510639</c:v>
                </c:pt>
                <c:pt idx="32">
                  <c:v>269.74281909874736</c:v>
                </c:pt>
                <c:pt idx="33">
                  <c:v>287.92810676308375</c:v>
                </c:pt>
                <c:pt idx="34">
                  <c:v>306.08771631790279</c:v>
                </c:pt>
                <c:pt idx="35">
                  <c:v>324.77611046953086</c:v>
                </c:pt>
                <c:pt idx="36">
                  <c:v>343.44074860711902</c:v>
                </c:pt>
                <c:pt idx="37">
                  <c:v>277.64048093700967</c:v>
                </c:pt>
                <c:pt idx="38">
                  <c:v>294.48954060352372</c:v>
                </c:pt>
                <c:pt idx="39">
                  <c:v>311.31709651831665</c:v>
                </c:pt>
                <c:pt idx="40">
                  <c:v>328.12447444010132</c:v>
                </c:pt>
                <c:pt idx="41">
                  <c:v>344.91285322325461</c:v>
                </c:pt>
                <c:pt idx="42">
                  <c:v>361.68328760369928</c:v>
                </c:pt>
                <c:pt idx="43">
                  <c:v>378.43672653622247</c:v>
                </c:pt>
                <c:pt idx="44">
                  <c:v>395.17402811417605</c:v>
                </c:pt>
                <c:pt idx="45">
                  <c:v>327.7803309925909</c:v>
                </c:pt>
                <c:pt idx="46">
                  <c:v>342.65491458987907</c:v>
                </c:pt>
                <c:pt idx="47">
                  <c:v>357.515309385075</c:v>
                </c:pt>
                <c:pt idx="48">
                  <c:v>372.36218816092588</c:v>
                </c:pt>
                <c:pt idx="49">
                  <c:v>387.19616567314239</c:v>
                </c:pt>
                <c:pt idx="50">
                  <c:v>402.01780573308946</c:v>
                </c:pt>
                <c:pt idx="51">
                  <c:v>416.82762719136457</c:v>
                </c:pt>
                <c:pt idx="52">
                  <c:v>431.62610902660208</c:v>
                </c:pt>
                <c:pt idx="53">
                  <c:v>366.26587036399184</c:v>
                </c:pt>
                <c:pt idx="54">
                  <c:v>379.56512784230631</c:v>
                </c:pt>
                <c:pt idx="55">
                  <c:v>392.85424897119748</c:v>
                </c:pt>
                <c:pt idx="56">
                  <c:v>406.13362494673265</c:v>
                </c:pt>
                <c:pt idx="57">
                  <c:v>419.40361929545026</c:v>
                </c:pt>
                <c:pt idx="58">
                  <c:v>432.66457066342628</c:v>
                </c:pt>
                <c:pt idx="59">
                  <c:v>445.91679524557208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6293536"/>
        <c:axId val="-866302240"/>
      </c:scatterChart>
      <c:valAx>
        <c:axId val="-866293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302240"/>
        <c:crosses val="autoZero"/>
        <c:crossBetween val="midCat"/>
      </c:valAx>
      <c:valAx>
        <c:axId val="-86630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293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6301696"/>
        <c:axId val="-766641552"/>
      </c:scatterChart>
      <c:valAx>
        <c:axId val="-866301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6641552"/>
        <c:crosses val="autoZero"/>
        <c:crossBetween val="midCat"/>
      </c:valAx>
      <c:valAx>
        <c:axId val="-7666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630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1.8422770816719243</c:v>
                </c:pt>
                <c:pt idx="2">
                  <c:v>2.2840289470647019</c:v>
                </c:pt>
                <c:pt idx="3">
                  <c:v>2.8321216972614724</c:v>
                </c:pt>
                <c:pt idx="4">
                  <c:v>3.5122487312555548</c:v>
                </c:pt>
                <c:pt idx="5">
                  <c:v>4.3563327298030456</c:v>
                </c:pt>
                <c:pt idx="6">
                  <c:v>5.4040407593902104</c:v>
                </c:pt>
                <c:pt idx="7">
                  <c:v>6.704668972252624</c:v>
                </c:pt>
                <c:pt idx="8">
                  <c:v>8.3194873061901777</c:v>
                </c:pt>
                <c:pt idx="9">
                  <c:v>10.324656755411185</c:v>
                </c:pt>
                <c:pt idx="10">
                  <c:v>12.81485939889563</c:v>
                </c:pt>
                <c:pt idx="11">
                  <c:v>15.907815777318609</c:v>
                </c:pt>
                <c:pt idx="12">
                  <c:v>19.749907075900857</c:v>
                </c:pt>
                <c:pt idx="13">
                  <c:v>24.523172983871586</c:v>
                </c:pt>
                <c:pt idx="14">
                  <c:v>30.454022661510908</c:v>
                </c:pt>
                <c:pt idx="15">
                  <c:v>37.82407919498084</c:v>
                </c:pt>
                <c:pt idx="16">
                  <c:v>46.98368130015691</c:v>
                </c:pt>
                <c:pt idx="17">
                  <c:v>58.368694891148834</c:v>
                </c:pt>
                <c:pt idx="18">
                  <c:v>72.521447744946883</c:v>
                </c:pt>
                <c:pt idx="19">
                  <c:v>90.116800712953889</c:v>
                </c:pt>
                <c:pt idx="20">
                  <c:v>111.99461853472759</c:v>
                </c:pt>
                <c:pt idx="21">
                  <c:v>139.20021450034079</c:v>
                </c:pt>
                <c:pt idx="22">
                  <c:v>173.03473120558579</c:v>
                </c:pt>
                <c:pt idx="23">
                  <c:v>114.16566401588192</c:v>
                </c:pt>
                <c:pt idx="24">
                  <c:v>126.91782453901844</c:v>
                </c:pt>
                <c:pt idx="25">
                  <c:v>139.63892686257512</c:v>
                </c:pt>
                <c:pt idx="26">
                  <c:v>152.3322020421887</c:v>
                </c:pt>
                <c:pt idx="27">
                  <c:v>165.0002975645435</c:v>
                </c:pt>
                <c:pt idx="28">
                  <c:v>177.64542048388753</c:v>
                </c:pt>
                <c:pt idx="29">
                  <c:v>190.26943753249964</c:v>
                </c:pt>
                <c:pt idx="30">
                  <c:v>163.27381847819441</c:v>
                </c:pt>
                <c:pt idx="31">
                  <c:v>175.6450335201433</c:v>
                </c:pt>
                <c:pt idx="32">
                  <c:v>187.99579441087681</c:v>
                </c:pt>
                <c:pt idx="33">
                  <c:v>200.32763514203262</c:v>
                </c:pt>
                <c:pt idx="34">
                  <c:v>212.64188521334859</c:v>
                </c:pt>
                <c:pt idx="35">
                  <c:v>224.93970741558962</c:v>
                </c:pt>
                <c:pt idx="36">
                  <c:v>237.222126904269</c:v>
                </c:pt>
                <c:pt idx="37">
                  <c:v>199.04889868806458</c:v>
                </c:pt>
                <c:pt idx="38">
                  <c:v>210.47971454591854</c:v>
                </c:pt>
                <c:pt idx="39">
                  <c:v>221.89621521547323</c:v>
                </c:pt>
                <c:pt idx="40">
                  <c:v>233.29924148414156</c:v>
                </c:pt>
                <c:pt idx="41">
                  <c:v>244.68954516678582</c:v>
                </c:pt>
                <c:pt idx="42">
                  <c:v>256.06780231400222</c:v>
                </c:pt>
                <c:pt idx="43">
                  <c:v>267.43462394736429</c:v>
                </c:pt>
                <c:pt idx="44">
                  <c:v>278.79056487227251</c:v>
                </c:pt>
                <c:pt idx="45">
                  <c:v>240.50664114189635</c:v>
                </c:pt>
                <c:pt idx="46">
                  <c:v>250.77517752711856</c:v>
                </c:pt>
                <c:pt idx="47">
                  <c:v>261.03418380858551</c:v>
                </c:pt>
                <c:pt idx="48">
                  <c:v>271.28408759968812</c:v>
                </c:pt>
                <c:pt idx="49">
                  <c:v>281.52528153771681</c:v>
                </c:pt>
                <c:pt idx="50">
                  <c:v>291.75812734056319</c:v>
                </c:pt>
                <c:pt idx="51">
                  <c:v>301.98295926410407</c:v>
                </c:pt>
                <c:pt idx="52">
                  <c:v>312.20008706652476</c:v>
                </c:pt>
                <c:pt idx="53">
                  <c:v>269.68895398640416</c:v>
                </c:pt>
                <c:pt idx="54">
                  <c:v>278.72684991265322</c:v>
                </c:pt>
                <c:pt idx="55">
                  <c:v>287.75817218749484</c:v>
                </c:pt>
                <c:pt idx="56">
                  <c:v>296.78315638951619</c:v>
                </c:pt>
                <c:pt idx="57">
                  <c:v>305.80202258819287</c:v>
                </c:pt>
                <c:pt idx="58">
                  <c:v>314.81497680220565</c:v>
                </c:pt>
                <c:pt idx="59">
                  <c:v>323.82221228191293</c:v>
                </c:pt>
                <c:pt idx="60">
                  <c:v>332.82391064158566</c:v>
                </c:pt>
                <c:pt idx="61">
                  <c:v>295.27961937705635</c:v>
                </c:pt>
                <c:pt idx="62">
                  <c:v>303.19603692702071</c:v>
                </c:pt>
                <c:pt idx="63">
                  <c:v>311.1078562636506</c:v>
                </c:pt>
                <c:pt idx="64">
                  <c:v>319.01521092750301</c:v>
                </c:pt>
                <c:pt idx="65">
                  <c:v>326.91822729265658</c:v>
                </c:pt>
                <c:pt idx="66">
                  <c:v>334.81702511906957</c:v>
                </c:pt>
                <c:pt idx="67">
                  <c:v>342.71171805005571</c:v>
                </c:pt>
                <c:pt idx="68">
                  <c:v>350.60241406149675</c:v>
                </c:pt>
                <c:pt idx="69">
                  <c:v>358.48921586847837</c:v>
                </c:pt>
                <c:pt idx="70">
                  <c:v>366.3722212942518</c:v>
                </c:pt>
                <c:pt idx="71">
                  <c:v>319.22695486341269</c:v>
                </c:pt>
                <c:pt idx="72">
                  <c:v>325.98702192014747</c:v>
                </c:pt>
                <c:pt idx="73">
                  <c:v>332.74399255627179</c:v>
                </c:pt>
                <c:pt idx="74">
                  <c:v>339.49793858676031</c:v>
                </c:pt>
                <c:pt idx="75">
                  <c:v>346.24892873311461</c:v>
                </c:pt>
                <c:pt idx="76">
                  <c:v>352.99702881567674</c:v>
                </c:pt>
                <c:pt idx="77">
                  <c:v>359.74230193045878</c:v>
                </c:pt>
                <c:pt idx="78">
                  <c:v>366.48480861200755</c:v>
                </c:pt>
                <c:pt idx="79">
                  <c:v>373.22460698365126</c:v>
                </c:pt>
                <c:pt idx="80">
                  <c:v>379.9617528963185</c:v>
                </c:pt>
                <c:pt idx="81">
                  <c:v>343.17963401951516</c:v>
                </c:pt>
                <c:pt idx="82">
                  <c:v>349.00204812814218</c:v>
                </c:pt>
                <c:pt idx="83">
                  <c:v>354.82233108272408</c:v>
                </c:pt>
                <c:pt idx="84">
                  <c:v>360.6405228128981</c:v>
                </c:pt>
                <c:pt idx="85">
                  <c:v>366.45666185339775</c:v>
                </c:pt>
                <c:pt idx="86">
                  <c:v>372.27078541464465</c:v>
                </c:pt>
                <c:pt idx="87">
                  <c:v>378.08292944869777</c:v>
                </c:pt>
                <c:pt idx="88">
                  <c:v>383.89312871093125</c:v>
                </c:pt>
                <c:pt idx="89">
                  <c:v>389.70141681778227</c:v>
                </c:pt>
                <c:pt idx="90">
                  <c:v>395.50782630087252</c:v>
                </c:pt>
                <c:pt idx="91">
                  <c:v>357.65940426642783</c:v>
                </c:pt>
                <c:pt idx="92">
                  <c:v>362.67705994559418</c:v>
                </c:pt>
                <c:pt idx="93">
                  <c:v>367.69319830999865</c:v>
                </c:pt>
                <c:pt idx="94">
                  <c:v>372.70784300487725</c:v>
                </c:pt>
                <c:pt idx="95">
                  <c:v>377.72101698652585</c:v>
                </c:pt>
                <c:pt idx="96">
                  <c:v>382.73274255145571</c:v>
                </c:pt>
                <c:pt idx="97">
                  <c:v>387.74304136394426</c:v>
                </c:pt>
                <c:pt idx="98">
                  <c:v>392.75193448208421</c:v>
                </c:pt>
                <c:pt idx="99">
                  <c:v>397.75944238243432</c:v>
                </c:pt>
                <c:pt idx="100">
                  <c:v>402.76558498336357</c:v>
                </c:pt>
                <c:pt idx="101">
                  <c:v>171.08446567832186</c:v>
                </c:pt>
                <c:pt idx="102">
                  <c:v>173.67728261749474</c:v>
                </c:pt>
                <c:pt idx="103">
                  <c:v>176.26918957548216</c:v>
                </c:pt>
                <c:pt idx="104">
                  <c:v>5.538446972968425E-13</c:v>
                </c:pt>
                <c:pt idx="105">
                  <c:v>5.538446972968425E-13</c:v>
                </c:pt>
                <c:pt idx="106">
                  <c:v>5.538446972968425E-13</c:v>
                </c:pt>
                <c:pt idx="107">
                  <c:v>5.538446972968425E-13</c:v>
                </c:pt>
                <c:pt idx="108">
                  <c:v>5.538446972968425E-13</c:v>
                </c:pt>
                <c:pt idx="109">
                  <c:v>5.538446972968425E-13</c:v>
                </c:pt>
                <c:pt idx="110">
                  <c:v>5.538446972968425E-13</c:v>
                </c:pt>
                <c:pt idx="111">
                  <c:v>5.538446972968425E-13</c:v>
                </c:pt>
                <c:pt idx="112">
                  <c:v>5.538446972968425E-13</c:v>
                </c:pt>
                <c:pt idx="113">
                  <c:v>5.538446972968425E-13</c:v>
                </c:pt>
                <c:pt idx="114">
                  <c:v>5.538446972968425E-13</c:v>
                </c:pt>
                <c:pt idx="115">
                  <c:v>5.538446972968425E-13</c:v>
                </c:pt>
                <c:pt idx="116">
                  <c:v>5.538446972968425E-13</c:v>
                </c:pt>
                <c:pt idx="117">
                  <c:v>5.538446972968425E-13</c:v>
                </c:pt>
                <c:pt idx="118">
                  <c:v>5.538446972968425E-13</c:v>
                </c:pt>
                <c:pt idx="119">
                  <c:v>5.538446972968425E-13</c:v>
                </c:pt>
                <c:pt idx="120">
                  <c:v>5.538446972968425E-13</c:v>
                </c:pt>
                <c:pt idx="121">
                  <c:v>5.538446972968425E-13</c:v>
                </c:pt>
                <c:pt idx="122">
                  <c:v>5.538446972968425E-13</c:v>
                </c:pt>
                <c:pt idx="123">
                  <c:v>5.538446972968425E-13</c:v>
                </c:pt>
                <c:pt idx="124">
                  <c:v>5.538446972968425E-13</c:v>
                </c:pt>
                <c:pt idx="125">
                  <c:v>5.538446972968425E-13</c:v>
                </c:pt>
                <c:pt idx="126">
                  <c:v>5.538446972968425E-13</c:v>
                </c:pt>
                <c:pt idx="127">
                  <c:v>5.538446972968425E-13</c:v>
                </c:pt>
                <c:pt idx="128">
                  <c:v>5.538446972968425E-13</c:v>
                </c:pt>
                <c:pt idx="129">
                  <c:v>5.538446972968425E-13</c:v>
                </c:pt>
                <c:pt idx="130">
                  <c:v>5.538446972968425E-13</c:v>
                </c:pt>
                <c:pt idx="131">
                  <c:v>5.538446972968425E-13</c:v>
                </c:pt>
                <c:pt idx="132">
                  <c:v>5.538446972968425E-13</c:v>
                </c:pt>
                <c:pt idx="133">
                  <c:v>5.538446972968425E-13</c:v>
                </c:pt>
                <c:pt idx="134">
                  <c:v>5.538446972968425E-13</c:v>
                </c:pt>
                <c:pt idx="135">
                  <c:v>5.538446972968425E-13</c:v>
                </c:pt>
                <c:pt idx="136">
                  <c:v>5.538446972968425E-13</c:v>
                </c:pt>
                <c:pt idx="137">
                  <c:v>5.538446972968425E-13</c:v>
                </c:pt>
                <c:pt idx="138">
                  <c:v>5.538446972968425E-13</c:v>
                </c:pt>
                <c:pt idx="139">
                  <c:v>5.538446972968425E-13</c:v>
                </c:pt>
                <c:pt idx="140">
                  <c:v>5.538446972968425E-13</c:v>
                </c:pt>
                <c:pt idx="141">
                  <c:v>5.538446972968425E-13</c:v>
                </c:pt>
                <c:pt idx="142">
                  <c:v>5.538446972968425E-13</c:v>
                </c:pt>
                <c:pt idx="143">
                  <c:v>5.538446972968425E-13</c:v>
                </c:pt>
                <c:pt idx="144">
                  <c:v>5.538446972968425E-13</c:v>
                </c:pt>
                <c:pt idx="145">
                  <c:v>5.538446972968425E-13</c:v>
                </c:pt>
                <c:pt idx="146">
                  <c:v>5.538446972968425E-13</c:v>
                </c:pt>
                <c:pt idx="147">
                  <c:v>5.538446972968425E-13</c:v>
                </c:pt>
                <c:pt idx="148">
                  <c:v>5.538446972968425E-13</c:v>
                </c:pt>
                <c:pt idx="149">
                  <c:v>5.538446972968425E-13</c:v>
                </c:pt>
                <c:pt idx="150">
                  <c:v>5.538446972968425E-13</c:v>
                </c:pt>
                <c:pt idx="151">
                  <c:v>5.538446972968425E-13</c:v>
                </c:pt>
                <c:pt idx="152">
                  <c:v>5.538446972968425E-13</c:v>
                </c:pt>
                <c:pt idx="153">
                  <c:v>5.538446972968425E-13</c:v>
                </c:pt>
                <c:pt idx="154">
                  <c:v>5.538446972968425E-13</c:v>
                </c:pt>
                <c:pt idx="155">
                  <c:v>5.538446972968425E-13</c:v>
                </c:pt>
                <c:pt idx="156">
                  <c:v>5.538446972968425E-13</c:v>
                </c:pt>
                <c:pt idx="157">
                  <c:v>5.538446972968425E-13</c:v>
                </c:pt>
                <c:pt idx="158">
                  <c:v>5.538446972968425E-13</c:v>
                </c:pt>
                <c:pt idx="159">
                  <c:v>5.538446972968425E-13</c:v>
                </c:pt>
                <c:pt idx="160">
                  <c:v>5.538446972968425E-13</c:v>
                </c:pt>
                <c:pt idx="161">
                  <c:v>5.538446972968425E-13</c:v>
                </c:pt>
                <c:pt idx="162">
                  <c:v>5.538446972968425E-13</c:v>
                </c:pt>
                <c:pt idx="163">
                  <c:v>5.538446972968425E-13</c:v>
                </c:pt>
                <c:pt idx="164">
                  <c:v>5.538446972968425E-13</c:v>
                </c:pt>
                <c:pt idx="165">
                  <c:v>5.538446972968425E-13</c:v>
                </c:pt>
                <c:pt idx="166">
                  <c:v>5.538446972968425E-13</c:v>
                </c:pt>
                <c:pt idx="167">
                  <c:v>5.538446972968425E-13</c:v>
                </c:pt>
                <c:pt idx="168">
                  <c:v>5.538446972968425E-13</c:v>
                </c:pt>
                <c:pt idx="169">
                  <c:v>5.538446972968425E-13</c:v>
                </c:pt>
                <c:pt idx="170">
                  <c:v>5.538446972968425E-13</c:v>
                </c:pt>
                <c:pt idx="171">
                  <c:v>5.538446972968425E-13</c:v>
                </c:pt>
                <c:pt idx="172">
                  <c:v>5.538446972968425E-13</c:v>
                </c:pt>
                <c:pt idx="173">
                  <c:v>5.538446972968425E-13</c:v>
                </c:pt>
                <c:pt idx="174">
                  <c:v>5.538446972968425E-13</c:v>
                </c:pt>
                <c:pt idx="175">
                  <c:v>5.538446972968425E-13</c:v>
                </c:pt>
                <c:pt idx="176">
                  <c:v>5.538446972968425E-13</c:v>
                </c:pt>
                <c:pt idx="177">
                  <c:v>5.538446972968425E-13</c:v>
                </c:pt>
                <c:pt idx="178">
                  <c:v>5.538446972968425E-13</c:v>
                </c:pt>
                <c:pt idx="179">
                  <c:v>5.538446972968425E-13</c:v>
                </c:pt>
                <c:pt idx="180">
                  <c:v>5.538446972968425E-13</c:v>
                </c:pt>
                <c:pt idx="181">
                  <c:v>5.538446972968425E-13</c:v>
                </c:pt>
                <c:pt idx="182">
                  <c:v>5.538446972968425E-13</c:v>
                </c:pt>
                <c:pt idx="183">
                  <c:v>5.538446972968425E-13</c:v>
                </c:pt>
                <c:pt idx="184">
                  <c:v>5.538446972968425E-13</c:v>
                </c:pt>
                <c:pt idx="185">
                  <c:v>5.538446972968425E-13</c:v>
                </c:pt>
                <c:pt idx="186">
                  <c:v>5.538446972968425E-13</c:v>
                </c:pt>
                <c:pt idx="187">
                  <c:v>5.538446972968425E-13</c:v>
                </c:pt>
                <c:pt idx="188">
                  <c:v>5.538446972968425E-13</c:v>
                </c:pt>
                <c:pt idx="189">
                  <c:v>5.538446972968425E-13</c:v>
                </c:pt>
                <c:pt idx="190">
                  <c:v>5.538446972968425E-13</c:v>
                </c:pt>
                <c:pt idx="191">
                  <c:v>5.538446972968425E-13</c:v>
                </c:pt>
                <c:pt idx="192">
                  <c:v>5.538446972968425E-13</c:v>
                </c:pt>
                <c:pt idx="193">
                  <c:v>5.538446972968425E-13</c:v>
                </c:pt>
                <c:pt idx="194">
                  <c:v>5.538446972968425E-13</c:v>
                </c:pt>
                <c:pt idx="195">
                  <c:v>5.538446972968425E-13</c:v>
                </c:pt>
                <c:pt idx="196">
                  <c:v>5.538446972968425E-13</c:v>
                </c:pt>
                <c:pt idx="197">
                  <c:v>5.538446972968425E-13</c:v>
                </c:pt>
                <c:pt idx="198">
                  <c:v>5.538446972968425E-13</c:v>
                </c:pt>
                <c:pt idx="199">
                  <c:v>5.538446972968425E-13</c:v>
                </c:pt>
                <c:pt idx="200">
                  <c:v>5.538446972968425E-13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66640464"/>
        <c:axId val="-766639920"/>
      </c:scatterChart>
      <c:valAx>
        <c:axId val="-766640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6639920"/>
        <c:crosses val="autoZero"/>
        <c:crossBetween val="midCat"/>
      </c:valAx>
      <c:valAx>
        <c:axId val="-7666399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6664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J25" sqref="J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11.7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0.45200000000000001</v>
      </c>
      <c r="D9" s="36">
        <f t="shared" ref="D9:D18" si="0">C9*$C$5</f>
        <v>5.2884000000000002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0.14199999999999999</v>
      </c>
      <c r="D10" s="36">
        <f t="shared" si="0"/>
        <v>1.6613999999999998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25</v>
      </c>
      <c r="C11" s="35">
        <v>9.0999999999999998E-2</v>
      </c>
      <c r="D11" s="36">
        <f t="shared" si="0"/>
        <v>1.0647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7.9000000000000001E-2</v>
      </c>
      <c r="D12" s="36">
        <f t="shared" si="0"/>
        <v>0.9242999999999999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98</v>
      </c>
      <c r="C13" s="35">
        <v>1.7999999999999999E-2</v>
      </c>
      <c r="D13" s="36">
        <f t="shared" si="0"/>
        <v>0.21059999999999998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81</v>
      </c>
      <c r="C14" s="35">
        <v>7.0999999999999994E-2</v>
      </c>
      <c r="D14" s="36">
        <f t="shared" si="0"/>
        <v>0.83069999999999988</v>
      </c>
      <c r="E14" s="37">
        <v>42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36</v>
      </c>
      <c r="C15" s="35">
        <v>4.2000000000000003E-2</v>
      </c>
      <c r="D15" s="36">
        <f t="shared" si="0"/>
        <v>0.4914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</v>
      </c>
      <c r="C16" s="35">
        <v>0.03</v>
      </c>
      <c r="D16" s="36">
        <f t="shared" si="0"/>
        <v>0.35099999999999998</v>
      </c>
      <c r="E16" s="37">
        <v>60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41</v>
      </c>
      <c r="C17" s="35">
        <v>2.7E-2</v>
      </c>
      <c r="D17" s="36">
        <f t="shared" si="0"/>
        <v>0.31589999999999996</v>
      </c>
      <c r="E17" s="37">
        <v>103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35</v>
      </c>
      <c r="C18" s="35">
        <v>1.9E-2</v>
      </c>
      <c r="D18" s="36">
        <f t="shared" si="0"/>
        <v>0.22229999999999997</v>
      </c>
      <c r="E18" s="37">
        <v>80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0.97099999999999997</v>
      </c>
      <c r="D19" s="41">
        <f>SUM(D9:D18)</f>
        <v>11.360700000000001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>
        <v>1</v>
      </c>
      <c r="D37" s="61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76+21</f>
        <v>97</v>
      </c>
      <c r="C38" s="61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</f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</f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176+21+21</f>
        <v>218</v>
      </c>
      <c r="C43" s="61">
        <v>4</v>
      </c>
      <c r="D43" s="61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261</v>
      </c>
      <c r="C48" s="53"/>
      <c r="D48" s="53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53">
        <v>290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95</v>
      </c>
      <c r="B50" s="53">
        <v>300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105</v>
      </c>
      <c r="B51" s="53">
        <v>305</v>
      </c>
      <c r="C51" s="53">
        <v>9</v>
      </c>
      <c r="D51" s="53"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115</v>
      </c>
      <c r="B52" s="53">
        <v>304</v>
      </c>
      <c r="C52" s="53">
        <v>10</v>
      </c>
      <c r="D52" s="53"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125</v>
      </c>
      <c r="B53" s="53">
        <v>301</v>
      </c>
      <c r="C53" s="53">
        <v>11</v>
      </c>
      <c r="D53" s="53"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135</v>
      </c>
      <c r="B54" s="53">
        <v>298</v>
      </c>
      <c r="C54" s="53">
        <v>12</v>
      </c>
      <c r="D54" s="53"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1">
        <f>192.63/1.3</f>
        <v>148.17692307692306</v>
      </c>
      <c r="C62" s="61"/>
      <c r="D62" s="61"/>
      <c r="E62" s="54"/>
      <c r="F62" s="54"/>
      <c r="G62" s="54"/>
      <c r="H62" s="54"/>
      <c r="I62" s="56">
        <f>IFERROR(B62/A62,"")</f>
        <v>7.7987854251012134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1">
        <f>234.08/1.3</f>
        <v>180.06153846153848</v>
      </c>
      <c r="C63" s="61">
        <v>1</v>
      </c>
      <c r="D63" s="61">
        <f>79.52/1.3</f>
        <v>61.169230769230765</v>
      </c>
      <c r="E63" s="54"/>
      <c r="F63" s="54">
        <v>0.2</v>
      </c>
      <c r="G63" s="54">
        <v>0.4</v>
      </c>
      <c r="H63" s="54">
        <v>0.4</v>
      </c>
      <c r="I63" s="52">
        <f>IF(A63&lt;&gt;0,(B63-(B62-D62))/(A63-A62),"")</f>
        <v>15.942307692307708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28</v>
      </c>
      <c r="B64" s="61">
        <f>306.42/1.3</f>
        <v>235.7076923076923</v>
      </c>
      <c r="C64" s="61">
        <v>2</v>
      </c>
      <c r="D64" s="61">
        <f>73.99/1.3</f>
        <v>56.91538461538461</v>
      </c>
      <c r="E64" s="54">
        <v>0.2</v>
      </c>
      <c r="F64" s="54">
        <v>0.2</v>
      </c>
      <c r="G64" s="54">
        <v>0.3</v>
      </c>
      <c r="H64" s="54">
        <v>0.3</v>
      </c>
      <c r="I64" s="52">
        <f>IF(A64&lt;&gt;0,(B64-(B63-D63))/(A64-A63),"")</f>
        <v>16.687912087912085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279.49/1.3</f>
        <v>214.99230769230769</v>
      </c>
      <c r="C65" s="61"/>
      <c r="D65" s="61"/>
      <c r="E65" s="54"/>
      <c r="F65" s="54"/>
      <c r="G65" s="54"/>
      <c r="H65" s="54"/>
      <c r="I65" s="52">
        <f>IF(A65&lt;&gt;0,(B65-(B64-D64))/(A65-A64),"")</f>
        <v>18.099999999999994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397.14/1.3</f>
        <v>305.49230769230769</v>
      </c>
      <c r="C66" s="61">
        <v>3</v>
      </c>
      <c r="D66" s="61">
        <f>91.65/1.3</f>
        <v>70.5</v>
      </c>
      <c r="E66" s="54"/>
      <c r="F66" s="54"/>
      <c r="G66" s="54"/>
      <c r="H66" s="54"/>
      <c r="I66" s="52">
        <f t="shared" ref="I66:I81" si="2">IF(A66&lt;&gt;0,(B66-(B65-D65))/(A66-A65),"")</f>
        <v>18.100000000000001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42</v>
      </c>
      <c r="B67" s="61">
        <f>471.38/1.3</f>
        <v>362.59999999999997</v>
      </c>
      <c r="C67" s="61">
        <v>4</v>
      </c>
      <c r="D67" s="61">
        <f>104.87/1.3</f>
        <v>80.669230769230765</v>
      </c>
      <c r="E67" s="54"/>
      <c r="F67" s="54"/>
      <c r="G67" s="54"/>
      <c r="H67" s="54"/>
      <c r="I67" s="52">
        <f t="shared" si="2"/>
        <v>18.229670329670324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49</v>
      </c>
      <c r="B68" s="61">
        <f>525.94/1.3</f>
        <v>404.56923076923078</v>
      </c>
      <c r="C68" s="61">
        <v>5</v>
      </c>
      <c r="D68" s="61">
        <f>117.59/1.3</f>
        <v>90.453846153846158</v>
      </c>
      <c r="E68" s="54"/>
      <c r="F68" s="54"/>
      <c r="G68" s="54"/>
      <c r="H68" s="54"/>
      <c r="I68" s="52">
        <f t="shared" si="2"/>
        <v>17.519780219780223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>
        <v>56</v>
      </c>
      <c r="B69" s="61">
        <f>556.02/1.3</f>
        <v>427.7076923076923</v>
      </c>
      <c r="C69" s="61">
        <v>6</v>
      </c>
      <c r="D69" s="61">
        <f>98.63/1.3</f>
        <v>75.869230769230768</v>
      </c>
      <c r="E69" s="54"/>
      <c r="F69" s="54"/>
      <c r="G69" s="54"/>
      <c r="H69" s="54"/>
      <c r="I69" s="52">
        <f t="shared" si="2"/>
        <v>16.227472527472521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>
        <v>63</v>
      </c>
      <c r="B70" s="61">
        <f>592.43/1.3</f>
        <v>455.71538461538455</v>
      </c>
      <c r="C70" s="61">
        <v>7</v>
      </c>
      <c r="D70" s="61">
        <f>103.64/1.3</f>
        <v>79.723076923076917</v>
      </c>
      <c r="E70" s="54"/>
      <c r="F70" s="54"/>
      <c r="G70" s="54"/>
      <c r="H70" s="54"/>
      <c r="I70" s="52">
        <f t="shared" si="2"/>
        <v>14.839560439560435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>
        <v>69</v>
      </c>
      <c r="B71" s="61">
        <f>593.1/1.3</f>
        <v>456.23076923076923</v>
      </c>
      <c r="C71" s="61"/>
      <c r="D71" s="61"/>
      <c r="E71" s="54"/>
      <c r="F71" s="54"/>
      <c r="G71" s="54"/>
      <c r="H71" s="54"/>
      <c r="I71" s="52">
        <f t="shared" si="2"/>
        <v>13.373076923076932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>
        <v>70</v>
      </c>
      <c r="B72" s="61">
        <f>609.79/1.3</f>
        <v>469.06923076923073</v>
      </c>
      <c r="C72" s="61">
        <v>8</v>
      </c>
      <c r="D72" s="61">
        <f>B72</f>
        <v>469.06923076923073</v>
      </c>
      <c r="E72" s="54"/>
      <c r="F72" s="54"/>
      <c r="G72" s="54"/>
      <c r="H72" s="54"/>
      <c r="I72" s="52">
        <f t="shared" si="2"/>
        <v>12.838461538461502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Hêtre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1">
        <v>32</v>
      </c>
      <c r="C88" s="53"/>
      <c r="D88" s="61"/>
      <c r="E88" s="54"/>
      <c r="F88" s="54"/>
      <c r="G88" s="54"/>
      <c r="H88" s="54"/>
      <c r="I88" s="56">
        <f>IFERROR(B88/A88,"")</f>
        <v>1.6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1">
        <v>76</v>
      </c>
      <c r="C89" s="53">
        <v>1</v>
      </c>
      <c r="D89" s="61">
        <v>7</v>
      </c>
      <c r="E89" s="54"/>
      <c r="F89" s="54"/>
      <c r="G89" s="54"/>
      <c r="H89" s="54">
        <v>1</v>
      </c>
      <c r="I89" s="56">
        <f t="shared" ref="I89:I107" si="3">IF(A89&lt;&gt;0,(B89-(B88-D88))/(A89-A88),"")</f>
        <v>8.8000000000000007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1">
        <v>116</v>
      </c>
      <c r="C90" s="53"/>
      <c r="D90" s="61"/>
      <c r="E90" s="54"/>
      <c r="F90" s="54"/>
      <c r="G90" s="54"/>
      <c r="H90" s="54"/>
      <c r="I90" s="56">
        <f t="shared" si="3"/>
        <v>9.4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1">
        <f>139+28</f>
        <v>167</v>
      </c>
      <c r="C91" s="53">
        <v>2</v>
      </c>
      <c r="D91" s="61">
        <f>28+28</f>
        <v>56</v>
      </c>
      <c r="E91" s="54"/>
      <c r="F91" s="54"/>
      <c r="G91" s="54"/>
      <c r="H91" s="54"/>
      <c r="I91" s="56">
        <f t="shared" si="3"/>
        <v>10.199999999999999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1">
        <v>164</v>
      </c>
      <c r="C92" s="53"/>
      <c r="D92" s="61"/>
      <c r="E92" s="54"/>
      <c r="F92" s="54"/>
      <c r="G92" s="54"/>
      <c r="H92" s="54"/>
      <c r="I92" s="56">
        <f t="shared" si="3"/>
        <v>10.6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1">
        <f>190+28</f>
        <v>218</v>
      </c>
      <c r="C93" s="53">
        <v>3</v>
      </c>
      <c r="D93" s="61">
        <f>28+28</f>
        <v>56</v>
      </c>
      <c r="E93" s="54"/>
      <c r="F93" s="54"/>
      <c r="G93" s="54"/>
      <c r="H93" s="54"/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1">
        <v>217</v>
      </c>
      <c r="C94" s="53"/>
      <c r="D94" s="61"/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1">
        <f>244+28</f>
        <v>272</v>
      </c>
      <c r="C95" s="53">
        <v>4</v>
      </c>
      <c r="D95" s="61">
        <f>28+28</f>
        <v>56</v>
      </c>
      <c r="E95" s="54"/>
      <c r="F95" s="54"/>
      <c r="G95" s="54"/>
      <c r="H95" s="54"/>
      <c r="I95" s="56">
        <f t="shared" si="3"/>
        <v>11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1">
        <v>270</v>
      </c>
      <c r="C96" s="53"/>
      <c r="D96" s="61"/>
      <c r="E96" s="54"/>
      <c r="F96" s="54"/>
      <c r="G96" s="54"/>
      <c r="H96" s="54"/>
      <c r="I96" s="56">
        <f t="shared" si="3"/>
        <v>10.8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1">
        <f>294+28</f>
        <v>322</v>
      </c>
      <c r="C97" s="53">
        <v>5</v>
      </c>
      <c r="D97" s="61">
        <f>28+28</f>
        <v>56</v>
      </c>
      <c r="E97" s="54"/>
      <c r="F97" s="54"/>
      <c r="G97" s="54"/>
      <c r="H97" s="54"/>
      <c r="I97" s="56">
        <f t="shared" si="3"/>
        <v>10.4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1">
        <v>316</v>
      </c>
      <c r="C98" s="53"/>
      <c r="D98" s="61"/>
      <c r="E98" s="54"/>
      <c r="F98" s="54"/>
      <c r="G98" s="54"/>
      <c r="H98" s="54"/>
      <c r="I98" s="56">
        <f t="shared" si="3"/>
        <v>10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1">
        <f>335+28</f>
        <v>363</v>
      </c>
      <c r="C99" s="53">
        <v>6</v>
      </c>
      <c r="D99" s="61">
        <f>28+28</f>
        <v>56</v>
      </c>
      <c r="E99" s="54"/>
      <c r="F99" s="54"/>
      <c r="G99" s="54"/>
      <c r="H99" s="54"/>
      <c r="I99" s="56">
        <f t="shared" si="3"/>
        <v>9.4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1">
        <v>351</v>
      </c>
      <c r="C100" s="53"/>
      <c r="D100" s="61"/>
      <c r="E100" s="57"/>
      <c r="F100" s="57"/>
      <c r="G100" s="57"/>
      <c r="H100" s="57"/>
      <c r="I100" s="56">
        <f t="shared" si="3"/>
        <v>8.8000000000000007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85</v>
      </c>
      <c r="B101" s="61">
        <f>365+28</f>
        <v>393</v>
      </c>
      <c r="C101" s="61">
        <v>7</v>
      </c>
      <c r="D101" s="61">
        <f>28+27</f>
        <v>55</v>
      </c>
      <c r="E101" s="54"/>
      <c r="F101" s="54"/>
      <c r="G101" s="54"/>
      <c r="H101" s="54"/>
      <c r="I101" s="56">
        <f t="shared" si="3"/>
        <v>8.4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>
        <v>95</v>
      </c>
      <c r="B102" s="53">
        <f>389+26</f>
        <v>415</v>
      </c>
      <c r="C102" s="61">
        <v>8</v>
      </c>
      <c r="D102" s="53">
        <f>26+25</f>
        <v>51</v>
      </c>
      <c r="E102" s="57"/>
      <c r="F102" s="57"/>
      <c r="G102" s="57"/>
      <c r="H102" s="57"/>
      <c r="I102" s="56">
        <f t="shared" si="3"/>
        <v>7.7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>
        <v>105</v>
      </c>
      <c r="B103" s="53">
        <f>410+24</f>
        <v>434</v>
      </c>
      <c r="C103" s="61">
        <v>9</v>
      </c>
      <c r="D103" s="53">
        <f>24+23</f>
        <v>47</v>
      </c>
      <c r="E103" s="57"/>
      <c r="F103" s="57"/>
      <c r="G103" s="57"/>
      <c r="H103" s="57"/>
      <c r="I103" s="56">
        <f t="shared" si="3"/>
        <v>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>
        <v>115</v>
      </c>
      <c r="B104" s="53">
        <f>426+22</f>
        <v>448</v>
      </c>
      <c r="C104" s="61">
        <v>10</v>
      </c>
      <c r="D104" s="53">
        <f>22+22</f>
        <v>44</v>
      </c>
      <c r="E104" s="57"/>
      <c r="F104" s="57"/>
      <c r="G104" s="57"/>
      <c r="H104" s="57"/>
      <c r="I104" s="56">
        <f t="shared" si="3"/>
        <v>6.1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125</v>
      </c>
      <c r="B105" s="53">
        <f>437+21</f>
        <v>458</v>
      </c>
      <c r="C105" s="53">
        <v>11</v>
      </c>
      <c r="D105" s="53">
        <f>21+21</f>
        <v>42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135</v>
      </c>
      <c r="B106" s="53">
        <f>444+20</f>
        <v>464</v>
      </c>
      <c r="C106" s="53">
        <v>12</v>
      </c>
      <c r="D106" s="53">
        <f>20+20</f>
        <v>40</v>
      </c>
      <c r="E106" s="57"/>
      <c r="F106" s="57"/>
      <c r="G106" s="57"/>
      <c r="H106" s="57"/>
      <c r="I106" s="56">
        <f t="shared" si="3"/>
        <v>4.8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f>448+19+19</f>
        <v>486</v>
      </c>
      <c r="C107" s="53">
        <v>13</v>
      </c>
      <c r="D107" s="53">
        <f>B107</f>
        <v>486</v>
      </c>
      <c r="E107" s="57"/>
      <c r="F107" s="57"/>
      <c r="G107" s="57"/>
      <c r="H107" s="57"/>
      <c r="I107" s="56">
        <f t="shared" si="3"/>
        <v>4.1333333333333337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f>22.3+15.1</f>
        <v>37.4</v>
      </c>
      <c r="C114" s="61"/>
      <c r="D114" s="61"/>
      <c r="E114" s="54"/>
      <c r="F114" s="54"/>
      <c r="G114" s="54"/>
      <c r="H114" s="54"/>
      <c r="I114" s="56">
        <f>IFERROR(B114/A114,"")</f>
        <v>2.4933333333333332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52+15.1+28</f>
        <v>95.1</v>
      </c>
      <c r="C115" s="61">
        <v>1</v>
      </c>
      <c r="D115" s="61">
        <f>15.1+28</f>
        <v>43.1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11.54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86.5+28</f>
        <v>114.5</v>
      </c>
      <c r="C116" s="61"/>
      <c r="D116" s="61"/>
      <c r="E116" s="54"/>
      <c r="F116" s="54"/>
      <c r="G116" s="54"/>
      <c r="H116" s="54"/>
      <c r="I116" s="56">
        <f t="shared" si="4"/>
        <v>12.500000000000002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1">
        <f>118.5+28+28</f>
        <v>174.5</v>
      </c>
      <c r="C117" s="61">
        <v>2</v>
      </c>
      <c r="D117" s="61">
        <f>28+28</f>
        <v>56</v>
      </c>
      <c r="E117" s="54"/>
      <c r="F117" s="54"/>
      <c r="G117" s="54"/>
      <c r="H117" s="54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1">
        <f>144.4+28</f>
        <v>172.4</v>
      </c>
      <c r="C118" s="61"/>
      <c r="D118" s="61"/>
      <c r="E118" s="54"/>
      <c r="F118" s="54"/>
      <c r="G118" s="54"/>
      <c r="H118" s="54"/>
      <c r="I118" s="56">
        <f t="shared" si="4"/>
        <v>10.780000000000001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1">
        <f>163.6+28+28</f>
        <v>219.6</v>
      </c>
      <c r="C119" s="61">
        <v>3</v>
      </c>
      <c r="D119" s="61">
        <f>28+28</f>
        <v>56</v>
      </c>
      <c r="E119" s="54"/>
      <c r="F119" s="54"/>
      <c r="G119" s="54"/>
      <c r="H119" s="54"/>
      <c r="I119" s="56">
        <f t="shared" si="4"/>
        <v>9.4399999999999977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45</v>
      </c>
      <c r="B120" s="61">
        <f>182.8+21.8</f>
        <v>204.60000000000002</v>
      </c>
      <c r="C120" s="61"/>
      <c r="D120" s="61"/>
      <c r="E120" s="54"/>
      <c r="F120" s="54"/>
      <c r="G120" s="54"/>
      <c r="H120" s="54"/>
      <c r="I120" s="56">
        <f t="shared" si="4"/>
        <v>8.2000000000000064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50</v>
      </c>
      <c r="B121" s="61">
        <f>201.9+21.8+16.5</f>
        <v>240.20000000000002</v>
      </c>
      <c r="C121" s="61">
        <v>4</v>
      </c>
      <c r="D121" s="61">
        <f>21.8+16.5</f>
        <v>38.299999999999997</v>
      </c>
      <c r="E121" s="54"/>
      <c r="F121" s="54"/>
      <c r="G121" s="54"/>
      <c r="H121" s="54"/>
      <c r="I121" s="56">
        <f t="shared" si="4"/>
        <v>7.1199999999999992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55</v>
      </c>
      <c r="B122" s="61">
        <f>219.1+13.4</f>
        <v>232.5</v>
      </c>
      <c r="C122" s="61"/>
      <c r="D122" s="61"/>
      <c r="E122" s="54"/>
      <c r="F122" s="54"/>
      <c r="G122" s="54"/>
      <c r="H122" s="54"/>
      <c r="I122" s="56">
        <f t="shared" si="4"/>
        <v>6.119999999999993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60</v>
      </c>
      <c r="B123" s="61">
        <f>233.1+13.4+11.8</f>
        <v>258.3</v>
      </c>
      <c r="C123" s="61">
        <v>5</v>
      </c>
      <c r="D123" s="61">
        <f>13.4+11.8</f>
        <v>25.200000000000003</v>
      </c>
      <c r="E123" s="54"/>
      <c r="F123" s="54"/>
      <c r="G123" s="54"/>
      <c r="H123" s="54"/>
      <c r="I123" s="56">
        <f t="shared" si="4"/>
        <v>5.1600000000000019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65</v>
      </c>
      <c r="B124" s="61">
        <f>243.9+10.9</f>
        <v>254.8</v>
      </c>
      <c r="C124" s="61"/>
      <c r="D124" s="61"/>
      <c r="E124" s="54"/>
      <c r="F124" s="54"/>
      <c r="G124" s="54"/>
      <c r="H124" s="54"/>
      <c r="I124" s="56">
        <f t="shared" si="4"/>
        <v>4.3399999999999981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70</v>
      </c>
      <c r="B125" s="61">
        <f>252.7+10.9+10</f>
        <v>273.59999999999997</v>
      </c>
      <c r="C125" s="61">
        <v>6</v>
      </c>
      <c r="D125" s="61">
        <f>10.9+10</f>
        <v>20.9</v>
      </c>
      <c r="E125" s="54"/>
      <c r="F125" s="54"/>
      <c r="G125" s="54"/>
      <c r="H125" s="54"/>
      <c r="I125" s="56">
        <f t="shared" si="4"/>
        <v>3.7599999999999909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75</v>
      </c>
      <c r="B126" s="61">
        <f>260.6+9.1</f>
        <v>269.70000000000005</v>
      </c>
      <c r="C126" s="61"/>
      <c r="D126" s="61"/>
      <c r="E126" s="54"/>
      <c r="F126" s="54"/>
      <c r="G126" s="54"/>
      <c r="H126" s="54"/>
      <c r="I126" s="56">
        <f t="shared" si="4"/>
        <v>3.4000000000000172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80</v>
      </c>
      <c r="B127" s="61">
        <f>267.3+9.1+8.2</f>
        <v>284.60000000000002</v>
      </c>
      <c r="C127" s="61">
        <v>7</v>
      </c>
      <c r="D127" s="61">
        <f>B127</f>
        <v>284.60000000000002</v>
      </c>
      <c r="E127" s="54"/>
      <c r="F127" s="54"/>
      <c r="G127" s="54"/>
      <c r="H127" s="54"/>
      <c r="I127" s="56">
        <f t="shared" si="4"/>
        <v>2.9799999999999955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Aulne à feuilles en cœur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1">
        <f>8+1</f>
        <v>9</v>
      </c>
      <c r="C140" s="61"/>
      <c r="D140" s="61"/>
      <c r="E140" s="54"/>
      <c r="F140" s="54"/>
      <c r="G140" s="54"/>
      <c r="H140" s="54"/>
      <c r="I140" s="59">
        <f>IFERROR(B140/A140,"")</f>
        <v>0.9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1">
        <f>33+1+3</f>
        <v>37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1">
        <f>75+1+3+9</f>
        <v>88</v>
      </c>
      <c r="C142" s="61"/>
      <c r="D142" s="61"/>
      <c r="E142" s="54"/>
      <c r="F142" s="54"/>
      <c r="G142" s="54"/>
      <c r="H142" s="54"/>
      <c r="I142" s="59">
        <f t="shared" si="5"/>
        <v>10.199999999999999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1">
        <f>98+1+3+9+18</f>
        <v>129</v>
      </c>
      <c r="C143" s="61">
        <v>1</v>
      </c>
      <c r="D143" s="61">
        <f>1+3+9+18</f>
        <v>31</v>
      </c>
      <c r="E143" s="54"/>
      <c r="F143" s="54"/>
      <c r="G143" s="54"/>
      <c r="H143" s="54">
        <v>1</v>
      </c>
      <c r="I143" s="59">
        <f t="shared" si="5"/>
        <v>8.1999999999999993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1">
        <f>117+20</f>
        <v>137</v>
      </c>
      <c r="C144" s="61"/>
      <c r="D144" s="61"/>
      <c r="E144" s="54"/>
      <c r="F144" s="54"/>
      <c r="G144" s="54"/>
      <c r="H144" s="54"/>
      <c r="I144" s="59">
        <f t="shared" si="5"/>
        <v>7.8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1">
        <f>132+20+21</f>
        <v>173</v>
      </c>
      <c r="C145" s="61">
        <v>2</v>
      </c>
      <c r="D145" s="61">
        <f>20+21</f>
        <v>41</v>
      </c>
      <c r="E145" s="54"/>
      <c r="F145" s="54"/>
      <c r="G145" s="54"/>
      <c r="H145" s="54"/>
      <c r="I145" s="59">
        <f t="shared" si="5"/>
        <v>7.2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1">
        <f>145+22</f>
        <v>167</v>
      </c>
      <c r="C146" s="61"/>
      <c r="D146" s="61"/>
      <c r="E146" s="54"/>
      <c r="F146" s="54"/>
      <c r="G146" s="54"/>
      <c r="H146" s="54"/>
      <c r="I146" s="59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1">
        <f>155+22+22</f>
        <v>199</v>
      </c>
      <c r="C147" s="61">
        <v>3</v>
      </c>
      <c r="D147" s="61">
        <f>22+22</f>
        <v>44</v>
      </c>
      <c r="E147" s="54"/>
      <c r="F147" s="54"/>
      <c r="G147" s="54"/>
      <c r="H147" s="54"/>
      <c r="I147" s="59">
        <f>IF(A147&lt;&gt;0,(B147-(B146-D146))/(A147-A146),"")</f>
        <v>6.4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53">
        <f>163+21</f>
        <v>184</v>
      </c>
      <c r="C148" s="53"/>
      <c r="D148" s="53"/>
      <c r="E148" s="54"/>
      <c r="F148" s="54"/>
      <c r="G148" s="54"/>
      <c r="H148" s="54"/>
      <c r="I148" s="59">
        <f t="shared" si="5"/>
        <v>5.8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53">
        <f>171+21+20</f>
        <v>212</v>
      </c>
      <c r="C149" s="53">
        <v>4</v>
      </c>
      <c r="D149" s="53">
        <f>21+20</f>
        <v>41</v>
      </c>
      <c r="E149" s="54"/>
      <c r="F149" s="54"/>
      <c r="G149" s="54"/>
      <c r="H149" s="54"/>
      <c r="I149" s="59">
        <f t="shared" si="5"/>
        <v>5.6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53">
        <f>177+19</f>
        <v>196</v>
      </c>
      <c r="C150" s="53"/>
      <c r="D150" s="53"/>
      <c r="E150" s="54"/>
      <c r="F150" s="54"/>
      <c r="G150" s="54"/>
      <c r="H150" s="54"/>
      <c r="I150" s="59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53">
        <f>183+19+18</f>
        <v>220</v>
      </c>
      <c r="C151" s="53">
        <v>5</v>
      </c>
      <c r="D151" s="53">
        <f>19+18</f>
        <v>37</v>
      </c>
      <c r="E151" s="54"/>
      <c r="F151" s="54"/>
      <c r="G151" s="54"/>
      <c r="H151" s="54"/>
      <c r="I151" s="59">
        <f t="shared" si="5"/>
        <v>4.8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53">
        <f>188+17</f>
        <v>205</v>
      </c>
      <c r="C152" s="53"/>
      <c r="D152" s="53"/>
      <c r="E152" s="54"/>
      <c r="F152" s="54"/>
      <c r="G152" s="54"/>
      <c r="H152" s="54"/>
      <c r="I152" s="59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53">
        <f>192+17+16</f>
        <v>225</v>
      </c>
      <c r="C153" s="53">
        <v>6</v>
      </c>
      <c r="D153" s="53">
        <f>17+16</f>
        <v>33</v>
      </c>
      <c r="E153" s="54"/>
      <c r="F153" s="54"/>
      <c r="G153" s="54"/>
      <c r="H153" s="54"/>
      <c r="I153" s="59">
        <f t="shared" si="5"/>
        <v>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80</v>
      </c>
      <c r="B154" s="53">
        <f>196+15</f>
        <v>211</v>
      </c>
      <c r="C154" s="53"/>
      <c r="D154" s="53"/>
      <c r="E154" s="54"/>
      <c r="F154" s="54"/>
      <c r="G154" s="54"/>
      <c r="H154" s="54"/>
      <c r="I154" s="59">
        <f t="shared" si="5"/>
        <v>3.8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85</v>
      </c>
      <c r="B155" s="53">
        <f>200+15+14</f>
        <v>229</v>
      </c>
      <c r="C155" s="53"/>
      <c r="D155" s="53"/>
      <c r="E155" s="54"/>
      <c r="F155" s="54"/>
      <c r="G155" s="54"/>
      <c r="H155" s="54"/>
      <c r="I155" s="59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90</v>
      </c>
      <c r="B156" s="53">
        <f>204+15+14+13</f>
        <v>246</v>
      </c>
      <c r="C156" s="53">
        <v>7</v>
      </c>
      <c r="D156" s="53">
        <f>B156</f>
        <v>246</v>
      </c>
      <c r="E156" s="54"/>
      <c r="F156" s="54"/>
      <c r="G156" s="54"/>
      <c r="H156" s="54"/>
      <c r="I156" s="59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Mélèze hybride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12</v>
      </c>
      <c r="B166" s="53">
        <v>116</v>
      </c>
      <c r="C166" s="53">
        <v>1</v>
      </c>
      <c r="D166" s="53">
        <v>21</v>
      </c>
      <c r="E166" s="54"/>
      <c r="F166" s="54"/>
      <c r="G166" s="54">
        <v>0.5</v>
      </c>
      <c r="H166" s="54">
        <v>0.5</v>
      </c>
      <c r="I166" s="52">
        <f>IFERROR(B166/A166,"")</f>
        <v>9.6666666666666661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53">
        <v>168</v>
      </c>
      <c r="C167" s="53">
        <v>2</v>
      </c>
      <c r="D167" s="53">
        <v>47</v>
      </c>
      <c r="E167" s="54"/>
      <c r="F167" s="54"/>
      <c r="G167" s="54">
        <v>0.5</v>
      </c>
      <c r="H167" s="54">
        <v>0.5</v>
      </c>
      <c r="I167" s="52">
        <f t="shared" ref="I167:I185" si="6">IF(A167&lt;&gt;0,(B167-(B166-D166))/(A167-A166),"")</f>
        <v>24.333333333333332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18</v>
      </c>
      <c r="B168" s="53">
        <v>185</v>
      </c>
      <c r="C168" s="53">
        <v>3</v>
      </c>
      <c r="D168" s="53">
        <v>61</v>
      </c>
      <c r="E168" s="54"/>
      <c r="F168" s="54">
        <v>0.2</v>
      </c>
      <c r="G168" s="54">
        <v>0.4</v>
      </c>
      <c r="H168" s="54">
        <v>0.4</v>
      </c>
      <c r="I168" s="52">
        <f t="shared" si="6"/>
        <v>21.333333333333332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53">
        <v>239</v>
      </c>
      <c r="C169" s="53">
        <v>4</v>
      </c>
      <c r="D169" s="53">
        <v>84</v>
      </c>
      <c r="E169" s="54"/>
      <c r="F169" s="54">
        <v>0.3</v>
      </c>
      <c r="G169" s="54">
        <v>0.4</v>
      </c>
      <c r="H169" s="54">
        <v>0.3</v>
      </c>
      <c r="I169" s="52">
        <f t="shared" si="6"/>
        <v>16.428571428571427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53">
        <v>255</v>
      </c>
      <c r="C170" s="53">
        <v>5</v>
      </c>
      <c r="D170" s="53">
        <v>76</v>
      </c>
      <c r="E170" s="54">
        <v>0.2</v>
      </c>
      <c r="F170" s="54">
        <v>0.4</v>
      </c>
      <c r="G170" s="54">
        <v>0.2</v>
      </c>
      <c r="H170" s="54">
        <v>0.2</v>
      </c>
      <c r="I170" s="52">
        <f t="shared" si="6"/>
        <v>20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36</v>
      </c>
      <c r="B171" s="53">
        <v>239</v>
      </c>
      <c r="C171" s="53">
        <v>6</v>
      </c>
      <c r="D171" s="53">
        <v>75</v>
      </c>
      <c r="E171" s="54"/>
      <c r="F171" s="54"/>
      <c r="G171" s="54"/>
      <c r="H171" s="54"/>
      <c r="I171" s="52">
        <f t="shared" si="6"/>
        <v>10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42</v>
      </c>
      <c r="B172" s="53">
        <v>278</v>
      </c>
      <c r="C172" s="53">
        <v>7</v>
      </c>
      <c r="D172" s="53">
        <f>B172</f>
        <v>278</v>
      </c>
      <c r="E172" s="54"/>
      <c r="F172" s="54"/>
      <c r="G172" s="54"/>
      <c r="H172" s="54"/>
      <c r="I172" s="52">
        <f t="shared" si="6"/>
        <v>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1"/>
      <c r="B174" s="61"/>
      <c r="C174" s="61"/>
      <c r="D174" s="61"/>
      <c r="E174" s="91"/>
      <c r="F174" s="91"/>
      <c r="G174" s="91"/>
      <c r="H174" s="91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1"/>
      <c r="B175" s="61"/>
      <c r="C175" s="61"/>
      <c r="D175" s="61"/>
      <c r="E175" s="91"/>
      <c r="F175" s="91"/>
      <c r="G175" s="91"/>
      <c r="H175" s="91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1"/>
      <c r="B176" s="61"/>
      <c r="C176" s="61"/>
      <c r="D176" s="61"/>
      <c r="E176" s="91"/>
      <c r="F176" s="91"/>
      <c r="G176" s="91"/>
      <c r="H176" s="91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1"/>
      <c r="B177" s="61"/>
      <c r="C177" s="61"/>
      <c r="D177" s="61"/>
      <c r="E177" s="91"/>
      <c r="F177" s="91"/>
      <c r="G177" s="91"/>
      <c r="H177" s="91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1"/>
      <c r="B178" s="61"/>
      <c r="C178" s="61"/>
      <c r="D178" s="61"/>
      <c r="E178" s="66"/>
      <c r="F178" s="66"/>
      <c r="G178" s="66"/>
      <c r="H178" s="66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1"/>
      <c r="B179" s="61"/>
      <c r="C179" s="61"/>
      <c r="D179" s="61"/>
      <c r="E179" s="66"/>
      <c r="F179" s="66"/>
      <c r="G179" s="66"/>
      <c r="H179" s="66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7"/>
      <c r="F183" s="57"/>
      <c r="G183" s="57"/>
      <c r="H183" s="57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7"/>
      <c r="F184" s="57"/>
      <c r="G184" s="57"/>
      <c r="H184" s="57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7"/>
      <c r="F185" s="57"/>
      <c r="G185" s="57"/>
      <c r="H185" s="57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Pin maritime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17</v>
      </c>
      <c r="B192" s="61">
        <f>164.23/1.3</f>
        <v>126.33076923076922</v>
      </c>
      <c r="C192" s="61">
        <v>1</v>
      </c>
      <c r="D192" s="61">
        <f>54.71/1.3</f>
        <v>42.084615384615383</v>
      </c>
      <c r="E192" s="54"/>
      <c r="F192" s="54"/>
      <c r="G192" s="54"/>
      <c r="H192" s="54">
        <v>1</v>
      </c>
      <c r="I192" s="52">
        <f>IFERROR(B192/A192,"")</f>
        <v>7.4312217194570129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23</v>
      </c>
      <c r="B193" s="61">
        <f>225.95/1.3</f>
        <v>173.80769230769229</v>
      </c>
      <c r="C193" s="61">
        <v>2</v>
      </c>
      <c r="D193" s="61">
        <f>70.33/1.3</f>
        <v>54.099999999999994</v>
      </c>
      <c r="E193" s="54">
        <v>0.25</v>
      </c>
      <c r="F193" s="54"/>
      <c r="G193" s="54"/>
      <c r="H193" s="54">
        <v>0.75</v>
      </c>
      <c r="I193" s="52">
        <f t="shared" ref="I193:I211" si="7">IF(A193&lt;&gt;0,(B193-(B192-D192))/(A193-A192),"")</f>
        <v>14.926923076923075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f>194.78/1.3</f>
        <v>149.83076923076922</v>
      </c>
      <c r="C194" s="61"/>
      <c r="D194" s="61"/>
      <c r="E194" s="54"/>
      <c r="F194" s="54"/>
      <c r="G194" s="54"/>
      <c r="H194" s="54"/>
      <c r="I194" s="52">
        <f t="shared" si="7"/>
        <v>15.061538461538461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29</v>
      </c>
      <c r="B195" s="61">
        <f>273.19/1.3</f>
        <v>210.14615384615385</v>
      </c>
      <c r="C195" s="61">
        <v>3</v>
      </c>
      <c r="D195" s="61">
        <f>61.96/1.3</f>
        <v>47.661538461538463</v>
      </c>
      <c r="E195" s="54">
        <v>0.6</v>
      </c>
      <c r="F195" s="54"/>
      <c r="G195" s="54"/>
      <c r="H195" s="54">
        <v>0.4</v>
      </c>
      <c r="I195" s="52">
        <f t="shared" si="7"/>
        <v>15.078846153846158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34</v>
      </c>
      <c r="B196" s="61">
        <f>303.37/1.3</f>
        <v>233.36153846153846</v>
      </c>
      <c r="C196" s="61"/>
      <c r="D196" s="61"/>
      <c r="E196" s="54"/>
      <c r="F196" s="54"/>
      <c r="G196" s="54"/>
      <c r="H196" s="54"/>
      <c r="I196" s="52">
        <f t="shared" si="7"/>
        <v>14.175384615384615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36</v>
      </c>
      <c r="B197" s="61">
        <f>341.35/1.3</f>
        <v>262.57692307692309</v>
      </c>
      <c r="C197" s="61">
        <v>4</v>
      </c>
      <c r="D197" s="61">
        <f>83.92/1.3</f>
        <v>64.553846153846152</v>
      </c>
      <c r="E197" s="54"/>
      <c r="F197" s="54"/>
      <c r="G197" s="54"/>
      <c r="H197" s="54"/>
      <c r="I197" s="52">
        <f t="shared" si="7"/>
        <v>14.607692307692318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44</v>
      </c>
      <c r="B198" s="61">
        <f>394.1/1.3</f>
        <v>303.15384615384619</v>
      </c>
      <c r="C198" s="61">
        <v>5</v>
      </c>
      <c r="D198" s="61">
        <f>83.82/1.3</f>
        <v>64.476923076923072</v>
      </c>
      <c r="E198" s="54"/>
      <c r="F198" s="54"/>
      <c r="G198" s="54"/>
      <c r="H198" s="54"/>
      <c r="I198" s="52">
        <f t="shared" si="7"/>
        <v>13.141346153846158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281">
        <v>52</v>
      </c>
      <c r="B199" s="61">
        <f>431.36/1.3</f>
        <v>331.81538461538463</v>
      </c>
      <c r="C199" s="61">
        <v>6</v>
      </c>
      <c r="D199" s="61">
        <f>80.32/1.3</f>
        <v>61.784615384615378</v>
      </c>
      <c r="E199" s="54"/>
      <c r="F199" s="54"/>
      <c r="G199" s="54"/>
      <c r="H199" s="54"/>
      <c r="I199" s="52">
        <f t="shared" si="7"/>
        <v>11.642307692307689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281">
        <v>60</v>
      </c>
      <c r="B200" s="61">
        <f>459.55/1.3</f>
        <v>353.5</v>
      </c>
      <c r="C200" s="61">
        <v>7</v>
      </c>
      <c r="D200" s="61">
        <f>B200</f>
        <v>353.5</v>
      </c>
      <c r="E200" s="54"/>
      <c r="F200" s="54"/>
      <c r="G200" s="54"/>
      <c r="H200" s="54"/>
      <c r="I200" s="52">
        <f t="shared" si="7"/>
        <v>10.433653846153845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1"/>
      <c r="B201" s="61"/>
      <c r="C201" s="61"/>
      <c r="D201" s="61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1"/>
      <c r="B202" s="61"/>
      <c r="C202" s="61"/>
      <c r="D202" s="61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/>
      <c r="B203" s="58"/>
      <c r="C203" s="58"/>
      <c r="D203" s="58"/>
      <c r="E203" s="64"/>
      <c r="F203" s="64"/>
      <c r="G203" s="64"/>
      <c r="H203" s="6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/>
      <c r="B204" s="58"/>
      <c r="C204" s="58"/>
      <c r="D204" s="58"/>
      <c r="E204" s="65"/>
      <c r="F204" s="65"/>
      <c r="G204" s="65"/>
      <c r="H204" s="65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2"/>
      <c r="B205" s="61"/>
      <c r="C205" s="92"/>
      <c r="D205" s="61"/>
      <c r="E205" s="57"/>
      <c r="F205" s="57"/>
      <c r="G205" s="57"/>
      <c r="H205" s="57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7"/>
      <c r="F207" s="57"/>
      <c r="G207" s="57"/>
      <c r="H207" s="57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7"/>
      <c r="F208" s="57"/>
      <c r="G208" s="57"/>
      <c r="H208" s="57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7"/>
      <c r="F209" s="57"/>
      <c r="G209" s="57"/>
      <c r="H209" s="57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7"/>
      <c r="F210" s="57"/>
      <c r="G210" s="57"/>
      <c r="H210" s="57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7"/>
      <c r="F211" s="57"/>
      <c r="G211" s="57"/>
      <c r="H211" s="57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Bouleau verruqueux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1">
        <v>9</v>
      </c>
      <c r="C218" s="61"/>
      <c r="D218" s="61"/>
      <c r="E218" s="54"/>
      <c r="F218" s="54"/>
      <c r="G218" s="54"/>
      <c r="H218" s="54"/>
      <c r="I218" s="56">
        <f>IFERROR(B218/A218,"")</f>
        <v>0.9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1">
        <v>49</v>
      </c>
      <c r="C219" s="61"/>
      <c r="D219" s="61"/>
      <c r="E219" s="54"/>
      <c r="F219" s="54"/>
      <c r="G219" s="54"/>
      <c r="H219" s="54"/>
      <c r="I219" s="56">
        <f t="shared" ref="I219:I237" si="8">IF(A219&lt;&gt;0,(B219-(B218-D218))/(A219-A218),"")</f>
        <v>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1">
        <v>99</v>
      </c>
      <c r="C220" s="61">
        <v>1</v>
      </c>
      <c r="D220" s="61">
        <v>40</v>
      </c>
      <c r="E220" s="54"/>
      <c r="F220" s="54"/>
      <c r="G220" s="54"/>
      <c r="H220" s="54">
        <v>1</v>
      </c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1">
        <v>102</v>
      </c>
      <c r="C221" s="61"/>
      <c r="D221" s="61"/>
      <c r="E221" s="54"/>
      <c r="F221" s="54"/>
      <c r="G221" s="54"/>
      <c r="H221" s="54"/>
      <c r="I221" s="56">
        <f t="shared" si="8"/>
        <v>8.6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1">
        <v>146</v>
      </c>
      <c r="C222" s="61"/>
      <c r="D222" s="61"/>
      <c r="E222" s="54"/>
      <c r="F222" s="54"/>
      <c r="G222" s="54"/>
      <c r="H222" s="54"/>
      <c r="I222" s="56">
        <f t="shared" si="8"/>
        <v>8.8000000000000007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1">
        <v>190</v>
      </c>
      <c r="C223" s="61">
        <v>2</v>
      </c>
      <c r="D223" s="61">
        <v>76</v>
      </c>
      <c r="E223" s="54"/>
      <c r="F223" s="54"/>
      <c r="G223" s="54"/>
      <c r="H223" s="54"/>
      <c r="I223" s="56">
        <f t="shared" si="8"/>
        <v>8.8000000000000007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1">
        <v>152</v>
      </c>
      <c r="C224" s="61"/>
      <c r="D224" s="61"/>
      <c r="E224" s="54"/>
      <c r="F224" s="54"/>
      <c r="G224" s="54"/>
      <c r="H224" s="54"/>
      <c r="I224" s="56">
        <f t="shared" si="8"/>
        <v>7.6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1">
        <v>45</v>
      </c>
      <c r="B225" s="61">
        <v>190</v>
      </c>
      <c r="C225" s="61"/>
      <c r="D225" s="61"/>
      <c r="E225" s="54"/>
      <c r="F225" s="54"/>
      <c r="G225" s="54"/>
      <c r="H225" s="54"/>
      <c r="I225" s="56">
        <f t="shared" si="8"/>
        <v>7.6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1">
        <v>50</v>
      </c>
      <c r="B226" s="61">
        <v>228</v>
      </c>
      <c r="C226" s="61"/>
      <c r="D226" s="61"/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1">
        <v>55</v>
      </c>
      <c r="B227" s="61">
        <v>266</v>
      </c>
      <c r="C227" s="61"/>
      <c r="D227" s="61"/>
      <c r="E227" s="54"/>
      <c r="F227" s="54"/>
      <c r="G227" s="54"/>
      <c r="H227" s="54"/>
      <c r="I227" s="56">
        <f t="shared" si="8"/>
        <v>7.6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1">
        <v>60</v>
      </c>
      <c r="B228" s="61">
        <v>303</v>
      </c>
      <c r="C228" s="61">
        <v>3</v>
      </c>
      <c r="D228" s="61">
        <f>B228</f>
        <v>303</v>
      </c>
      <c r="E228" s="54"/>
      <c r="F228" s="54"/>
      <c r="G228" s="54"/>
      <c r="H228" s="54"/>
      <c r="I228" s="56">
        <f t="shared" si="8"/>
        <v>7.4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Pin sylvestre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22</v>
      </c>
      <c r="B244" s="61">
        <f>176.73/1.3</f>
        <v>135.94615384615383</v>
      </c>
      <c r="C244" s="61">
        <v>1</v>
      </c>
      <c r="D244" s="61">
        <f>74.65/1.3</f>
        <v>57.423076923076927</v>
      </c>
      <c r="E244" s="54"/>
      <c r="F244" s="54"/>
      <c r="G244" s="54">
        <v>0.5</v>
      </c>
      <c r="H244" s="54">
        <v>0.5</v>
      </c>
      <c r="I244" s="56">
        <f>IFERROR(B244/A244,"")</f>
        <v>6.179370629370629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29</v>
      </c>
      <c r="B245" s="61">
        <f>194.81/1.3</f>
        <v>149.85384615384615</v>
      </c>
      <c r="C245" s="61">
        <v>2</v>
      </c>
      <c r="D245" s="61">
        <f>41.258/1.3</f>
        <v>31.736923076923077</v>
      </c>
      <c r="E245" s="54"/>
      <c r="F245" s="54">
        <v>0.2</v>
      </c>
      <c r="G245" s="54">
        <v>0.4</v>
      </c>
      <c r="H245" s="54">
        <v>0.4</v>
      </c>
      <c r="I245" s="56">
        <f>IF(A245&lt;&gt;0,(B245-(B244-D244))/(A245-A244),"")</f>
        <v>10.190109890109893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36</v>
      </c>
      <c r="B246" s="61">
        <f>244.25/1.3</f>
        <v>187.88461538461539</v>
      </c>
      <c r="C246" s="61">
        <v>3</v>
      </c>
      <c r="D246" s="61">
        <f>52.24/1.3</f>
        <v>40.184615384615384</v>
      </c>
      <c r="E246" s="54"/>
      <c r="F246" s="54"/>
      <c r="G246" s="54"/>
      <c r="H246" s="54"/>
      <c r="I246" s="56">
        <f>IF(A246&lt;&gt;0,(B246-(B245-D245))/(A246-A245),"")</f>
        <v>9.9668131868131873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44</v>
      </c>
      <c r="B247" s="61">
        <f>288.21/1.3</f>
        <v>221.7</v>
      </c>
      <c r="C247" s="61">
        <v>4</v>
      </c>
      <c r="D247" s="61">
        <f>51.34/1.3</f>
        <v>39.492307692307691</v>
      </c>
      <c r="E247" s="54"/>
      <c r="F247" s="54"/>
      <c r="G247" s="54"/>
      <c r="H247" s="54"/>
      <c r="I247" s="56">
        <f t="shared" ref="I247:I263" si="9">IF(A247&lt;&gt;0,(B247-(B246-D246))/(A247-A246),"")</f>
        <v>9.25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52</v>
      </c>
      <c r="B248" s="61">
        <f>323.65/1.3</f>
        <v>248.96153846153842</v>
      </c>
      <c r="C248" s="61">
        <v>5</v>
      </c>
      <c r="D248" s="61">
        <f>54.65/1.3</f>
        <v>42.038461538461533</v>
      </c>
      <c r="E248" s="54"/>
      <c r="F248" s="54"/>
      <c r="G248" s="54"/>
      <c r="H248" s="54"/>
      <c r="I248" s="56">
        <f t="shared" si="9"/>
        <v>8.3442307692307658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60</v>
      </c>
      <c r="B249" s="61">
        <f>345.57/1.3</f>
        <v>265.82307692307688</v>
      </c>
      <c r="C249" s="61">
        <v>6</v>
      </c>
      <c r="D249" s="61">
        <f>48.28/1.3</f>
        <v>37.138461538461542</v>
      </c>
      <c r="E249" s="54"/>
      <c r="F249" s="54"/>
      <c r="G249" s="54"/>
      <c r="H249" s="54"/>
      <c r="I249" s="56">
        <f t="shared" si="9"/>
        <v>7.3624999999999972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61">
        <v>70</v>
      </c>
      <c r="B250" s="61">
        <f>381.29/1.3</f>
        <v>293.3</v>
      </c>
      <c r="C250" s="61">
        <v>7</v>
      </c>
      <c r="D250" s="61">
        <f>57.36/1.3</f>
        <v>44.123076923076923</v>
      </c>
      <c r="E250" s="54"/>
      <c r="F250" s="54"/>
      <c r="G250" s="54"/>
      <c r="H250" s="54"/>
      <c r="I250" s="56">
        <f t="shared" si="9"/>
        <v>6.461538461538467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61">
        <v>80</v>
      </c>
      <c r="B251" s="61">
        <f>395.78/1.3</f>
        <v>304.44615384615383</v>
      </c>
      <c r="C251" s="61">
        <v>8</v>
      </c>
      <c r="D251" s="61">
        <f>45.39/1.3</f>
        <v>34.915384615384617</v>
      </c>
      <c r="E251" s="54"/>
      <c r="F251" s="54"/>
      <c r="G251" s="54"/>
      <c r="H251" s="54"/>
      <c r="I251" s="56">
        <f t="shared" si="9"/>
        <v>5.5269230769230742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61">
        <v>90</v>
      </c>
      <c r="B252" s="61">
        <f>412.37/1.3</f>
        <v>317.2076923076923</v>
      </c>
      <c r="C252" s="61">
        <v>9</v>
      </c>
      <c r="D252" s="61">
        <f>45.71/1.3</f>
        <v>35.161538461538463</v>
      </c>
      <c r="E252" s="54"/>
      <c r="F252" s="54"/>
      <c r="G252" s="54"/>
      <c r="H252" s="54"/>
      <c r="I252" s="56">
        <f t="shared" si="9"/>
        <v>4.7676923076923057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61">
        <v>100</v>
      </c>
      <c r="B253" s="61">
        <f>420.12/1.3</f>
        <v>323.16923076923075</v>
      </c>
      <c r="C253" s="61">
        <v>10</v>
      </c>
      <c r="D253" s="61">
        <f>248.15/1.3</f>
        <v>190.88461538461539</v>
      </c>
      <c r="E253" s="54"/>
      <c r="F253" s="54"/>
      <c r="G253" s="54"/>
      <c r="H253" s="54"/>
      <c r="I253" s="56">
        <f t="shared" si="9"/>
        <v>4.1123076923076898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61">
        <v>103</v>
      </c>
      <c r="B254" s="61">
        <f>180.12/1.3</f>
        <v>138.55384615384617</v>
      </c>
      <c r="C254" s="61">
        <v>11</v>
      </c>
      <c r="D254" s="61">
        <f>B254</f>
        <v>138.55384615384617</v>
      </c>
      <c r="E254" s="54"/>
      <c r="F254" s="54"/>
      <c r="G254" s="54"/>
      <c r="H254" s="54"/>
      <c r="I254" s="56">
        <f t="shared" si="9"/>
        <v>2.0897435897436005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/>
      <c r="B255" s="53"/>
      <c r="C255" s="53"/>
      <c r="D255" s="53"/>
      <c r="E255" s="54"/>
      <c r="F255" s="54"/>
      <c r="G255" s="54"/>
      <c r="H255" s="5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/>
      <c r="B256" s="53"/>
      <c r="C256" s="53"/>
      <c r="D256" s="53"/>
      <c r="E256" s="54"/>
      <c r="F256" s="54"/>
      <c r="G256" s="54"/>
      <c r="H256" s="54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/>
      <c r="B257" s="53"/>
      <c r="C257" s="53"/>
      <c r="D257" s="53"/>
      <c r="E257" s="54"/>
      <c r="F257" s="54"/>
      <c r="G257" s="54"/>
      <c r="H257" s="54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4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4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4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4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Pin laricio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15</v>
      </c>
      <c r="B270" s="61">
        <f>46.42/1.3</f>
        <v>35.707692307692305</v>
      </c>
      <c r="C270" s="61"/>
      <c r="D270" s="61"/>
      <c r="E270" s="54"/>
      <c r="F270" s="54"/>
      <c r="G270" s="54"/>
      <c r="H270" s="91"/>
      <c r="I270" s="56">
        <f>IFERROR(B270/A270,"")</f>
        <v>2.3805128205128203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21</v>
      </c>
      <c r="B271" s="61">
        <f>148.63/1.3</f>
        <v>114.33076923076922</v>
      </c>
      <c r="C271" s="61"/>
      <c r="D271" s="61"/>
      <c r="E271" s="54"/>
      <c r="F271" s="54"/>
      <c r="G271" s="54"/>
      <c r="H271" s="91"/>
      <c r="I271" s="56">
        <f>IF(A271&lt;&gt;0,(B271-(B270-D270))/(A271-A270),"")</f>
        <v>13.103846153846154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22</v>
      </c>
      <c r="B272" s="61">
        <f>168.98/1.3</f>
        <v>129.98461538461538</v>
      </c>
      <c r="C272" s="61">
        <v>1</v>
      </c>
      <c r="D272" s="61">
        <f>68.57/1.3</f>
        <v>52.746153846153838</v>
      </c>
      <c r="E272" s="91"/>
      <c r="F272" s="91"/>
      <c r="G272" s="91"/>
      <c r="H272" s="91">
        <v>1</v>
      </c>
      <c r="I272" s="56">
        <f t="shared" ref="I272:I289" si="10">IF(A272&lt;&gt;0,(B272-(B271-D271))/(A272-A271),"")</f>
        <v>15.65384615384616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24</v>
      </c>
      <c r="B273" s="61">
        <f>129.64/1.3</f>
        <v>99.723076923076903</v>
      </c>
      <c r="C273" s="61"/>
      <c r="D273" s="61"/>
      <c r="E273" s="91"/>
      <c r="F273" s="91"/>
      <c r="G273" s="91"/>
      <c r="H273" s="91"/>
      <c r="I273" s="56">
        <f t="shared" si="10"/>
        <v>11.242307692307683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27</v>
      </c>
      <c r="B274" s="61">
        <f>182.93/1.3</f>
        <v>140.71538461538461</v>
      </c>
      <c r="C274" s="61">
        <v>2</v>
      </c>
      <c r="D274" s="61">
        <f>45.04/1.3</f>
        <v>34.646153846153844</v>
      </c>
      <c r="E274" s="91"/>
      <c r="F274" s="91"/>
      <c r="G274" s="91">
        <v>0.5</v>
      </c>
      <c r="H274" s="91">
        <v>0.5</v>
      </c>
      <c r="I274" s="56">
        <f t="shared" si="10"/>
        <v>13.664102564102569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30</v>
      </c>
      <c r="B275" s="61">
        <f>188.48/1.3</f>
        <v>144.98461538461538</v>
      </c>
      <c r="C275" s="61"/>
      <c r="D275" s="61"/>
      <c r="E275" s="91"/>
      <c r="F275" s="91"/>
      <c r="G275" s="91"/>
      <c r="H275" s="91"/>
      <c r="I275" s="56">
        <f t="shared" si="10"/>
        <v>12.971794871794875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33</v>
      </c>
      <c r="B276" s="61">
        <f>239.07/1.3</f>
        <v>183.89999999999998</v>
      </c>
      <c r="C276" s="61">
        <v>3</v>
      </c>
      <c r="D276" s="61">
        <f>55.91/1.3</f>
        <v>43.007692307692302</v>
      </c>
      <c r="E276" s="91"/>
      <c r="F276" s="91"/>
      <c r="G276" s="91"/>
      <c r="H276" s="91"/>
      <c r="I276" s="56">
        <f t="shared" si="10"/>
        <v>12.971794871794865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61">
        <v>41</v>
      </c>
      <c r="B277" s="61">
        <f>315.66/1.3</f>
        <v>242.81538461538463</v>
      </c>
      <c r="C277" s="61">
        <v>4</v>
      </c>
      <c r="D277" s="61">
        <f>76.03/1.3</f>
        <v>58.484615384615381</v>
      </c>
      <c r="E277" s="91"/>
      <c r="F277" s="91"/>
      <c r="G277" s="91"/>
      <c r="H277" s="91"/>
      <c r="I277" s="56">
        <f t="shared" si="10"/>
        <v>12.74038461538462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61">
        <v>50</v>
      </c>
      <c r="B278" s="61">
        <f>378.41/1.3</f>
        <v>291.0846153846154</v>
      </c>
      <c r="C278" s="61">
        <v>5</v>
      </c>
      <c r="D278" s="61">
        <f>71.88/1.3</f>
        <v>55.292307692307688</v>
      </c>
      <c r="E278" s="91"/>
      <c r="F278" s="91"/>
      <c r="G278" s="91"/>
      <c r="H278" s="91"/>
      <c r="I278" s="56">
        <f t="shared" si="10"/>
        <v>11.861538461538462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61">
        <v>60</v>
      </c>
      <c r="B279" s="61">
        <f>445.15/1.3</f>
        <v>342.42307692307691</v>
      </c>
      <c r="C279" s="61">
        <v>6</v>
      </c>
      <c r="D279" s="61">
        <f>70.54/1.3</f>
        <v>54.261538461538464</v>
      </c>
      <c r="E279" s="91"/>
      <c r="F279" s="91"/>
      <c r="G279" s="91"/>
      <c r="H279" s="91"/>
      <c r="I279" s="56">
        <f t="shared" si="10"/>
        <v>10.66307692307692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61">
        <v>70</v>
      </c>
      <c r="B280" s="61">
        <f>493.99/1.3</f>
        <v>379.99230769230769</v>
      </c>
      <c r="C280" s="61">
        <v>7</v>
      </c>
      <c r="D280" s="61">
        <f>68.47/1.3</f>
        <v>52.669230769230765</v>
      </c>
      <c r="E280" s="91"/>
      <c r="F280" s="91"/>
      <c r="G280" s="91"/>
      <c r="H280" s="91"/>
      <c r="I280" s="56">
        <f t="shared" si="10"/>
        <v>9.1830769230769249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61">
        <v>80</v>
      </c>
      <c r="B281" s="61">
        <f>523.78/1.3</f>
        <v>402.90769230769229</v>
      </c>
      <c r="C281" s="61">
        <v>8</v>
      </c>
      <c r="D281" s="61">
        <f>B281</f>
        <v>402.90769230769229</v>
      </c>
      <c r="E281" s="91"/>
      <c r="F281" s="91"/>
      <c r="G281" s="91"/>
      <c r="H281" s="91"/>
      <c r="I281" s="56">
        <f t="shared" si="10"/>
        <v>7.5584615384615343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Douglas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Hêtre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Châtaignier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Aulne à feuilles en cœur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Mélèze hybride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Pin maritime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Bouleau verruqueux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Pin sylvestre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Pin laricio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430.11660085503223</v>
      </c>
      <c r="T3" s="60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323.98185264074681</v>
      </c>
      <c r="AO3" s="60">
        <f>IF('Données projet'!E10&gt;30,$AM$33-$H$33,LOOKUP('Données projet'!$E$10,$A$3:$A$203,AM3:AM203)-LOOKUP('Données projet'!$E$10,$A$3:$A$203,$H$3:$H$203))</f>
        <v>301.22207291854005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556.75475431848258</v>
      </c>
      <c r="BJ3" s="60">
        <f>IF('Données projet'!E11&gt;30,$BH$33-$H$33,LOOKUP('Données projet'!$E$11,$A$3:$A$203,BH3:BH203)-LOOKUP('Données projet'!$E$11,$A$3:$A$203,$H$3:$H$203))</f>
        <v>256.77417912163997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290.68086183422963</v>
      </c>
      <c r="CE3" s="60">
        <f>IF('Données projet'!E12&gt;30,$CC$33-$H$33,LOOKUP('Données projet'!$E$12,$A$3:$A$203,CC3:CC203)-LOOKUP('Données projet'!$E$12,$A$3:$A$203,$H$3:$H$203))</f>
        <v>317.88330630101785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243.04319555814601</v>
      </c>
      <c r="CZ3" s="60">
        <f>IF('Données projet'!E13&gt;30,$CX$33-$H$33,LOOKUP('Données projet'!$E$13,$A$3:$A$203,CX3:CX203)-LOOKUP('Données projet'!$E$13,$A$3:$A$203,$H$3:$H$203))</f>
        <v>235.68746142880792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201.4732637505823</v>
      </c>
      <c r="DU3" s="60">
        <f>IF('Données projet'!E14&gt;30,$DS$33-$H$33,LOOKUP('Données projet'!$E$14,$A$3:$A$203,DS3:DS203)-LOOKUP('Données projet'!$E$14,$A$3:$A$203,$H$3:$H$203))</f>
        <v>342.06887933351783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260.01925143568263</v>
      </c>
      <c r="EP3" s="60">
        <f>IF('Données projet'!E15&gt;30,$EN$33-$H$33,LOOKUP('Données projet'!$E$15,$A$3:$A$203,EN3:EN203)-LOOKUP('Données projet'!$E$15,$A$3:$A$203,$H$3:$H$203))</f>
        <v>269.95358755269427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256.19915261735281</v>
      </c>
      <c r="FK3" s="60">
        <f>IF('Données projet'!E16&gt;30,$FI$33-$H$33,LOOKUP('Données projet'!$E$16,$A$3:$A$203,FI3:FI203)-LOOKUP('Données projet'!$E$16,$A$3:$A$203,$H$3:$H$203))</f>
        <v>297.47246687305056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256.66666666666669</v>
      </c>
      <c r="GE3" s="60">
        <f ca="1">AVERAGE(OFFSET($GD$3,0,0,'Données projet'!$E$17+1,1))-AVERAGE(OFFSET($H$3,0,0,'Données projet'!$E$17+1,1))</f>
        <v>268.71641789629319</v>
      </c>
      <c r="GF3" s="60">
        <f>IF('Données projet'!E17&gt;30,$GD$33-$H$33,LOOKUP('Données projet'!$E$17,$A$3:$A$203,GD3:GD203)-LOOKUP('Données projet'!$E$17,$A$3:$A$203,$H$3:$H$203))</f>
        <v>199.94048514486104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256.66666666666669</v>
      </c>
      <c r="GZ3" s="60">
        <f ca="1">AVERAGE(OFFSET($GY$3,0,0,'Données projet'!$E$18+1,1))-AVERAGE(OFFSET($H$3,0,0,'Données projet'!$E$18+1,1))</f>
        <v>289.12367833861299</v>
      </c>
      <c r="HA3" s="60">
        <f>IF('Données projet'!E18&gt;30,$GY$33-$H$33,LOOKUP('Données projet'!$E$18,$A$3:$A$203,GY3:GY203)-LOOKUP('Données projet'!$E$18,$A$3:$A$203,$H$3:$H$203))</f>
        <v>229.06617320689003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260.65521412271448</v>
      </c>
      <c r="S4" s="60">
        <f ca="1">AVERAGE(OFFSET($R$3,0,0,'Données projet'!$E$9+1,1))-AVERAGE(OFFSET($H$3,0,0,'Données projet'!$E$9+1,1))</f>
        <v>430.11660085503223</v>
      </c>
      <c r="T4" s="60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7.7987854251012134</v>
      </c>
      <c r="AI4" s="14">
        <f>IF('Données projet'!$A$62&gt;35,AI3+AH4-AQ3,IF(A4&lt;'Données projet'!$A$62,$AF$205^A4,IF(A4='Données projet'!$A$62,'Données projet'!$B$62,AI3+AH4-AQ3)))</f>
        <v>1.3009230512021859</v>
      </c>
      <c r="AJ4" s="14">
        <f>AI4*VLOOKUP('Données projet'!$B$10,Paramètres!$A$1:$I$89,3,0)*VLOOKUP('Données projet'!$B$10,Paramètres!$A$1:$I$89,5,0)</f>
        <v>0.72721598562202194</v>
      </c>
      <c r="AK4" s="14">
        <f>EXP(-1.0587+0.8836*LN(AJ4)+0.284)</f>
        <v>0.3477906162348457</v>
      </c>
      <c r="AL4" s="22">
        <f t="shared" ref="AL4:AL67" si="4">(AJ4+AK4)*0.475*44/12</f>
        <v>1.8723031649007107</v>
      </c>
      <c r="AM4" s="60">
        <f t="shared" ref="AM4:AM67" si="5">AL4+(AD4+AE4)*44/12</f>
        <v>259.76119205378956</v>
      </c>
      <c r="AN4" s="60">
        <f ca="1">AVERAGE(OFFSET($AM$3,0,0,'Données projet'!$E$10+1,1))-AVERAGE(OFFSET($H$3,0,0,'Données projet'!$E$10+1,1))</f>
        <v>323.98185264074681</v>
      </c>
      <c r="AO4" s="60">
        <f>$AO$3</f>
        <v>301.22207291854005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1.6</v>
      </c>
      <c r="BD4" s="13">
        <f>IF('Données projet'!$A$88&gt;35,BD3+BC4-BL3,IF(A4&lt;'Données projet'!$A$88,$BA$205^A4,IF(A4='Données projet'!$A$88,'Données projet'!$B$88,BD3+BC4-BL3)))</f>
        <v>1.189207115002721</v>
      </c>
      <c r="BE4" s="14">
        <f>BD4*VLOOKUP('Données projet'!$B$11,Paramètres!$A$1:$I$89,3,0)*VLOOKUP('Données projet'!$B$11,Paramètres!$A$1:$I$89,5,0)</f>
        <v>1.0203397046723348</v>
      </c>
      <c r="BF4" s="14">
        <f>EXP(-1.0587+0.8836*LN(BE4)+0.284)</f>
        <v>0.46911460970544039</v>
      </c>
      <c r="BG4" s="22">
        <f t="shared" ref="BG4:BG67" si="7">(BE4+BF4)*0.475*44/12</f>
        <v>2.594132930874625</v>
      </c>
      <c r="BH4" s="60">
        <f t="shared" ref="BH4:BH67" si="8">BG4+(AY4+AZ4)*44/12</f>
        <v>260.48302181976351</v>
      </c>
      <c r="BI4" s="60">
        <f ca="1">AVERAGE(OFFSET($BH$3,0,0,'Données projet'!$E$11+1,1))-AVERAGE(OFFSET($H$3,0,0,'Données projet'!$E$11+1,1))</f>
        <v>556.75475431848258</v>
      </c>
      <c r="BJ4" s="60">
        <f>$BJ$3</f>
        <v>256.77417912163997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2.4933333333333332</v>
      </c>
      <c r="BY4" s="13">
        <f>IF('Données projet'!$A$114&gt;35,BY3+BX4-CG3,IF(A4&lt;'Données projet'!$A$114,$BV$205^A4,IF(A4='Données projet'!$A$114,'Données projet'!$B$114,BY3+BX4-CG3)))</f>
        <v>1.2730870686066207</v>
      </c>
      <c r="BZ4" s="14">
        <f>BY4*VLOOKUP('Données projet'!$B$12,Paramètres!$A$1:$I$89,3,0)*VLOOKUP('Données projet'!$B$12,Paramètres!$A$1:$I$89,5,0)</f>
        <v>0.93342743870237421</v>
      </c>
      <c r="CA4" s="14">
        <f>EXP(-1.0587+0.8836*LN(BZ4)+0.284)</f>
        <v>0.43362593613342421</v>
      </c>
      <c r="CB4" s="22">
        <f t="shared" ref="CB4:CB67" si="10">(BZ4+CA4)*0.475*44/12</f>
        <v>2.3809512945056821</v>
      </c>
      <c r="CC4" s="60">
        <f t="shared" ref="CC4:CC67" si="11">CB4+(BT4+BU4)*44/12</f>
        <v>260.26984018339454</v>
      </c>
      <c r="CD4" s="60">
        <f ca="1">AVERAGE(OFFSET($CC$3,0,0,'Données projet'!$E$12+1,1))-AVERAGE(OFFSET($H$3,0,0,'Données projet'!$E$12+1,1))</f>
        <v>290.68086183422963</v>
      </c>
      <c r="CE4" s="60">
        <f>$CE$3</f>
        <v>317.88330630101785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0.9</v>
      </c>
      <c r="CT4" s="13">
        <f>IF('Données projet'!$A$140&gt;35,CT3+CS4-DB3,IF(A4&lt;'Données projet'!$A$140,$CQ$205^A4,IF(A4='Données projet'!$A$140,'Données projet'!$B$140,CT3+CS4-DB3)))</f>
        <v>1.2457309396155174</v>
      </c>
      <c r="CU4" s="18">
        <f>CT4*VLOOKUP('Données projet'!$B$13,Paramètres!$A$1:$I$89,3,0)*VLOOKUP('Données projet'!$B$13,Paramètres!$A$1:$I$89,5,0)</f>
        <v>0.81620291163608694</v>
      </c>
      <c r="CV4" s="14">
        <f>EXP(-1.0587+0.8836*LN(CU4)+0.284)</f>
        <v>0.38513847027569503</v>
      </c>
      <c r="CW4" s="22">
        <f t="shared" ref="CW4:CW67" si="13">(CU4+CV4)*0.475*44/12</f>
        <v>2.0923362401630201</v>
      </c>
      <c r="CX4" s="60">
        <f t="shared" ref="CX4:CX67" si="14">CW4+(CO4+CP4)*44/12</f>
        <v>259.98122512905189</v>
      </c>
      <c r="CY4" s="60">
        <f ca="1">AVERAGE(OFFSET($CX$3,0,0,'Données projet'!$E$13+1,1))-AVERAGE(OFFSET($H$3,0,0,'Données projet'!$E$13+1,1))</f>
        <v>243.04319555814601</v>
      </c>
      <c r="CZ4" s="60">
        <f>$CZ$3</f>
        <v>235.68746142880792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9.6666666666666661</v>
      </c>
      <c r="DO4" s="13">
        <f>IF('Données projet'!$A$166&gt;35,DO3+DN4-DW3,IF(A4&lt;'Données projet'!$A$166,$DL$205^A4,IF(A4='Données projet'!$A$166,'Données projet'!$B$166,DO3+DN4-DW3)))</f>
        <v>1.4860662319460807</v>
      </c>
      <c r="DP4" s="18">
        <f>DO4*VLOOKUP('Données projet'!$B$14,Paramètres!$A$1:$I$89,3,0)*VLOOKUP('Données projet'!$B$14,Paramètres!$A$1:$I$89,5,0)</f>
        <v>0.81139216264255998</v>
      </c>
      <c r="DQ4" s="14">
        <f>EXP(-1.0587+0.8836*LN(DP4)+0.284)</f>
        <v>0.38313198283208655</v>
      </c>
      <c r="DR4" s="22">
        <f t="shared" ref="DR4:DR67" si="16">(DP4+DQ4)*0.475*44/12</f>
        <v>2.0804628867016759</v>
      </c>
      <c r="DS4" s="60">
        <f t="shared" ref="DS4:DS67" si="17">DR4+(DJ4+DK4)*44/12</f>
        <v>259.96935177559055</v>
      </c>
      <c r="DT4" s="60">
        <f ca="1">AVERAGE(OFFSET($DS$3,0,0,'Données projet'!$E$14+1,1))-AVERAGE(OFFSET($H$3,0,0,'Données projet'!$E$14+1,1))</f>
        <v>201.4732637505823</v>
      </c>
      <c r="DU4" s="60">
        <f>$DU$3</f>
        <v>342.06887933351783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7.4312217194570129</v>
      </c>
      <c r="EJ4" s="13">
        <f>IF('Données projet'!$A$192&gt;35,EJ3+EI4-ER3,IF(A4&lt;'Données projet'!$A$192,$EG$205^A4,IF(A4='Données projet'!$A$192,'Données projet'!$B$192,EJ3+EI4-ER3)))</f>
        <v>1.3292852468636394</v>
      </c>
      <c r="EK4" s="18">
        <f>EJ4*VLOOKUP('Données projet'!$B$15,Paramètres!$A$1:$I$89,3,0)*VLOOKUP('Données projet'!$B$15,Paramètres!$A$1:$I$89,5,0)</f>
        <v>0.79491257762445644</v>
      </c>
      <c r="EL4" s="14">
        <f>EXP(-1.0587+0.8836*LN(EK4)+0.284)</f>
        <v>0.37624805113513943</v>
      </c>
      <c r="EM4" s="22">
        <f t="shared" ref="EM4:EM67" si="19">(EK4+EL4)*0.475*44/12</f>
        <v>2.0397714284229629</v>
      </c>
      <c r="EN4" s="60">
        <f t="shared" ref="EN4:EN67" si="20">EM4+(EE4+EF4)*44/12</f>
        <v>259.92866031731182</v>
      </c>
      <c r="EO4" s="60">
        <f ca="1">AVERAGE(OFFSET($EN$3,0,0,'Données projet'!$E$15+1,1))-AVERAGE(OFFSET($H$3,0,0,'Données projet'!$E$15+1,1))</f>
        <v>260.01925143568263</v>
      </c>
      <c r="EP4" s="60">
        <f>$EP$3</f>
        <v>269.95358755269427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0.9</v>
      </c>
      <c r="FE4" s="13">
        <f>IF('Données projet'!$A$218&gt;35,FE3+FD4-FM3,IF(A4&lt;'Données projet'!$A$218,$FB$205^A4,IF(A4='Données projet'!$A$218,'Données projet'!$B$218,FE3+FD4-FM3)))</f>
        <v>1.2457309396155174</v>
      </c>
      <c r="FF4" s="18">
        <f>FE4*VLOOKUP('Données projet'!$B$16,Paramètres!$A$1:$I$89,3,0)*VLOOKUP('Données projet'!$B$16,Paramètres!$A$1:$I$89,5,0)</f>
        <v>1.0105369382161078</v>
      </c>
      <c r="FG4" s="14">
        <f>EXP(-1.0587+0.8836*LN(FF4)+0.284)</f>
        <v>0.46513003316107315</v>
      </c>
      <c r="FH4" s="22">
        <f t="shared" ref="FH4:FH67" si="22">(FF4+FG4)*0.475*44/12</f>
        <v>2.5701199751485899</v>
      </c>
      <c r="FI4" s="60">
        <f t="shared" ref="FI4:FI67" si="23">FH4+(EZ4+FA4)*44/12</f>
        <v>260.45900886403746</v>
      </c>
      <c r="FJ4" s="60">
        <f ca="1">AVERAGE(OFFSET($FI$3,0,0,'Données projet'!$E$16+1,1))-AVERAGE(OFFSET($H$3,0,0,'Données projet'!$E$16+1,1))</f>
        <v>256.19915261735281</v>
      </c>
      <c r="FK4" s="60">
        <f>$FK$3</f>
        <v>297.47246687305056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6.179370629370629</v>
      </c>
      <c r="FZ4" s="13">
        <f>IF('Données projet'!$A$244&gt;35,FZ3+FY4-GH3,IF(A4&lt;'Données projet'!$A$244,$FW$205^A4,IF(A4='Données projet'!$A$244,'Données projet'!$B$244,FZ3+FY4-GH3)))</f>
        <v>1.2501761914401572</v>
      </c>
      <c r="GA4" s="18">
        <f>FZ4*VLOOKUP('Données projet'!$B$17,Paramètres!$A$1:$I$89,3,0)*VLOOKUP('Données projet'!$B$17,Paramètres!$A$1:$I$89,5,0)</f>
        <v>0.71510078150376999</v>
      </c>
      <c r="GB4" s="14">
        <f>EXP(-1.0587+0.8836*LN(GA4)+0.284)</f>
        <v>0.34266596395379439</v>
      </c>
      <c r="GC4" s="22">
        <f t="shared" ref="GC4:GC67" si="25">(GA4+GB4)*0.475*44/12</f>
        <v>1.8422770816719243</v>
      </c>
      <c r="GD4" s="60">
        <f t="shared" ref="GD4:GD67" si="26">GC4+(FU4+FV4)*44/12</f>
        <v>259.73116597056077</v>
      </c>
      <c r="GE4" s="60">
        <f ca="1">AVERAGE(OFFSET($GD$3,0,0,'Données projet'!$E$17+1,1))-AVERAGE(OFFSET($H$3,0,0,'Données projet'!$E$17+1,1))</f>
        <v>268.71641789629319</v>
      </c>
      <c r="GF4" s="60">
        <f>$GF$3</f>
        <v>199.94048514486104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2.3805128205128203</v>
      </c>
      <c r="GU4" s="13">
        <f>IF('Données projet'!$A$270&gt;35,GU3+GT4-HC3,IF(A4&lt;'Données projet'!$A$270,$GR$205^A4,IF(A4='Données projet'!$A$270,'Données projet'!$B$270,GU3+GT4-HC3)))</f>
        <v>1.2691631451226497</v>
      </c>
      <c r="GV4" s="18">
        <f>GU4*VLOOKUP('Données projet'!$B$18,Paramètres!$A$1:$I$89,3,0)*VLOOKUP('Données projet'!$B$18,Paramètres!$A$1:$I$89,5,0)</f>
        <v>0.75895956078334459</v>
      </c>
      <c r="GW4" s="14">
        <f>EXP(-1.0587+0.8836*LN(GV4)+0.284)</f>
        <v>0.36117131619841292</v>
      </c>
      <c r="GX4" s="22">
        <f t="shared" ref="GX4:GX67" si="28">(GV4+GW4)*0.475*44/12</f>
        <v>1.9508946107432275</v>
      </c>
      <c r="GY4" s="60">
        <f t="shared" ref="GY4:GY67" si="29">GX4+(GP4+GQ4)*44/12</f>
        <v>259.83978349963206</v>
      </c>
      <c r="GZ4" s="60">
        <f ca="1">AVERAGE(OFFSET($GY$3,0,0,'Données projet'!$E$18+1,1))-AVERAGE(OFFSET($H$3,0,0,'Données projet'!$E$18+1,1))</f>
        <v>289.12367833861299</v>
      </c>
      <c r="HA4" s="60">
        <f>$HA$3</f>
        <v>229.06617320689003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262.42339882093205</v>
      </c>
      <c r="S5" s="60">
        <f ca="1">AVERAGE(OFFSET($R$3,0,0,'Données projet'!$E$9+1,1))-AVERAGE(OFFSET($H$3,0,0,'Données projet'!$E$9+1,1))</f>
        <v>430.11660085503223</v>
      </c>
      <c r="T5" s="60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7.7987854251012134</v>
      </c>
      <c r="AI5" s="14">
        <f>IF('Données projet'!$A$62&gt;35,AI4+AH5-AQ4,IF(A5&lt;'Données projet'!$A$62,$AF$205^A5,IF(A5='Données projet'!$A$62,'Données projet'!$B$62,AI4+AH5-AQ4)))</f>
        <v>1.6924007851492051</v>
      </c>
      <c r="AJ5" s="14">
        <f>AI5*VLOOKUP('Données projet'!$B$10,Paramètres!$A$1:$I$89,3,0)*VLOOKUP('Données projet'!$B$10,Paramètres!$A$1:$I$89,5,0)</f>
        <v>0.94605203889840572</v>
      </c>
      <c r="AK5" s="14">
        <f t="shared" ref="AK5:AK68" si="35">EXP(-1.0587+0.8836*LN(AJ5)+0.284)</f>
        <v>0.43880400409515918</v>
      </c>
      <c r="AL5" s="22">
        <f t="shared" si="4"/>
        <v>2.4119576082137919</v>
      </c>
      <c r="AM5" s="60">
        <f t="shared" si="5"/>
        <v>261.52306871932495</v>
      </c>
      <c r="AN5" s="60">
        <f ca="1">AVERAGE(OFFSET($AM$3,0,0,'Données projet'!$E$10+1,1))-AVERAGE(OFFSET($H$3,0,0,'Données projet'!$E$10+1,1))</f>
        <v>323.98185264074681</v>
      </c>
      <c r="AO5" s="60">
        <f t="shared" ref="AO5:AO68" si="36">$AO$3</f>
        <v>301.22207291854005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1.6</v>
      </c>
      <c r="BD5" s="13">
        <f>IF('Données projet'!$A$88&gt;35,BD4+BC5-BL4,IF(A5&lt;'Données projet'!$A$88,$BA$205^A5,IF(A5='Données projet'!$A$88,'Données projet'!$B$88,BD4+BC5-BL4)))</f>
        <v>1.4142135623730949</v>
      </c>
      <c r="BE5" s="14">
        <f>BD5*VLOOKUP('Données projet'!$B$11,Paramètres!$A$1:$I$89,3,0)*VLOOKUP('Données projet'!$B$11,Paramètres!$A$1:$I$89,5,0)</f>
        <v>1.2133952365161156</v>
      </c>
      <c r="BF5" s="14">
        <f t="shared" ref="BF5:BF68" si="37">EXP(-1.0587+0.8836*LN(BE5)+0.284)</f>
        <v>0.54673450619692521</v>
      </c>
      <c r="BG5" s="22">
        <f t="shared" si="7"/>
        <v>3.0655593018918794</v>
      </c>
      <c r="BH5" s="60">
        <f t="shared" si="8"/>
        <v>262.17667041300302</v>
      </c>
      <c r="BI5" s="60">
        <f ca="1">AVERAGE(OFFSET($BH$3,0,0,'Données projet'!$E$11+1,1))-AVERAGE(OFFSET($H$3,0,0,'Données projet'!$E$11+1,1))</f>
        <v>556.75475431848258</v>
      </c>
      <c r="BJ5" s="60">
        <f t="shared" ref="BJ5:BJ68" si="38">$BJ$3</f>
        <v>256.77417912163997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2.4933333333333332</v>
      </c>
      <c r="BY5" s="13">
        <f>IF('Données projet'!$A$114&gt;35,BY4+BX5-CG4,IF(A5&lt;'Données projet'!$A$114,$BV$205^A5,IF(A5='Données projet'!$A$114,'Données projet'!$B$114,BY4+BX5-CG4)))</f>
        <v>1.6207506842533985</v>
      </c>
      <c r="BZ5" s="14">
        <f>BY5*VLOOKUP('Données projet'!$B$12,Paramètres!$A$1:$I$89,3,0)*VLOOKUP('Données projet'!$B$12,Paramètres!$A$1:$I$89,5,0)</f>
        <v>1.1883344016945918</v>
      </c>
      <c r="CA5" s="14">
        <f t="shared" ref="CA5:CA68" si="39">EXP(-1.0587+0.8836*LN(BZ5)+0.284)</f>
        <v>0.5367448345281679</v>
      </c>
      <c r="CB5" s="22">
        <f t="shared" si="10"/>
        <v>3.0045130030879732</v>
      </c>
      <c r="CC5" s="60">
        <f t="shared" si="11"/>
        <v>262.11562411419914</v>
      </c>
      <c r="CD5" s="60">
        <f ca="1">AVERAGE(OFFSET($CC$3,0,0,'Données projet'!$E$12+1,1))-AVERAGE(OFFSET($H$3,0,0,'Données projet'!$E$12+1,1))</f>
        <v>290.68086183422963</v>
      </c>
      <c r="CE5" s="60">
        <f t="shared" ref="CE5:CE68" si="40">$CE$3</f>
        <v>317.88330630101785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0.9</v>
      </c>
      <c r="CT5" s="13">
        <f>IF('Données projet'!$A$140&gt;35,CT4+CS5-DB4,IF(A5&lt;'Données projet'!$A$140,$CQ$205^A5,IF(A5='Données projet'!$A$140,'Données projet'!$B$140,CT4+CS5-DB4)))</f>
        <v>1.5518455739153598</v>
      </c>
      <c r="CU5" s="18">
        <f>CT5*VLOOKUP('Données projet'!$B$13,Paramètres!$A$1:$I$89,3,0)*VLOOKUP('Données projet'!$B$13,Paramètres!$A$1:$I$89,5,0)</f>
        <v>1.0167692200293437</v>
      </c>
      <c r="CV5" s="14">
        <f t="shared" ref="CV5:CV68" si="41">EXP(-1.0587+0.8836*LN(CU5)+0.284)</f>
        <v>0.46766381619902025</v>
      </c>
      <c r="CW5" s="22">
        <f t="shared" si="13"/>
        <v>2.5853875380977338</v>
      </c>
      <c r="CX5" s="60">
        <f t="shared" si="14"/>
        <v>261.69649864920888</v>
      </c>
      <c r="CY5" s="60">
        <f ca="1">AVERAGE(OFFSET($CX$3,0,0,'Données projet'!$E$13+1,1))-AVERAGE(OFFSET($H$3,0,0,'Données projet'!$E$13+1,1))</f>
        <v>243.04319555814601</v>
      </c>
      <c r="CZ5" s="60">
        <f t="shared" ref="CZ5:CZ68" si="42">$CZ$3</f>
        <v>235.68746142880792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9.6666666666666661</v>
      </c>
      <c r="DO5" s="13">
        <f>IF('Données projet'!$A$166&gt;35,DO4+DN5-DW4,IF(A5&lt;'Données projet'!$A$166,$DL$205^A5,IF(A5='Données projet'!$A$166,'Données projet'!$B$166,DO4+DN5-DW4)))</f>
        <v>2.2083928457304225</v>
      </c>
      <c r="DP5" s="18">
        <f>DO5*VLOOKUP('Données projet'!$B$14,Paramètres!$A$1:$I$89,3,0)*VLOOKUP('Données projet'!$B$14,Paramètres!$A$1:$I$89,5,0)</f>
        <v>1.2057824937688106</v>
      </c>
      <c r="DQ5" s="14">
        <f t="shared" ref="DQ5:DQ68" si="43">EXP(-1.0587+0.8836*LN(DP5)+0.284)</f>
        <v>0.54370250071771287</v>
      </c>
      <c r="DR5" s="22">
        <f t="shared" si="16"/>
        <v>3.0470196987306952</v>
      </c>
      <c r="DS5" s="60">
        <f t="shared" si="17"/>
        <v>262.15813080984185</v>
      </c>
      <c r="DT5" s="60">
        <f ca="1">AVERAGE(OFFSET($DS$3,0,0,'Données projet'!$E$14+1,1))-AVERAGE(OFFSET($H$3,0,0,'Données projet'!$E$14+1,1))</f>
        <v>201.4732637505823</v>
      </c>
      <c r="DU5" s="60">
        <f t="shared" ref="DU5:DU68" si="44">$DU$3</f>
        <v>342.06887933351783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7.4312217194570129</v>
      </c>
      <c r="EJ5" s="13">
        <f>IF('Données projet'!$A$192&gt;35,EJ4+EI5-ER4,IF(A5&lt;'Données projet'!$A$192,$EG$205^A5,IF(A5='Données projet'!$A$192,'Données projet'!$B$192,EJ4+EI5-ER4)))</f>
        <v>1.7669992675293267</v>
      </c>
      <c r="EK5" s="18">
        <f>EJ5*VLOOKUP('Données projet'!$B$15,Paramètres!$A$1:$I$89,3,0)*VLOOKUP('Données projet'!$B$15,Paramètres!$A$1:$I$89,5,0)</f>
        <v>1.0566655619825374</v>
      </c>
      <c r="EL5" s="14">
        <f t="shared" ref="EL5:EL68" si="45">EXP(-1.0587+0.8836*LN(EK5)+0.284)</f>
        <v>0.48384169076702271</v>
      </c>
      <c r="EM5" s="22">
        <f t="shared" si="19"/>
        <v>2.6830501318721502</v>
      </c>
      <c r="EN5" s="60">
        <f t="shared" si="20"/>
        <v>261.79416124298331</v>
      </c>
      <c r="EO5" s="60">
        <f ca="1">AVERAGE(OFFSET($EN$3,0,0,'Données projet'!$E$15+1,1))-AVERAGE(OFFSET($H$3,0,0,'Données projet'!$E$15+1,1))</f>
        <v>260.01925143568263</v>
      </c>
      <c r="EP5" s="60">
        <f t="shared" ref="EP5:EP68" si="46">$EP$3</f>
        <v>269.95358755269427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0.9</v>
      </c>
      <c r="FE5" s="13">
        <f>IF('Données projet'!$A$218&gt;35,FE4+FD5-FM4,IF(A5&lt;'Données projet'!$A$218,$FB$205^A5,IF(A5='Données projet'!$A$218,'Données projet'!$B$218,FE4+FD5-FM4)))</f>
        <v>1.5518455739153598</v>
      </c>
      <c r="FF5" s="18">
        <f>FE5*VLOOKUP('Données projet'!$B$16,Paramètres!$A$1:$I$89,3,0)*VLOOKUP('Données projet'!$B$16,Paramètres!$A$1:$I$89,5,0)</f>
        <v>1.2588571295601401</v>
      </c>
      <c r="FG5" s="14">
        <f t="shared" ref="FG5:FG68" si="47">EXP(-1.0587+0.8836*LN(FF5)+0.284)</f>
        <v>0.56479552972512193</v>
      </c>
      <c r="FH5" s="22">
        <f t="shared" si="22"/>
        <v>3.1761950482551646</v>
      </c>
      <c r="FI5" s="60">
        <f t="shared" si="23"/>
        <v>262.28730615936632</v>
      </c>
      <c r="FJ5" s="60">
        <f ca="1">AVERAGE(OFFSET($FI$3,0,0,'Données projet'!$E$16+1,1))-AVERAGE(OFFSET($H$3,0,0,'Données projet'!$E$16+1,1))</f>
        <v>256.19915261735281</v>
      </c>
      <c r="FK5" s="60">
        <f t="shared" ref="FK5:FK68" si="48">$FK$3</f>
        <v>297.47246687305056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6.179370629370629</v>
      </c>
      <c r="FZ5" s="13">
        <f>IF('Données projet'!$A$244&gt;35,FZ4+FY5-GH4,IF(A5&lt;'Données projet'!$A$244,$FW$205^A5,IF(A5='Données projet'!$A$244,'Données projet'!$B$244,FZ4+FY5-GH4)))</f>
        <v>1.5629405096438167</v>
      </c>
      <c r="GA5" s="18">
        <f>FZ5*VLOOKUP('Données projet'!$B$17,Paramètres!$A$1:$I$89,3,0)*VLOOKUP('Données projet'!$B$17,Paramètres!$A$1:$I$89,5,0)</f>
        <v>0.89400197151626326</v>
      </c>
      <c r="GB5" s="14">
        <f t="shared" ref="GB5:GB68" si="49">EXP(-1.0587+0.8836*LN(GA5)+0.284)</f>
        <v>0.41740220861658023</v>
      </c>
      <c r="GC5" s="22">
        <f t="shared" si="25"/>
        <v>2.2840289470647019</v>
      </c>
      <c r="GD5" s="60">
        <f t="shared" si="26"/>
        <v>261.39514005817585</v>
      </c>
      <c r="GE5" s="60">
        <f ca="1">AVERAGE(OFFSET($GD$3,0,0,'Données projet'!$E$17+1,1))-AVERAGE(OFFSET($H$3,0,0,'Données projet'!$E$17+1,1))</f>
        <v>268.71641789629319</v>
      </c>
      <c r="GF5" s="60">
        <f t="shared" ref="GF5:GF68" si="50">$GF$3</f>
        <v>199.94048514486104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2.3805128205128203</v>
      </c>
      <c r="GU5" s="13">
        <f>IF('Données projet'!$A$270&gt;35,GU4+GT5-HC4,IF(A5&lt;'Données projet'!$A$270,$GR$205^A5,IF(A5='Données projet'!$A$270,'Données projet'!$B$270,GU4+GT5-HC4)))</f>
        <v>1.610775088937616</v>
      </c>
      <c r="GV5" s="18">
        <f>GU5*VLOOKUP('Données projet'!$B$18,Paramètres!$A$1:$I$89,3,0)*VLOOKUP('Données projet'!$B$18,Paramètres!$A$1:$I$89,5,0)</f>
        <v>0.96324350318469443</v>
      </c>
      <c r="GW5" s="14">
        <f t="shared" ref="GW5:GW68" si="51">EXP(-1.0587+0.8836*LN(GV5)+0.284)</f>
        <v>0.44584230224208238</v>
      </c>
      <c r="GX5" s="22">
        <f t="shared" si="28"/>
        <v>2.4541577777849692</v>
      </c>
      <c r="GY5" s="60">
        <f t="shared" si="29"/>
        <v>261.56526888889613</v>
      </c>
      <c r="GZ5" s="60">
        <f ca="1">AVERAGE(OFFSET($GY$3,0,0,'Données projet'!$E$18+1,1))-AVERAGE(OFFSET($H$3,0,0,'Données projet'!$E$18+1,1))</f>
        <v>289.12367833861299</v>
      </c>
      <c r="HA5" s="60">
        <f t="shared" ref="HA5:HA68" si="52">$HA$3</f>
        <v>229.06617320689003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264.29973523978072</v>
      </c>
      <c r="S6" s="60">
        <f ca="1">AVERAGE(OFFSET($R$3,0,0,'Données projet'!$E$9+1,1))-AVERAGE(OFFSET($H$3,0,0,'Données projet'!$E$9+1,1))</f>
        <v>430.11660085503223</v>
      </c>
      <c r="T6" s="60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7.7987854251012134</v>
      </c>
      <c r="AI6" s="14">
        <f>IF('Données projet'!$A$62&gt;35,AI5+AH6-AQ5,IF(A6&lt;'Données projet'!$A$62,$AF$205^A6,IF(A6='Données projet'!$A$62,'Données projet'!$B$62,AI5+AH6-AQ5)))</f>
        <v>2.2016831932732788</v>
      </c>
      <c r="AJ6" s="14">
        <f>AI6*VLOOKUP('Données projet'!$B$10,Paramètres!$A$1:$I$89,3,0)*VLOOKUP('Données projet'!$B$10,Paramètres!$A$1:$I$89,5,0)</f>
        <v>1.2307409050397629</v>
      </c>
      <c r="AK6" s="14">
        <f t="shared" si="35"/>
        <v>0.55363470151801264</v>
      </c>
      <c r="AL6" s="22">
        <f t="shared" si="4"/>
        <v>3.1077875147547922</v>
      </c>
      <c r="AM6" s="60">
        <f t="shared" si="5"/>
        <v>263.44112084808813</v>
      </c>
      <c r="AN6" s="60">
        <f ca="1">AVERAGE(OFFSET($AM$3,0,0,'Données projet'!$E$10+1,1))-AVERAGE(OFFSET($H$3,0,0,'Données projet'!$E$10+1,1))</f>
        <v>323.98185264074681</v>
      </c>
      <c r="AO6" s="60">
        <f t="shared" si="36"/>
        <v>301.22207291854005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1.6</v>
      </c>
      <c r="BD6" s="13">
        <f>IF('Données projet'!$A$88&gt;35,BD5+BC6-BL5,IF(A6&lt;'Données projet'!$A$88,$BA$205^A6,IF(A6='Données projet'!$A$88,'Données projet'!$B$88,BD5+BC6-BL5)))</f>
        <v>1.6817928305074288</v>
      </c>
      <c r="BE6" s="14">
        <f>BD6*VLOOKUP('Données projet'!$B$11,Paramètres!$A$1:$I$89,3,0)*VLOOKUP('Données projet'!$B$11,Paramètres!$A$1:$I$89,5,0)</f>
        <v>1.4429782485753739</v>
      </c>
      <c r="BF6" s="14">
        <f t="shared" si="37"/>
        <v>0.6371974227238163</v>
      </c>
      <c r="BG6" s="22">
        <f t="shared" si="7"/>
        <v>3.6229726275127558</v>
      </c>
      <c r="BH6" s="60">
        <f t="shared" si="8"/>
        <v>263.95630596084607</v>
      </c>
      <c r="BI6" s="60">
        <f ca="1">AVERAGE(OFFSET($BH$3,0,0,'Données projet'!$E$11+1,1))-AVERAGE(OFFSET($H$3,0,0,'Données projet'!$E$11+1,1))</f>
        <v>556.75475431848258</v>
      </c>
      <c r="BJ6" s="60">
        <f t="shared" si="38"/>
        <v>256.77417912163997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2.4933333333333332</v>
      </c>
      <c r="BY6" s="13">
        <f>IF('Données projet'!$A$114&gt;35,BY5+BX6-CG5,IF(A6&lt;'Données projet'!$A$114,$BV$205^A6,IF(A6='Données projet'!$A$114,'Données projet'!$B$114,BY5+BX6-CG5)))</f>
        <v>2.0633567375583337</v>
      </c>
      <c r="BZ6" s="14">
        <f>BY6*VLOOKUP('Données projet'!$B$12,Paramètres!$A$1:$I$89,3,0)*VLOOKUP('Données projet'!$B$12,Paramètres!$A$1:$I$89,5,0)</f>
        <v>1.5128531599777704</v>
      </c>
      <c r="CA6" s="14">
        <f t="shared" si="39"/>
        <v>0.66438603733339674</v>
      </c>
      <c r="CB6" s="22">
        <f t="shared" si="10"/>
        <v>3.7920249353169493</v>
      </c>
      <c r="CC6" s="60">
        <f t="shared" si="11"/>
        <v>264.12535826865025</v>
      </c>
      <c r="CD6" s="60">
        <f ca="1">AVERAGE(OFFSET($CC$3,0,0,'Données projet'!$E$12+1,1))-AVERAGE(OFFSET($H$3,0,0,'Données projet'!$E$12+1,1))</f>
        <v>290.68086183422963</v>
      </c>
      <c r="CE6" s="60">
        <f t="shared" si="40"/>
        <v>317.88330630101785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0.9</v>
      </c>
      <c r="CT6" s="13">
        <f>IF('Données projet'!$A$140&gt;35,CT5+CS6-DB5,IF(A6&lt;'Données projet'!$A$140,$CQ$205^A6,IF(A6='Données projet'!$A$140,'Données projet'!$B$140,CT5+CS6-DB5)))</f>
        <v>1.9331820449317632</v>
      </c>
      <c r="CU6" s="18">
        <f>CT6*VLOOKUP('Données projet'!$B$13,Paramètres!$A$1:$I$89,3,0)*VLOOKUP('Données projet'!$B$13,Paramètres!$A$1:$I$89,5,0)</f>
        <v>1.2666208758392912</v>
      </c>
      <c r="CV6" s="14">
        <f t="shared" si="41"/>
        <v>0.56787223780909624</v>
      </c>
      <c r="CW6" s="22">
        <f t="shared" si="13"/>
        <v>3.1950755062709413</v>
      </c>
      <c r="CX6" s="60">
        <f t="shared" si="14"/>
        <v>263.52840883960425</v>
      </c>
      <c r="CY6" s="60">
        <f ca="1">AVERAGE(OFFSET($CX$3,0,0,'Données projet'!$E$13+1,1))-AVERAGE(OFFSET($H$3,0,0,'Données projet'!$E$13+1,1))</f>
        <v>243.04319555814601</v>
      </c>
      <c r="CZ6" s="60">
        <f t="shared" si="42"/>
        <v>235.68746142880792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9.6666666666666661</v>
      </c>
      <c r="DO6" s="13">
        <f>IF('Données projet'!$A$166&gt;35,DO5+DN6-DW5,IF(A6&lt;'Données projet'!$A$166,$DL$205^A6,IF(A6='Données projet'!$A$166,'Données projet'!$B$166,DO5+DN6-DW5)))</f>
        <v>3.2818180349112911</v>
      </c>
      <c r="DP6" s="18">
        <f>DO6*VLOOKUP('Données projet'!$B$14,Paramètres!$A$1:$I$89,3,0)*VLOOKUP('Données projet'!$B$14,Paramètres!$A$1:$I$89,5,0)</f>
        <v>1.7918726470615651</v>
      </c>
      <c r="DQ6" s="14">
        <f t="shared" si="43"/>
        <v>0.77156808236563035</v>
      </c>
      <c r="DR6" s="22">
        <f t="shared" si="16"/>
        <v>4.4646592704190313</v>
      </c>
      <c r="DS6" s="60">
        <f t="shared" si="17"/>
        <v>264.79799260375233</v>
      </c>
      <c r="DT6" s="60">
        <f ca="1">AVERAGE(OFFSET($DS$3,0,0,'Données projet'!$E$14+1,1))-AVERAGE(OFFSET($H$3,0,0,'Données projet'!$E$14+1,1))</f>
        <v>201.4732637505823</v>
      </c>
      <c r="DU6" s="60">
        <f t="shared" si="44"/>
        <v>342.06887933351783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7.4312217194570129</v>
      </c>
      <c r="EJ6" s="13">
        <f>IF('Données projet'!$A$192&gt;35,EJ5+EI6-ER5,IF(A6&lt;'Données projet'!$A$192,$EG$205^A6,IF(A6='Données projet'!$A$192,'Données projet'!$B$192,EJ5+EI6-ER5)))</f>
        <v>2.3488460575455909</v>
      </c>
      <c r="EK6" s="18">
        <f>EJ6*VLOOKUP('Données projet'!$B$15,Paramètres!$A$1:$I$89,3,0)*VLOOKUP('Données projet'!$B$15,Paramètres!$A$1:$I$89,5,0)</f>
        <v>1.4046099424122636</v>
      </c>
      <c r="EL6" s="14">
        <f t="shared" si="45"/>
        <v>0.62220330714804695</v>
      </c>
      <c r="EM6" s="22">
        <f t="shared" si="19"/>
        <v>3.5300330763175403</v>
      </c>
      <c r="EN6" s="60">
        <f t="shared" si="20"/>
        <v>263.86336640965084</v>
      </c>
      <c r="EO6" s="60">
        <f ca="1">AVERAGE(OFFSET($EN$3,0,0,'Données projet'!$E$15+1,1))-AVERAGE(OFFSET($H$3,0,0,'Données projet'!$E$15+1,1))</f>
        <v>260.01925143568263</v>
      </c>
      <c r="EP6" s="60">
        <f t="shared" si="46"/>
        <v>269.95358755269427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0.9</v>
      </c>
      <c r="FE6" s="13">
        <f>IF('Données projet'!$A$218&gt;35,FE5+FD6-FM5,IF(A6&lt;'Données projet'!$A$218,$FB$205^A6,IF(A6='Données projet'!$A$218,'Données projet'!$B$218,FE5+FD6-FM5)))</f>
        <v>1.9331820449317632</v>
      </c>
      <c r="FF6" s="18">
        <f>FE6*VLOOKUP('Données projet'!$B$16,Paramètres!$A$1:$I$89,3,0)*VLOOKUP('Données projet'!$B$16,Paramètres!$A$1:$I$89,5,0)</f>
        <v>1.5681972748486466</v>
      </c>
      <c r="FG6" s="14">
        <f t="shared" si="47"/>
        <v>0.68581679886281277</v>
      </c>
      <c r="FH6" s="22">
        <f t="shared" si="22"/>
        <v>3.9257411783807914</v>
      </c>
      <c r="FI6" s="60">
        <f t="shared" si="23"/>
        <v>264.25907451171412</v>
      </c>
      <c r="FJ6" s="60">
        <f ca="1">AVERAGE(OFFSET($FI$3,0,0,'Données projet'!$E$16+1,1))-AVERAGE(OFFSET($H$3,0,0,'Données projet'!$E$16+1,1))</f>
        <v>256.19915261735281</v>
      </c>
      <c r="FK6" s="60">
        <f t="shared" si="48"/>
        <v>297.47246687305056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6.179370629370629</v>
      </c>
      <c r="FZ6" s="13">
        <f>IF('Données projet'!$A$244&gt;35,FZ5+FY6-GH5,IF(A6&lt;'Données projet'!$A$244,$FW$205^A6,IF(A6='Données projet'!$A$244,'Données projet'!$B$244,FZ5+FY6-GH5)))</f>
        <v>1.953951013794045</v>
      </c>
      <c r="GA6" s="18">
        <f>FZ6*VLOOKUP('Données projet'!$B$17,Paramètres!$A$1:$I$89,3,0)*VLOOKUP('Données projet'!$B$17,Paramètres!$A$1:$I$89,5,0)</f>
        <v>1.1176599798901938</v>
      </c>
      <c r="GB6" s="14">
        <f t="shared" si="49"/>
        <v>0.5084386022695031</v>
      </c>
      <c r="GC6" s="22">
        <f t="shared" si="25"/>
        <v>2.8321216972614724</v>
      </c>
      <c r="GD6" s="60">
        <f t="shared" si="26"/>
        <v>263.16545503059479</v>
      </c>
      <c r="GE6" s="60">
        <f ca="1">AVERAGE(OFFSET($GD$3,0,0,'Données projet'!$E$17+1,1))-AVERAGE(OFFSET($H$3,0,0,'Données projet'!$E$17+1,1))</f>
        <v>268.71641789629319</v>
      </c>
      <c r="GF6" s="60">
        <f t="shared" si="50"/>
        <v>199.94048514486104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2.3805128205128203</v>
      </c>
      <c r="GU6" s="13">
        <f>IF('Données projet'!$A$270&gt;35,GU5+GT6-HC5,IF(A6&lt;'Données projet'!$A$270,$GR$205^A6,IF(A6='Données projet'!$A$270,'Données projet'!$B$270,GU5+GT6-HC5)))</f>
        <v>2.0443363779612804</v>
      </c>
      <c r="GV6" s="18">
        <f>GU6*VLOOKUP('Données projet'!$B$18,Paramètres!$A$1:$I$89,3,0)*VLOOKUP('Données projet'!$B$18,Paramètres!$A$1:$I$89,5,0)</f>
        <v>1.2225131540208458</v>
      </c>
      <c r="GW6" s="14">
        <f t="shared" si="51"/>
        <v>0.55036308132321654</v>
      </c>
      <c r="GX6" s="22">
        <f t="shared" si="28"/>
        <v>3.0877594432242415</v>
      </c>
      <c r="GY6" s="60">
        <f t="shared" si="29"/>
        <v>263.42109277655754</v>
      </c>
      <c r="GZ6" s="60">
        <f ca="1">AVERAGE(OFFSET($GY$3,0,0,'Données projet'!$E$18+1,1))-AVERAGE(OFFSET($H$3,0,0,'Données projet'!$E$18+1,1))</f>
        <v>289.12367833861299</v>
      </c>
      <c r="HA6" s="60">
        <f t="shared" si="52"/>
        <v>229.06617320689003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266.30572241486152</v>
      </c>
      <c r="S7" s="60">
        <f ca="1">AVERAGE(OFFSET($R$3,0,0,'Données projet'!$E$9+1,1))-AVERAGE(OFFSET($H$3,0,0,'Données projet'!$E$9+1,1))</f>
        <v>430.11660085503223</v>
      </c>
      <c r="T7" s="60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7.7987854251012134</v>
      </c>
      <c r="AI7" s="14">
        <f>IF('Données projet'!$A$62&gt;35,AI6+AH7-AQ6,IF(A7&lt;'Données projet'!$A$62,$AF$205^A7,IF(A7='Données projet'!$A$62,'Données projet'!$B$62,AI6+AH7-AQ6)))</f>
        <v>2.8642204175736459</v>
      </c>
      <c r="AJ7" s="14">
        <f>AI7*VLOOKUP('Données projet'!$B$10,Paramètres!$A$1:$I$89,3,0)*VLOOKUP('Données projet'!$B$10,Paramètres!$A$1:$I$89,5,0)</f>
        <v>1.6010992134236679</v>
      </c>
      <c r="AK7" s="14">
        <f t="shared" si="35"/>
        <v>0.69851546445430523</v>
      </c>
      <c r="AL7" s="22">
        <f t="shared" si="4"/>
        <v>4.0051622306374703</v>
      </c>
      <c r="AM7" s="60">
        <f t="shared" si="5"/>
        <v>265.56071778619304</v>
      </c>
      <c r="AN7" s="60">
        <f ca="1">AVERAGE(OFFSET($AM$3,0,0,'Données projet'!$E$10+1,1))-AVERAGE(OFFSET($H$3,0,0,'Données projet'!$E$10+1,1))</f>
        <v>323.98185264074681</v>
      </c>
      <c r="AO7" s="60">
        <f t="shared" si="36"/>
        <v>301.22207291854005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1.6</v>
      </c>
      <c r="BD7" s="13">
        <f>IF('Données projet'!$A$88&gt;35,BD6+BC7-BL6,IF(A7&lt;'Données projet'!$A$88,$BA$205^A7,IF(A7='Données projet'!$A$88,'Données projet'!$B$88,BD6+BC7-BL6)))</f>
        <v>1.9999999999999996</v>
      </c>
      <c r="BE7" s="14">
        <f>BD7*VLOOKUP('Données projet'!$B$11,Paramètres!$A$1:$I$89,3,0)*VLOOKUP('Données projet'!$B$11,Paramètres!$A$1:$I$89,5,0)</f>
        <v>1.7159999999999997</v>
      </c>
      <c r="BF7" s="14">
        <f t="shared" si="37"/>
        <v>0.74262837066960552</v>
      </c>
      <c r="BG7" s="22">
        <f t="shared" si="7"/>
        <v>4.2821110789162296</v>
      </c>
      <c r="BH7" s="60">
        <f t="shared" si="8"/>
        <v>265.83766663447176</v>
      </c>
      <c r="BI7" s="60">
        <f ca="1">AVERAGE(OFFSET($BH$3,0,0,'Données projet'!$E$11+1,1))-AVERAGE(OFFSET($H$3,0,0,'Données projet'!$E$11+1,1))</f>
        <v>556.75475431848258</v>
      </c>
      <c r="BJ7" s="60">
        <f t="shared" si="38"/>
        <v>256.77417912163997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2.4933333333333332</v>
      </c>
      <c r="BY7" s="13">
        <f>IF('Données projet'!$A$114&gt;35,BY6+BX7-CG6,IF(A7&lt;'Données projet'!$A$114,$BV$205^A7,IF(A7='Données projet'!$A$114,'Données projet'!$B$114,BY6+BX7-CG6)))</f>
        <v>2.6268327805078595</v>
      </c>
      <c r="BZ7" s="14">
        <f>BY7*VLOOKUP('Données projet'!$B$12,Paramètres!$A$1:$I$89,3,0)*VLOOKUP('Données projet'!$B$12,Paramètres!$A$1:$I$89,5,0)</f>
        <v>1.9259937946683627</v>
      </c>
      <c r="CA7" s="14">
        <f t="shared" si="39"/>
        <v>0.82238109844429064</v>
      </c>
      <c r="CB7" s="22">
        <f t="shared" si="10"/>
        <v>4.7867529388378705</v>
      </c>
      <c r="CC7" s="60">
        <f t="shared" si="11"/>
        <v>266.34230849439342</v>
      </c>
      <c r="CD7" s="60">
        <f ca="1">AVERAGE(OFFSET($CC$3,0,0,'Données projet'!$E$12+1,1))-AVERAGE(OFFSET($H$3,0,0,'Données projet'!$E$12+1,1))</f>
        <v>290.68086183422963</v>
      </c>
      <c r="CE7" s="60">
        <f t="shared" si="40"/>
        <v>317.88330630101785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0.9</v>
      </c>
      <c r="CT7" s="13">
        <f>IF('Données projet'!$A$140&gt;35,CT6+CS7-DB6,IF(A7&lt;'Données projet'!$A$140,$CQ$205^A7,IF(A7='Données projet'!$A$140,'Données projet'!$B$140,CT6+CS7-DB6)))</f>
        <v>2.4082246852806923</v>
      </c>
      <c r="CU7" s="18">
        <f>CT7*VLOOKUP('Données projet'!$B$13,Paramètres!$A$1:$I$89,3,0)*VLOOKUP('Données projet'!$B$13,Paramètres!$A$1:$I$89,5,0)</f>
        <v>1.5778688137959096</v>
      </c>
      <c r="CV7" s="14">
        <f t="shared" si="41"/>
        <v>0.68955276697540291</v>
      </c>
      <c r="CW7" s="22">
        <f t="shared" si="13"/>
        <v>3.9490925865100355</v>
      </c>
      <c r="CX7" s="60">
        <f t="shared" si="14"/>
        <v>265.50464814206561</v>
      </c>
      <c r="CY7" s="60">
        <f ca="1">AVERAGE(OFFSET($CX$3,0,0,'Données projet'!$E$13+1,1))-AVERAGE(OFFSET($H$3,0,0,'Données projet'!$E$13+1,1))</f>
        <v>243.04319555814601</v>
      </c>
      <c r="CZ7" s="60">
        <f t="shared" si="42"/>
        <v>235.68746142880792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9.6666666666666661</v>
      </c>
      <c r="DO7" s="13">
        <f>IF('Données projet'!$A$166&gt;35,DO6+DN7-DW6,IF(A7&lt;'Données projet'!$A$166,$DL$205^A7,IF(A7='Données projet'!$A$166,'Données projet'!$B$166,DO6+DN7-DW6)))</f>
        <v>4.8769989610733138</v>
      </c>
      <c r="DP7" s="18">
        <f>DO7*VLOOKUP('Données projet'!$B$14,Paramètres!$A$1:$I$89,3,0)*VLOOKUP('Données projet'!$B$14,Paramètres!$A$1:$I$89,5,0)</f>
        <v>2.6628414327460295</v>
      </c>
      <c r="DQ7" s="14">
        <f t="shared" si="43"/>
        <v>1.0949320721157787</v>
      </c>
      <c r="DR7" s="22">
        <f t="shared" si="16"/>
        <v>6.5447888543009825</v>
      </c>
      <c r="DS7" s="60">
        <f t="shared" si="17"/>
        <v>268.10034440985652</v>
      </c>
      <c r="DT7" s="60">
        <f ca="1">AVERAGE(OFFSET($DS$3,0,0,'Données projet'!$E$14+1,1))-AVERAGE(OFFSET($H$3,0,0,'Données projet'!$E$14+1,1))</f>
        <v>201.4732637505823</v>
      </c>
      <c r="DU7" s="60">
        <f t="shared" si="44"/>
        <v>342.06887933351783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7.4312217194570129</v>
      </c>
      <c r="EJ7" s="13">
        <f>IF('Données projet'!$A$192&gt;35,EJ6+EI7-ER6,IF(A7&lt;'Données projet'!$A$192,$EG$205^A7,IF(A7='Données projet'!$A$192,'Données projet'!$B$192,EJ6+EI7-ER6)))</f>
        <v>3.1222864114491768</v>
      </c>
      <c r="EK7" s="18">
        <f>EJ7*VLOOKUP('Données projet'!$B$15,Paramètres!$A$1:$I$89,3,0)*VLOOKUP('Données projet'!$B$15,Paramètres!$A$1:$I$89,5,0)</f>
        <v>1.8671272740466078</v>
      </c>
      <c r="EL7" s="14">
        <f t="shared" si="45"/>
        <v>0.80013145376589556</v>
      </c>
      <c r="EM7" s="22">
        <f t="shared" si="19"/>
        <v>4.6454756176067766</v>
      </c>
      <c r="EN7" s="60">
        <f t="shared" si="20"/>
        <v>266.20103117316233</v>
      </c>
      <c r="EO7" s="60">
        <f ca="1">AVERAGE(OFFSET($EN$3,0,0,'Données projet'!$E$15+1,1))-AVERAGE(OFFSET($H$3,0,0,'Données projet'!$E$15+1,1))</f>
        <v>260.01925143568263</v>
      </c>
      <c r="EP7" s="60">
        <f t="shared" si="46"/>
        <v>269.95358755269427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0.9</v>
      </c>
      <c r="FE7" s="13">
        <f>IF('Données projet'!$A$218&gt;35,FE6+FD7-FM6,IF(A7&lt;'Données projet'!$A$218,$FB$205^A7,IF(A7='Données projet'!$A$218,'Données projet'!$B$218,FE6+FD7-FM6)))</f>
        <v>2.4082246852806923</v>
      </c>
      <c r="FF7" s="18">
        <f>FE7*VLOOKUP('Données projet'!$B$16,Paramètres!$A$1:$I$89,3,0)*VLOOKUP('Données projet'!$B$16,Paramètres!$A$1:$I$89,5,0)</f>
        <v>1.9535518646996977</v>
      </c>
      <c r="FG7" s="14">
        <f t="shared" si="47"/>
        <v>0.83276983766381052</v>
      </c>
      <c r="FH7" s="22">
        <f t="shared" si="22"/>
        <v>4.8528436316164436</v>
      </c>
      <c r="FI7" s="60">
        <f t="shared" si="23"/>
        <v>266.40839918717199</v>
      </c>
      <c r="FJ7" s="60">
        <f ca="1">AVERAGE(OFFSET($FI$3,0,0,'Données projet'!$E$16+1,1))-AVERAGE(OFFSET($H$3,0,0,'Données projet'!$E$16+1,1))</f>
        <v>256.19915261735281</v>
      </c>
      <c r="FK7" s="60">
        <f t="shared" si="48"/>
        <v>297.47246687305056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6.179370629370629</v>
      </c>
      <c r="FZ7" s="13">
        <f>IF('Données projet'!$A$244&gt;35,FZ6+FY7-GH6,IF(A7&lt;'Données projet'!$A$244,$FW$205^A7,IF(A7='Données projet'!$A$244,'Données projet'!$B$244,FZ6+FY7-GH6)))</f>
        <v>2.4427830366856735</v>
      </c>
      <c r="GA7" s="18">
        <f>FZ7*VLOOKUP('Données projet'!$B$17,Paramètres!$A$1:$I$89,3,0)*VLOOKUP('Données projet'!$B$17,Paramètres!$A$1:$I$89,5,0)</f>
        <v>1.3972718969842053</v>
      </c>
      <c r="GB7" s="14">
        <f t="shared" si="49"/>
        <v>0.61933024536348213</v>
      </c>
      <c r="GC7" s="22">
        <f t="shared" si="25"/>
        <v>3.5122487312555548</v>
      </c>
      <c r="GD7" s="60">
        <f t="shared" si="26"/>
        <v>265.06780428681111</v>
      </c>
      <c r="GE7" s="60">
        <f ca="1">AVERAGE(OFFSET($GD$3,0,0,'Données projet'!$E$17+1,1))-AVERAGE(OFFSET($H$3,0,0,'Données projet'!$E$17+1,1))</f>
        <v>268.71641789629319</v>
      </c>
      <c r="GF7" s="60">
        <f t="shared" si="50"/>
        <v>199.94048514486104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2.3805128205128203</v>
      </c>
      <c r="GU7" s="13">
        <f>IF('Données projet'!$A$270&gt;35,GU6+GT7-HC6,IF(A7&lt;'Données projet'!$A$270,$GR$205^A7,IF(A7='Données projet'!$A$270,'Données projet'!$B$270,GU6+GT7-HC6)))</f>
        <v>2.5945963871419848</v>
      </c>
      <c r="GV7" s="18">
        <f>GU7*VLOOKUP('Données projet'!$B$18,Paramètres!$A$1:$I$89,3,0)*VLOOKUP('Données projet'!$B$18,Paramètres!$A$1:$I$89,5,0)</f>
        <v>1.551568639510907</v>
      </c>
      <c r="GW7" s="14">
        <f t="shared" si="51"/>
        <v>0.67938712805030732</v>
      </c>
      <c r="GX7" s="22">
        <f t="shared" si="28"/>
        <v>3.8855812951691147</v>
      </c>
      <c r="GY7" s="60">
        <f t="shared" si="29"/>
        <v>265.44113685072466</v>
      </c>
      <c r="GZ7" s="60">
        <f ca="1">AVERAGE(OFFSET($GY$3,0,0,'Données projet'!$E$18+1,1))-AVERAGE(OFFSET($H$3,0,0,'Données projet'!$E$18+1,1))</f>
        <v>289.12367833861299</v>
      </c>
      <c r="HA7" s="60">
        <f t="shared" si="52"/>
        <v>229.06617320689003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268.46714702955143</v>
      </c>
      <c r="S8" s="60">
        <f ca="1">AVERAGE(OFFSET($R$3,0,0,'Données projet'!$E$9+1,1))-AVERAGE(OFFSET($H$3,0,0,'Données projet'!$E$9+1,1))</f>
        <v>430.11660085503223</v>
      </c>
      <c r="T8" s="60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7.7987854251012134</v>
      </c>
      <c r="AI8" s="14">
        <f>IF('Données projet'!$A$62&gt;35,AI7+AH8-AQ7,IF(A8&lt;'Données projet'!$A$62,$AF$205^A8,IF(A8='Données projet'!$A$62,'Données projet'!$B$62,AI7+AH8-AQ7)))</f>
        <v>3.7261303649455062</v>
      </c>
      <c r="AJ8" s="14">
        <f>AI8*VLOOKUP('Données projet'!$B$10,Paramètres!$A$1:$I$89,3,0)*VLOOKUP('Données projet'!$B$10,Paramètres!$A$1:$I$89,5,0)</f>
        <v>2.082906874004538</v>
      </c>
      <c r="AK8" s="14">
        <f t="shared" si="35"/>
        <v>0.88131009986182929</v>
      </c>
      <c r="AL8" s="22">
        <f t="shared" si="4"/>
        <v>5.1626778961505897</v>
      </c>
      <c r="AM8" s="60">
        <f t="shared" si="5"/>
        <v>267.94045567392834</v>
      </c>
      <c r="AN8" s="60">
        <f ca="1">AVERAGE(OFFSET($AM$3,0,0,'Données projet'!$E$10+1,1))-AVERAGE(OFFSET($H$3,0,0,'Données projet'!$E$10+1,1))</f>
        <v>323.98185264074681</v>
      </c>
      <c r="AO8" s="60">
        <f t="shared" si="36"/>
        <v>301.22207291854005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1.6</v>
      </c>
      <c r="BD8" s="13">
        <f>IF('Données projet'!$A$88&gt;35,BD7+BC8-BL7,IF(A8&lt;'Données projet'!$A$88,$BA$205^A8,IF(A8='Données projet'!$A$88,'Données projet'!$B$88,BD7+BC8-BL7)))</f>
        <v>2.3784142300054416</v>
      </c>
      <c r="BE8" s="14">
        <f>BD8*VLOOKUP('Données projet'!$B$11,Paramètres!$A$1:$I$89,3,0)*VLOOKUP('Données projet'!$B$11,Paramètres!$A$1:$I$89,5,0)</f>
        <v>2.0406794093446692</v>
      </c>
      <c r="BF8" s="14">
        <f t="shared" si="37"/>
        <v>0.86550396667632346</v>
      </c>
      <c r="BG8" s="22">
        <f t="shared" si="7"/>
        <v>5.061602713236562</v>
      </c>
      <c r="BH8" s="60">
        <f t="shared" si="8"/>
        <v>267.83938049101431</v>
      </c>
      <c r="BI8" s="60">
        <f ca="1">AVERAGE(OFFSET($BH$3,0,0,'Données projet'!$E$11+1,1))-AVERAGE(OFFSET($H$3,0,0,'Données projet'!$E$11+1,1))</f>
        <v>556.75475431848258</v>
      </c>
      <c r="BJ8" s="60">
        <f t="shared" si="38"/>
        <v>256.77417912163997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2.4933333333333332</v>
      </c>
      <c r="BY8" s="13">
        <f>IF('Données projet'!$A$114&gt;35,BY7+BX8-CG7,IF(A8&lt;'Données projet'!$A$114,$BV$205^A8,IF(A8='Données projet'!$A$114,'Données projet'!$B$114,BY7+BX8-CG7)))</f>
        <v>3.3441868442565297</v>
      </c>
      <c r="BZ8" s="14">
        <f>BY8*VLOOKUP('Données projet'!$B$12,Paramètres!$A$1:$I$89,3,0)*VLOOKUP('Données projet'!$B$12,Paramètres!$A$1:$I$89,5,0)</f>
        <v>2.4519577942088877</v>
      </c>
      <c r="CA8" s="14">
        <f t="shared" si="39"/>
        <v>1.017948350920953</v>
      </c>
      <c r="CB8" s="22">
        <f t="shared" si="10"/>
        <v>6.0434198694344721</v>
      </c>
      <c r="CC8" s="60">
        <f t="shared" si="11"/>
        <v>268.82119764721222</v>
      </c>
      <c r="CD8" s="60">
        <f ca="1">AVERAGE(OFFSET($CC$3,0,0,'Données projet'!$E$12+1,1))-AVERAGE(OFFSET($H$3,0,0,'Données projet'!$E$12+1,1))</f>
        <v>290.68086183422963</v>
      </c>
      <c r="CE8" s="60">
        <f t="shared" si="40"/>
        <v>317.88330630101785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0.9</v>
      </c>
      <c r="CT8" s="13">
        <f>IF('Données projet'!$A$140&gt;35,CT7+CS8-DB7,IF(A8&lt;'Données projet'!$A$140,$CQ$205^A8,IF(A8='Données projet'!$A$140,'Données projet'!$B$140,CT7+CS8-DB7)))</f>
        <v>3.0000000000000004</v>
      </c>
      <c r="CU8" s="18">
        <f>CT8*VLOOKUP('Données projet'!$B$13,Paramètres!$A$1:$I$89,3,0)*VLOOKUP('Données projet'!$B$13,Paramètres!$A$1:$I$89,5,0)</f>
        <v>1.9656000000000005</v>
      </c>
      <c r="CV8" s="14">
        <f t="shared" si="41"/>
        <v>0.83730632840564978</v>
      </c>
      <c r="CW8" s="22">
        <f t="shared" si="13"/>
        <v>4.8817285219731739</v>
      </c>
      <c r="CX8" s="60">
        <f t="shared" si="14"/>
        <v>267.65950629975094</v>
      </c>
      <c r="CY8" s="60">
        <f ca="1">AVERAGE(OFFSET($CX$3,0,0,'Données projet'!$E$13+1,1))-AVERAGE(OFFSET($H$3,0,0,'Données projet'!$E$13+1,1))</f>
        <v>243.04319555814601</v>
      </c>
      <c r="CZ8" s="60">
        <f t="shared" si="42"/>
        <v>235.68746142880792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9.6666666666666661</v>
      </c>
      <c r="DO8" s="13">
        <f>IF('Données projet'!$A$166&gt;35,DO7+DN8-DW7,IF(A8&lt;'Données projet'!$A$166,$DL$205^A8,IF(A8='Données projet'!$A$166,'Données projet'!$B$166,DO7+DN8-DW7)))</f>
        <v>7.2475434692871694</v>
      </c>
      <c r="DP8" s="18">
        <f>DO8*VLOOKUP('Données projet'!$B$14,Paramètres!$A$1:$I$89,3,0)*VLOOKUP('Données projet'!$B$14,Paramètres!$A$1:$I$89,5,0)</f>
        <v>3.9571587342307946</v>
      </c>
      <c r="DQ8" s="14">
        <f t="shared" si="43"/>
        <v>1.5538178288453746</v>
      </c>
      <c r="DR8" s="22">
        <f t="shared" si="16"/>
        <v>9.5982841806909942</v>
      </c>
      <c r="DS8" s="60">
        <f t="shared" si="17"/>
        <v>272.37606195846877</v>
      </c>
      <c r="DT8" s="60">
        <f ca="1">AVERAGE(OFFSET($DS$3,0,0,'Données projet'!$E$14+1,1))-AVERAGE(OFFSET($H$3,0,0,'Données projet'!$E$14+1,1))</f>
        <v>201.4732637505823</v>
      </c>
      <c r="DU8" s="60">
        <f t="shared" si="44"/>
        <v>342.06887933351783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7.4312217194570129</v>
      </c>
      <c r="EJ8" s="13">
        <f>IF('Données projet'!$A$192&gt;35,EJ7+EI8-ER7,IF(A8&lt;'Données projet'!$A$192,$EG$205^A8,IF(A8='Données projet'!$A$192,'Données projet'!$B$192,EJ7+EI8-ER7)))</f>
        <v>4.1504092632222056</v>
      </c>
      <c r="EK8" s="18">
        <f>EJ8*VLOOKUP('Données projet'!$B$15,Paramètres!$A$1:$I$89,3,0)*VLOOKUP('Données projet'!$B$15,Paramètres!$A$1:$I$89,5,0)</f>
        <v>2.4819447394068792</v>
      </c>
      <c r="EL8" s="14">
        <f t="shared" si="45"/>
        <v>1.0289407593154982</v>
      </c>
      <c r="EM8" s="22">
        <f t="shared" si="19"/>
        <v>6.1147922436081394</v>
      </c>
      <c r="EN8" s="60">
        <f t="shared" si="20"/>
        <v>268.89257002138589</v>
      </c>
      <c r="EO8" s="60">
        <f ca="1">AVERAGE(OFFSET($EN$3,0,0,'Données projet'!$E$15+1,1))-AVERAGE(OFFSET($H$3,0,0,'Données projet'!$E$15+1,1))</f>
        <v>260.01925143568263</v>
      </c>
      <c r="EP8" s="60">
        <f t="shared" si="46"/>
        <v>269.95358755269427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0.9</v>
      </c>
      <c r="FE8" s="13">
        <f>IF('Données projet'!$A$218&gt;35,FE7+FD8-FM7,IF(A8&lt;'Données projet'!$A$218,$FB$205^A8,IF(A8='Données projet'!$A$218,'Données projet'!$B$218,FE7+FD8-FM7)))</f>
        <v>3.0000000000000004</v>
      </c>
      <c r="FF8" s="18">
        <f>FE8*VLOOKUP('Données projet'!$B$16,Paramètres!$A$1:$I$89,3,0)*VLOOKUP('Données projet'!$B$16,Paramètres!$A$1:$I$89,5,0)</f>
        <v>2.4336000000000007</v>
      </c>
      <c r="FG8" s="14">
        <f t="shared" si="47"/>
        <v>1.0112111626203177</v>
      </c>
      <c r="FH8" s="22">
        <f t="shared" si="22"/>
        <v>5.9997127748970547</v>
      </c>
      <c r="FI8" s="60">
        <f t="shared" si="23"/>
        <v>268.77749055267481</v>
      </c>
      <c r="FJ8" s="60">
        <f ca="1">AVERAGE(OFFSET($FI$3,0,0,'Données projet'!$E$16+1,1))-AVERAGE(OFFSET($H$3,0,0,'Données projet'!$E$16+1,1))</f>
        <v>256.19915261735281</v>
      </c>
      <c r="FK8" s="60">
        <f t="shared" si="48"/>
        <v>297.47246687305056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6.179370629370629</v>
      </c>
      <c r="FZ8" s="13">
        <f>IF('Données projet'!$A$244&gt;35,FZ7+FY8-GH7,IF(A8&lt;'Données projet'!$A$244,$FW$205^A8,IF(A8='Données projet'!$A$244,'Données projet'!$B$244,FZ7+FY8-GH7)))</f>
        <v>3.0539091933183173</v>
      </c>
      <c r="GA8" s="18">
        <f>FZ8*VLOOKUP('Données projet'!$B$17,Paramètres!$A$1:$I$89,3,0)*VLOOKUP('Données projet'!$B$17,Paramètres!$A$1:$I$89,5,0)</f>
        <v>1.7468360585780778</v>
      </c>
      <c r="GB8" s="14">
        <f t="shared" si="49"/>
        <v>0.75440761403611101</v>
      </c>
      <c r="GC8" s="22">
        <f t="shared" si="25"/>
        <v>4.3563327298030456</v>
      </c>
      <c r="GD8" s="60">
        <f t="shared" si="26"/>
        <v>267.13411050758083</v>
      </c>
      <c r="GE8" s="60">
        <f ca="1">AVERAGE(OFFSET($GD$3,0,0,'Données projet'!$E$17+1,1))-AVERAGE(OFFSET($H$3,0,0,'Données projet'!$E$17+1,1))</f>
        <v>268.71641789629319</v>
      </c>
      <c r="GF8" s="60">
        <f t="shared" si="50"/>
        <v>199.94048514486104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2.3805128205128203</v>
      </c>
      <c r="GU8" s="13">
        <f>IF('Données projet'!$A$270&gt;35,GU7+GT8-HC7,IF(A8&lt;'Données projet'!$A$270,$GR$205^A8,IF(A8='Données projet'!$A$270,'Données projet'!$B$270,GU7+GT8-HC7)))</f>
        <v>3.2929661110289854</v>
      </c>
      <c r="GV8" s="18">
        <f>GU8*VLOOKUP('Données projet'!$B$18,Paramètres!$A$1:$I$89,3,0)*VLOOKUP('Données projet'!$B$18,Paramètres!$A$1:$I$89,5,0)</f>
        <v>1.9691937343953334</v>
      </c>
      <c r="GW8" s="14">
        <f t="shared" si="51"/>
        <v>0.83865885162703413</v>
      </c>
      <c r="GX8" s="22">
        <f t="shared" si="28"/>
        <v>4.8903432539889566</v>
      </c>
      <c r="GY8" s="60">
        <f t="shared" si="29"/>
        <v>267.6681210317667</v>
      </c>
      <c r="GZ8" s="60">
        <f ca="1">AVERAGE(OFFSET($GY$3,0,0,'Données projet'!$E$18+1,1))-AVERAGE(OFFSET($H$3,0,0,'Données projet'!$E$18+1,1))</f>
        <v>289.12367833861299</v>
      </c>
      <c r="HA8" s="60">
        <f t="shared" si="52"/>
        <v>229.06617320689003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270.81494110736412</v>
      </c>
      <c r="S9" s="60">
        <f ca="1">AVERAGE(OFFSET($R$3,0,0,'Données projet'!$E$9+1,1))-AVERAGE(OFFSET($H$3,0,0,'Données projet'!$E$9+1,1))</f>
        <v>430.11660085503223</v>
      </c>
      <c r="T9" s="60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7.7987854251012134</v>
      </c>
      <c r="AI9" s="14">
        <f>IF('Données projet'!$A$62&gt;35,AI8+AH9-AQ8,IF(A9&lt;'Données projet'!$A$62,$AF$205^A9,IF(A9='Données projet'!$A$62,'Données projet'!$B$62,AI8+AH9-AQ8)))</f>
        <v>4.8474088835420224</v>
      </c>
      <c r="AJ9" s="14">
        <f>AI9*VLOOKUP('Données projet'!$B$10,Paramètres!$A$1:$I$89,3,0)*VLOOKUP('Données projet'!$B$10,Paramètres!$A$1:$I$89,5,0)</f>
        <v>2.7097015658999908</v>
      </c>
      <c r="AK9" s="14">
        <f t="shared" si="35"/>
        <v>1.1119402957316735</v>
      </c>
      <c r="AL9" s="22">
        <f t="shared" si="4"/>
        <v>6.6560262423418139</v>
      </c>
      <c r="AM9" s="60">
        <f t="shared" si="5"/>
        <v>270.6560262423418</v>
      </c>
      <c r="AN9" s="60">
        <f ca="1">AVERAGE(OFFSET($AM$3,0,0,'Données projet'!$E$10+1,1))-AVERAGE(OFFSET($H$3,0,0,'Données projet'!$E$10+1,1))</f>
        <v>323.98185264074681</v>
      </c>
      <c r="AO9" s="60">
        <f t="shared" si="36"/>
        <v>301.22207291854005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1.6</v>
      </c>
      <c r="BD9" s="13">
        <f>IF('Données projet'!$A$88&gt;35,BD8+BC9-BL8,IF(A9&lt;'Données projet'!$A$88,$BA$205^A9,IF(A9='Données projet'!$A$88,'Données projet'!$B$88,BD8+BC9-BL8)))</f>
        <v>2.8284271247461894</v>
      </c>
      <c r="BE9" s="14">
        <f>BD9*VLOOKUP('Données projet'!$B$11,Paramètres!$A$1:$I$89,3,0)*VLOOKUP('Données projet'!$B$11,Paramètres!$A$1:$I$89,5,0)</f>
        <v>2.4267904730322307</v>
      </c>
      <c r="BF9" s="14">
        <f t="shared" si="37"/>
        <v>1.0087106093953995</v>
      </c>
      <c r="BG9" s="22">
        <f t="shared" si="7"/>
        <v>5.9834977185614555</v>
      </c>
      <c r="BH9" s="60">
        <f t="shared" si="8"/>
        <v>269.98349771856147</v>
      </c>
      <c r="BI9" s="60">
        <f ca="1">AVERAGE(OFFSET($BH$3,0,0,'Données projet'!$E$11+1,1))-AVERAGE(OFFSET($H$3,0,0,'Données projet'!$E$11+1,1))</f>
        <v>556.75475431848258</v>
      </c>
      <c r="BJ9" s="60">
        <f t="shared" si="38"/>
        <v>256.77417912163997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2.4933333333333332</v>
      </c>
      <c r="BY9" s="13">
        <f>IF('Données projet'!$A$114&gt;35,BY8+BX9-CG8,IF(A9&lt;'Données projet'!$A$114,$BV$205^A9,IF(A9='Données projet'!$A$114,'Données projet'!$B$114,BY8+BX9-CG8)))</f>
        <v>4.2574410264273705</v>
      </c>
      <c r="BZ9" s="14">
        <f>BY9*VLOOKUP('Données projet'!$B$12,Paramètres!$A$1:$I$89,3,0)*VLOOKUP('Données projet'!$B$12,Paramètres!$A$1:$I$89,5,0)</f>
        <v>3.1215557605765478</v>
      </c>
      <c r="CA9" s="14">
        <f t="shared" si="39"/>
        <v>1.2600226915512978</v>
      </c>
      <c r="CB9" s="22">
        <f t="shared" si="10"/>
        <v>7.6312491374559963</v>
      </c>
      <c r="CC9" s="60">
        <f t="shared" si="11"/>
        <v>271.631249137456</v>
      </c>
      <c r="CD9" s="60">
        <f ca="1">AVERAGE(OFFSET($CC$3,0,0,'Données projet'!$E$12+1,1))-AVERAGE(OFFSET($H$3,0,0,'Données projet'!$E$12+1,1))</f>
        <v>290.68086183422963</v>
      </c>
      <c r="CE9" s="60">
        <f t="shared" si="40"/>
        <v>317.88330630101785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0.9</v>
      </c>
      <c r="CT9" s="13">
        <f>IF('Données projet'!$A$140&gt;35,CT8+CS9-DB8,IF(A9&lt;'Données projet'!$A$140,$CQ$205^A9,IF(A9='Données projet'!$A$140,'Données projet'!$B$140,CT8+CS9-DB8)))</f>
        <v>3.7371928188465526</v>
      </c>
      <c r="CU9" s="18">
        <f>CT9*VLOOKUP('Données projet'!$B$13,Paramètres!$A$1:$I$89,3,0)*VLOOKUP('Données projet'!$B$13,Paramètres!$A$1:$I$89,5,0)</f>
        <v>2.448608734908261</v>
      </c>
      <c r="CV9" s="14">
        <f t="shared" si="41"/>
        <v>1.0167197075625076</v>
      </c>
      <c r="CW9" s="22">
        <f t="shared" si="13"/>
        <v>6.035447037303256</v>
      </c>
      <c r="CX9" s="60">
        <f t="shared" si="14"/>
        <v>270.03544703730324</v>
      </c>
      <c r="CY9" s="60">
        <f ca="1">AVERAGE(OFFSET($CX$3,0,0,'Données projet'!$E$13+1,1))-AVERAGE(OFFSET($H$3,0,0,'Données projet'!$E$13+1,1))</f>
        <v>243.04319555814601</v>
      </c>
      <c r="CZ9" s="60">
        <f t="shared" si="42"/>
        <v>235.68746142880792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9.6666666666666661</v>
      </c>
      <c r="DO9" s="13">
        <f>IF('Données projet'!$A$166&gt;35,DO8+DN9-DW8,IF(A9&lt;'Données projet'!$A$166,$DL$205^A9,IF(A9='Données projet'!$A$166,'Données projet'!$B$166,DO8+DN9-DW8)))</f>
        <v>10.770329614269009</v>
      </c>
      <c r="DP9" s="18">
        <f>DO9*VLOOKUP('Données projet'!$B$14,Paramètres!$A$1:$I$89,3,0)*VLOOKUP('Données projet'!$B$14,Paramètres!$A$1:$I$89,5,0)</f>
        <v>5.8805999693908788</v>
      </c>
      <c r="DQ9" s="14">
        <f t="shared" si="43"/>
        <v>2.2050224910961043</v>
      </c>
      <c r="DR9" s="22">
        <f t="shared" si="16"/>
        <v>14.082459118681493</v>
      </c>
      <c r="DS9" s="60">
        <f t="shared" si="17"/>
        <v>278.08245911868147</v>
      </c>
      <c r="DT9" s="60">
        <f ca="1">AVERAGE(OFFSET($DS$3,0,0,'Données projet'!$E$14+1,1))-AVERAGE(OFFSET($H$3,0,0,'Données projet'!$E$14+1,1))</f>
        <v>201.4732637505823</v>
      </c>
      <c r="DU9" s="60">
        <f t="shared" si="44"/>
        <v>342.06887933351783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7.4312217194570129</v>
      </c>
      <c r="EJ9" s="13">
        <f>IF('Données projet'!$A$192&gt;35,EJ8+EI9-ER8,IF(A9&lt;'Données projet'!$A$192,$EG$205^A9,IF(A9='Données projet'!$A$192,'Données projet'!$B$192,EJ8+EI9-ER8)))</f>
        <v>5.5170778020474653</v>
      </c>
      <c r="EK9" s="18">
        <f>EJ9*VLOOKUP('Données projet'!$B$15,Paramètres!$A$1:$I$89,3,0)*VLOOKUP('Données projet'!$B$15,Paramètres!$A$1:$I$89,5,0)</f>
        <v>3.2992125256243843</v>
      </c>
      <c r="EL9" s="14">
        <f t="shared" si="45"/>
        <v>1.3231814362474952</v>
      </c>
      <c r="EM9" s="22">
        <f t="shared" si="19"/>
        <v>8.0506694835935235</v>
      </c>
      <c r="EN9" s="60">
        <f t="shared" si="20"/>
        <v>272.05066948359354</v>
      </c>
      <c r="EO9" s="60">
        <f ca="1">AVERAGE(OFFSET($EN$3,0,0,'Données projet'!$E$15+1,1))-AVERAGE(OFFSET($H$3,0,0,'Données projet'!$E$15+1,1))</f>
        <v>260.01925143568263</v>
      </c>
      <c r="EP9" s="60">
        <f t="shared" si="46"/>
        <v>269.95358755269427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0.9</v>
      </c>
      <c r="FE9" s="13">
        <f>IF('Données projet'!$A$218&gt;35,FE8+FD9-FM8,IF(A9&lt;'Données projet'!$A$218,$FB$205^A9,IF(A9='Données projet'!$A$218,'Données projet'!$B$218,FE8+FD9-FM8)))</f>
        <v>3.7371928188465526</v>
      </c>
      <c r="FF9" s="18">
        <f>FE9*VLOOKUP('Données projet'!$B$16,Paramètres!$A$1:$I$89,3,0)*VLOOKUP('Données projet'!$B$16,Paramètres!$A$1:$I$89,5,0)</f>
        <v>3.0316108146483236</v>
      </c>
      <c r="FG9" s="14">
        <f t="shared" si="47"/>
        <v>1.2278879099133964</v>
      </c>
      <c r="FH9" s="22">
        <f t="shared" si="22"/>
        <v>7.4186269452783291</v>
      </c>
      <c r="FI9" s="60">
        <f t="shared" si="23"/>
        <v>271.41862694527833</v>
      </c>
      <c r="FJ9" s="60">
        <f ca="1">AVERAGE(OFFSET($FI$3,0,0,'Données projet'!$E$16+1,1))-AVERAGE(OFFSET($H$3,0,0,'Données projet'!$E$16+1,1))</f>
        <v>256.19915261735281</v>
      </c>
      <c r="FK9" s="60">
        <f t="shared" si="48"/>
        <v>297.47246687305056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6.179370629370629</v>
      </c>
      <c r="FZ9" s="13">
        <f>IF('Données projet'!$A$244&gt;35,FZ8+FY9-GH8,IF(A9&lt;'Données projet'!$A$244,$FW$205^A9,IF(A9='Données projet'!$A$244,'Données projet'!$B$244,FZ8+FY9-GH8)))</f>
        <v>3.817924564306777</v>
      </c>
      <c r="GA9" s="18">
        <f>FZ9*VLOOKUP('Données projet'!$B$17,Paramètres!$A$1:$I$89,3,0)*VLOOKUP('Données projet'!$B$17,Paramètres!$A$1:$I$89,5,0)</f>
        <v>2.1838528507834765</v>
      </c>
      <c r="GB9" s="14">
        <f t="shared" si="49"/>
        <v>0.91894567135444416</v>
      </c>
      <c r="GC9" s="22">
        <f t="shared" si="25"/>
        <v>5.4040407593902104</v>
      </c>
      <c r="GD9" s="60">
        <f t="shared" si="26"/>
        <v>269.40404075939023</v>
      </c>
      <c r="GE9" s="60">
        <f ca="1">AVERAGE(OFFSET($GD$3,0,0,'Données projet'!$E$17+1,1))-AVERAGE(OFFSET($H$3,0,0,'Données projet'!$E$17+1,1))</f>
        <v>268.71641789629319</v>
      </c>
      <c r="GF9" s="60">
        <f t="shared" si="50"/>
        <v>199.94048514486104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2.3805128205128203</v>
      </c>
      <c r="GU9" s="13">
        <f>IF('Données projet'!$A$270&gt;35,GU8+GT9-HC8,IF(A9&lt;'Données projet'!$A$270,$GR$205^A9,IF(A9='Données projet'!$A$270,'Données projet'!$B$270,GU8+GT9-HC8)))</f>
        <v>4.1793112262558481</v>
      </c>
      <c r="GV9" s="18">
        <f>GU9*VLOOKUP('Données projet'!$B$18,Paramètres!$A$1:$I$89,3,0)*VLOOKUP('Données projet'!$B$18,Paramètres!$A$1:$I$89,5,0)</f>
        <v>2.4992281133009975</v>
      </c>
      <c r="GW9" s="14">
        <f t="shared" si="51"/>
        <v>1.0352693484653335</v>
      </c>
      <c r="GX9" s="22">
        <f t="shared" si="28"/>
        <v>6.1559164125763592</v>
      </c>
      <c r="GY9" s="60">
        <f t="shared" si="29"/>
        <v>270.15591641257635</v>
      </c>
      <c r="GZ9" s="60">
        <f ca="1">AVERAGE(OFFSET($GY$3,0,0,'Données projet'!$E$18+1,1))-AVERAGE(OFFSET($H$3,0,0,'Données projet'!$E$18+1,1))</f>
        <v>289.12367833861299</v>
      </c>
      <c r="HA9" s="60">
        <f t="shared" si="52"/>
        <v>229.06617320689003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273.38621175408076</v>
      </c>
      <c r="S10" s="60">
        <f ca="1">AVERAGE(OFFSET($R$3,0,0,'Données projet'!$E$9+1,1))-AVERAGE(OFFSET($H$3,0,0,'Données projet'!$E$9+1,1))</f>
        <v>430.11660085503223</v>
      </c>
      <c r="T10" s="60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7.7987854251012134</v>
      </c>
      <c r="AI10" s="14">
        <f>IF('Données projet'!$A$62&gt;35,AI9+AH10-AQ9,IF(A10&lt;'Données projet'!$A$62,$AF$205^A10,IF(A10='Données projet'!$A$62,'Données projet'!$B$62,AI9+AH10-AQ9)))</f>
        <v>6.3061059552020682</v>
      </c>
      <c r="AJ10" s="14">
        <f>AI10*VLOOKUP('Données projet'!$B$10,Paramètres!$A$1:$I$89,3,0)*VLOOKUP('Données projet'!$B$10,Paramètres!$A$1:$I$89,5,0)</f>
        <v>3.5251132289579559</v>
      </c>
      <c r="AK10" s="14">
        <f t="shared" si="35"/>
        <v>1.4029241483397099</v>
      </c>
      <c r="AL10" s="22">
        <f t="shared" si="4"/>
        <v>8.5829984321267663</v>
      </c>
      <c r="AM10" s="60">
        <f t="shared" si="5"/>
        <v>273.805220654349</v>
      </c>
      <c r="AN10" s="60">
        <f ca="1">AVERAGE(OFFSET($AM$3,0,0,'Données projet'!$E$10+1,1))-AVERAGE(OFFSET($H$3,0,0,'Données projet'!$E$10+1,1))</f>
        <v>323.98185264074681</v>
      </c>
      <c r="AO10" s="60">
        <f t="shared" si="36"/>
        <v>301.22207291854005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1.6</v>
      </c>
      <c r="BD10" s="13">
        <f>IF('Données projet'!$A$88&gt;35,BD9+BC10-BL9,IF(A10&lt;'Données projet'!$A$88,$BA$205^A10,IF(A10='Données projet'!$A$88,'Données projet'!$B$88,BD9+BC10-BL9)))</f>
        <v>3.3635856610148567</v>
      </c>
      <c r="BE10" s="14">
        <f>BD10*VLOOKUP('Données projet'!$B$11,Paramètres!$A$1:$I$89,3,0)*VLOOKUP('Données projet'!$B$11,Paramètres!$A$1:$I$89,5,0)</f>
        <v>2.8859564971507474</v>
      </c>
      <c r="BF10" s="14">
        <f t="shared" si="37"/>
        <v>1.1756122821876749</v>
      </c>
      <c r="BG10" s="22">
        <f t="shared" si="7"/>
        <v>7.073898957347752</v>
      </c>
      <c r="BH10" s="60">
        <f t="shared" si="8"/>
        <v>272.29612117956998</v>
      </c>
      <c r="BI10" s="60">
        <f ca="1">AVERAGE(OFFSET($BH$3,0,0,'Données projet'!$E$11+1,1))-AVERAGE(OFFSET($H$3,0,0,'Données projet'!$E$11+1,1))</f>
        <v>556.75475431848258</v>
      </c>
      <c r="BJ10" s="60">
        <f t="shared" si="38"/>
        <v>256.77417912163997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2.4933333333333332</v>
      </c>
      <c r="BY10" s="13">
        <f>IF('Données projet'!$A$114&gt;35,BY9+BX10-CG9,IF(A10&lt;'Données projet'!$A$114,$BV$205^A10,IF(A10='Données projet'!$A$114,'Données projet'!$B$114,BY9+BX10-CG9)))</f>
        <v>5.4200931160999835</v>
      </c>
      <c r="BZ10" s="14">
        <f>BY10*VLOOKUP('Données projet'!$B$12,Paramètres!$A$1:$I$89,3,0)*VLOOKUP('Données projet'!$B$12,Paramètres!$A$1:$I$89,5,0)</f>
        <v>3.974012272724508</v>
      </c>
      <c r="CA10" s="14">
        <f t="shared" si="39"/>
        <v>1.5596637901989818</v>
      </c>
      <c r="CB10" s="22">
        <f t="shared" si="10"/>
        <v>9.6378191429250784</v>
      </c>
      <c r="CC10" s="60">
        <f t="shared" si="11"/>
        <v>274.86004136514731</v>
      </c>
      <c r="CD10" s="60">
        <f ca="1">AVERAGE(OFFSET($CC$3,0,0,'Données projet'!$E$12+1,1))-AVERAGE(OFFSET($H$3,0,0,'Données projet'!$E$12+1,1))</f>
        <v>290.68086183422963</v>
      </c>
      <c r="CE10" s="60">
        <f t="shared" si="40"/>
        <v>317.88330630101785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0.9</v>
      </c>
      <c r="CT10" s="13">
        <f>IF('Données projet'!$A$140&gt;35,CT9+CS10-DB9,IF(A10&lt;'Données projet'!$A$140,$CQ$205^A10,IF(A10='Données projet'!$A$140,'Données projet'!$B$140,CT9+CS10-DB9)))</f>
        <v>4.6555367217460804</v>
      </c>
      <c r="CU10" s="18">
        <f>CT10*VLOOKUP('Données projet'!$B$13,Paramètres!$A$1:$I$89,3,0)*VLOOKUP('Données projet'!$B$13,Paramètres!$A$1:$I$89,5,0)</f>
        <v>3.0503076600880319</v>
      </c>
      <c r="CV10" s="14">
        <f t="shared" si="41"/>
        <v>1.2345767954654534</v>
      </c>
      <c r="CW10" s="22">
        <f t="shared" si="13"/>
        <v>7.4628404267556538</v>
      </c>
      <c r="CX10" s="60">
        <f t="shared" si="14"/>
        <v>272.68506264897786</v>
      </c>
      <c r="CY10" s="60">
        <f ca="1">AVERAGE(OFFSET($CX$3,0,0,'Données projet'!$E$13+1,1))-AVERAGE(OFFSET($H$3,0,0,'Données projet'!$E$13+1,1))</f>
        <v>243.04319555814601</v>
      </c>
      <c r="CZ10" s="60">
        <f t="shared" si="42"/>
        <v>235.68746142880792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9.6666666666666661</v>
      </c>
      <c r="DO10" s="13">
        <f>IF('Données projet'!$A$166&gt;35,DO9+DN10-DW9,IF(A10&lt;'Données projet'!$A$166,$DL$205^A10,IF(A10='Données projet'!$A$166,'Données projet'!$B$166,DO9+DN10-DW9)))</f>
        <v>16.005423146694032</v>
      </c>
      <c r="DP10" s="18">
        <f>DO10*VLOOKUP('Données projet'!$B$14,Paramètres!$A$1:$I$89,3,0)*VLOOKUP('Données projet'!$B$14,Paramètres!$A$1:$I$89,5,0)</f>
        <v>8.7389610380949421</v>
      </c>
      <c r="DQ10" s="14">
        <f t="shared" si="43"/>
        <v>3.1291468639233355</v>
      </c>
      <c r="DR10" s="22">
        <f t="shared" si="16"/>
        <v>20.6702879293485</v>
      </c>
      <c r="DS10" s="60">
        <f t="shared" si="17"/>
        <v>285.89251015157072</v>
      </c>
      <c r="DT10" s="60">
        <f ca="1">AVERAGE(OFFSET($DS$3,0,0,'Données projet'!$E$14+1,1))-AVERAGE(OFFSET($H$3,0,0,'Données projet'!$E$14+1,1))</f>
        <v>201.4732637505823</v>
      </c>
      <c r="DU10" s="60">
        <f t="shared" si="44"/>
        <v>342.06887933351783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7.4312217194570129</v>
      </c>
      <c r="EJ10" s="13">
        <f>IF('Données projet'!$A$192&gt;35,EJ9+EI10-ER9,IF(A10&lt;'Données projet'!$A$192,$EG$205^A10,IF(A10='Données projet'!$A$192,'Données projet'!$B$192,EJ9+EI10-ER9)))</f>
        <v>7.3337701280605696</v>
      </c>
      <c r="EK10" s="18">
        <f>EJ10*VLOOKUP('Données projet'!$B$15,Paramètres!$A$1:$I$89,3,0)*VLOOKUP('Données projet'!$B$15,Paramètres!$A$1:$I$89,5,0)</f>
        <v>4.3855945365802205</v>
      </c>
      <c r="EL10" s="14">
        <f t="shared" si="45"/>
        <v>1.7015645433219191</v>
      </c>
      <c r="EM10" s="22">
        <f t="shared" si="19"/>
        <v>10.601802064162893</v>
      </c>
      <c r="EN10" s="60">
        <f t="shared" si="20"/>
        <v>275.82402428638511</v>
      </c>
      <c r="EO10" s="60">
        <f ca="1">AVERAGE(OFFSET($EN$3,0,0,'Données projet'!$E$15+1,1))-AVERAGE(OFFSET($H$3,0,0,'Données projet'!$E$15+1,1))</f>
        <v>260.01925143568263</v>
      </c>
      <c r="EP10" s="60">
        <f t="shared" si="46"/>
        <v>269.95358755269427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0.9</v>
      </c>
      <c r="FE10" s="13">
        <f>IF('Données projet'!$A$218&gt;35,FE9+FD10-FM9,IF(A10&lt;'Données projet'!$A$218,$FB$205^A10,IF(A10='Données projet'!$A$218,'Données projet'!$B$218,FE9+FD10-FM9)))</f>
        <v>4.6555367217460804</v>
      </c>
      <c r="FF10" s="18">
        <f>FE10*VLOOKUP('Données projet'!$B$16,Paramètres!$A$1:$I$89,3,0)*VLOOKUP('Données projet'!$B$16,Paramètres!$A$1:$I$89,5,0)</f>
        <v>3.7765713886804204</v>
      </c>
      <c r="FG10" s="14">
        <f t="shared" si="47"/>
        <v>1.490992954829151</v>
      </c>
      <c r="FH10" s="22">
        <f t="shared" si="22"/>
        <v>9.1743412316125035</v>
      </c>
      <c r="FI10" s="60">
        <f t="shared" si="23"/>
        <v>274.39656345383474</v>
      </c>
      <c r="FJ10" s="60">
        <f ca="1">AVERAGE(OFFSET($FI$3,0,0,'Données projet'!$E$16+1,1))-AVERAGE(OFFSET($H$3,0,0,'Données projet'!$E$16+1,1))</f>
        <v>256.19915261735281</v>
      </c>
      <c r="FK10" s="60">
        <f t="shared" si="48"/>
        <v>297.47246687305056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6.179370629370629</v>
      </c>
      <c r="FZ10" s="13">
        <f>IF('Données projet'!$A$244&gt;35,FZ9+FY10-GH9,IF(A10&lt;'Données projet'!$A$244,$FW$205^A10,IF(A10='Données projet'!$A$244,'Données projet'!$B$244,FZ9+FY10-GH9)))</f>
        <v>4.7730783910108681</v>
      </c>
      <c r="GA10" s="18">
        <f>FZ10*VLOOKUP('Données projet'!$B$17,Paramètres!$A$1:$I$89,3,0)*VLOOKUP('Données projet'!$B$17,Paramètres!$A$1:$I$89,5,0)</f>
        <v>2.7302008396582167</v>
      </c>
      <c r="GB10" s="14">
        <f t="shared" si="49"/>
        <v>1.1193698621136245</v>
      </c>
      <c r="GC10" s="22">
        <f t="shared" si="25"/>
        <v>6.704668972252624</v>
      </c>
      <c r="GD10" s="60">
        <f t="shared" si="26"/>
        <v>271.92689119447488</v>
      </c>
      <c r="GE10" s="60">
        <f ca="1">AVERAGE(OFFSET($GD$3,0,0,'Données projet'!$E$17+1,1))-AVERAGE(OFFSET($H$3,0,0,'Données projet'!$E$17+1,1))</f>
        <v>268.71641789629319</v>
      </c>
      <c r="GF10" s="60">
        <f t="shared" si="50"/>
        <v>199.94048514486104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2.3805128205128203</v>
      </c>
      <c r="GU10" s="13">
        <f>IF('Données projet'!$A$270&gt;35,GU9+GT10-HC9,IF(A10&lt;'Données projet'!$A$270,$GR$205^A10,IF(A10='Données projet'!$A$270,'Données projet'!$B$270,GU9+GT10-HC9)))</f>
        <v>5.304227780361269</v>
      </c>
      <c r="GV10" s="18">
        <f>GU10*VLOOKUP('Données projet'!$B$18,Paramètres!$A$1:$I$89,3,0)*VLOOKUP('Données projet'!$B$18,Paramètres!$A$1:$I$89,5,0)</f>
        <v>3.1719282126560389</v>
      </c>
      <c r="GW10" s="14">
        <f t="shared" si="51"/>
        <v>1.2779721120125676</v>
      </c>
      <c r="GX10" s="22">
        <f t="shared" si="28"/>
        <v>7.7502430654644883</v>
      </c>
      <c r="GY10" s="60">
        <f t="shared" si="29"/>
        <v>272.9724652876867</v>
      </c>
      <c r="GZ10" s="60">
        <f ca="1">AVERAGE(OFFSET($GY$3,0,0,'Données projet'!$E$18+1,1))-AVERAGE(OFFSET($H$3,0,0,'Données projet'!$E$18+1,1))</f>
        <v>289.12367833861299</v>
      </c>
      <c r="HA10" s="60">
        <f t="shared" si="52"/>
        <v>229.06617320689003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276.22547755046565</v>
      </c>
      <c r="S11" s="60">
        <f ca="1">AVERAGE(OFFSET($R$3,0,0,'Données projet'!$E$9+1,1))-AVERAGE(OFFSET($H$3,0,0,'Données projet'!$E$9+1,1))</f>
        <v>430.11660085503223</v>
      </c>
      <c r="T11" s="60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7.7987854251012134</v>
      </c>
      <c r="AI11" s="14">
        <f>IF('Données projet'!$A$62&gt;35,AI10+AH11-AQ10,IF(A11&lt;'Données projet'!$A$62,$AF$205^A11,IF(A11='Données projet'!$A$62,'Données projet'!$B$62,AI10+AH11-AQ10)))</f>
        <v>8.2037586004457506</v>
      </c>
      <c r="AJ11" s="14">
        <f>AI11*VLOOKUP('Données projet'!$B$10,Paramètres!$A$1:$I$89,3,0)*VLOOKUP('Données projet'!$B$10,Paramètres!$A$1:$I$89,5,0)</f>
        <v>4.5859010576491741</v>
      </c>
      <c r="AK11" s="14">
        <f t="shared" si="35"/>
        <v>1.770055616789747</v>
      </c>
      <c r="AL11" s="22">
        <f t="shared" si="4"/>
        <v>11.069957874647789</v>
      </c>
      <c r="AM11" s="60">
        <f t="shared" si="5"/>
        <v>277.51440231909226</v>
      </c>
      <c r="AN11" s="60">
        <f ca="1">AVERAGE(OFFSET($AM$3,0,0,'Données projet'!$E$10+1,1))-AVERAGE(OFFSET($H$3,0,0,'Données projet'!$E$10+1,1))</f>
        <v>323.98185264074681</v>
      </c>
      <c r="AO11" s="60">
        <f t="shared" si="36"/>
        <v>301.22207291854005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1.6</v>
      </c>
      <c r="BD11" s="13">
        <f>IF('Données projet'!$A$88&gt;35,BD10+BC11-BL10,IF(A11&lt;'Données projet'!$A$88,$BA$205^A11,IF(A11='Données projet'!$A$88,'Données projet'!$B$88,BD10+BC11-BL10)))</f>
        <v>3.9999999999999982</v>
      </c>
      <c r="BE11" s="14">
        <f>BD11*VLOOKUP('Données projet'!$B$11,Paramètres!$A$1:$I$89,3,0)*VLOOKUP('Données projet'!$B$11,Paramètres!$A$1:$I$89,5,0)</f>
        <v>3.4319999999999991</v>
      </c>
      <c r="BF11" s="14">
        <f t="shared" si="37"/>
        <v>1.3701295744860806</v>
      </c>
      <c r="BG11" s="22">
        <f t="shared" si="7"/>
        <v>8.3637090088965884</v>
      </c>
      <c r="BH11" s="60">
        <f t="shared" si="8"/>
        <v>274.80815345334105</v>
      </c>
      <c r="BI11" s="60">
        <f ca="1">AVERAGE(OFFSET($BH$3,0,0,'Données projet'!$E$11+1,1))-AVERAGE(OFFSET($H$3,0,0,'Données projet'!$E$11+1,1))</f>
        <v>556.75475431848258</v>
      </c>
      <c r="BJ11" s="60">
        <f t="shared" si="38"/>
        <v>256.77417912163997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2.4933333333333332</v>
      </c>
      <c r="BY11" s="13">
        <f>IF('Données projet'!$A$114&gt;35,BY10+BX11-CG10,IF(A11&lt;'Données projet'!$A$114,$BV$205^A11,IF(A11='Données projet'!$A$114,'Données projet'!$B$114,BY10+BX11-CG10)))</f>
        <v>6.9002504567506522</v>
      </c>
      <c r="BZ11" s="14">
        <f>BY11*VLOOKUP('Données projet'!$B$12,Paramètres!$A$1:$I$89,3,0)*VLOOKUP('Données projet'!$B$12,Paramètres!$A$1:$I$89,5,0)</f>
        <v>5.0592636348895788</v>
      </c>
      <c r="CA11" s="14">
        <f t="shared" si="39"/>
        <v>1.9305613738296874</v>
      </c>
      <c r="CB11" s="22">
        <f t="shared" si="10"/>
        <v>12.173945223519388</v>
      </c>
      <c r="CC11" s="60">
        <f t="shared" si="11"/>
        <v>278.61838966796387</v>
      </c>
      <c r="CD11" s="60">
        <f ca="1">AVERAGE(OFFSET($CC$3,0,0,'Données projet'!$E$12+1,1))-AVERAGE(OFFSET($H$3,0,0,'Données projet'!$E$12+1,1))</f>
        <v>290.68086183422963</v>
      </c>
      <c r="CE11" s="60">
        <f t="shared" si="40"/>
        <v>317.88330630101785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0.9</v>
      </c>
      <c r="CT11" s="13">
        <f>IF('Données projet'!$A$140&gt;35,CT10+CS11-DB10,IF(A11&lt;'Données projet'!$A$140,$CQ$205^A11,IF(A11='Données projet'!$A$140,'Données projet'!$B$140,CT10+CS11-DB10)))</f>
        <v>5.7995461347952899</v>
      </c>
      <c r="CU11" s="18">
        <f>CT11*VLOOKUP('Données projet'!$B$13,Paramètres!$A$1:$I$89,3,0)*VLOOKUP('Données projet'!$B$13,Paramètres!$A$1:$I$89,5,0)</f>
        <v>3.7998626275178737</v>
      </c>
      <c r="CV11" s="14">
        <f t="shared" si="41"/>
        <v>1.4991150978629391</v>
      </c>
      <c r="CW11" s="22">
        <f t="shared" si="13"/>
        <v>9.2290528717049156</v>
      </c>
      <c r="CX11" s="60">
        <f t="shared" si="14"/>
        <v>275.67349731614939</v>
      </c>
      <c r="CY11" s="60">
        <f ca="1">AVERAGE(OFFSET($CX$3,0,0,'Données projet'!$E$13+1,1))-AVERAGE(OFFSET($H$3,0,0,'Données projet'!$E$13+1,1))</f>
        <v>243.04319555814601</v>
      </c>
      <c r="CZ11" s="60">
        <f t="shared" si="42"/>
        <v>235.68746142880792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9.6666666666666661</v>
      </c>
      <c r="DO11" s="13">
        <f>IF('Données projet'!$A$166&gt;35,DO10+DN11-DW10,IF(A11&lt;'Données projet'!$A$166,$DL$205^A11,IF(A11='Données projet'!$A$166,'Données projet'!$B$166,DO10+DN11-DW10)))</f>
        <v>23.785118866310182</v>
      </c>
      <c r="DP11" s="18">
        <f>DO11*VLOOKUP('Données projet'!$B$14,Paramètres!$A$1:$I$89,3,0)*VLOOKUP('Données projet'!$B$14,Paramètres!$A$1:$I$89,5,0)</f>
        <v>12.98667490100536</v>
      </c>
      <c r="DQ11" s="14">
        <f t="shared" si="43"/>
        <v>4.4405715295601897</v>
      </c>
      <c r="DR11" s="22">
        <f t="shared" si="16"/>
        <v>30.352454199901668</v>
      </c>
      <c r="DS11" s="60">
        <f t="shared" si="17"/>
        <v>296.79689864434613</v>
      </c>
      <c r="DT11" s="60">
        <f ca="1">AVERAGE(OFFSET($DS$3,0,0,'Données projet'!$E$14+1,1))-AVERAGE(OFFSET($H$3,0,0,'Données projet'!$E$14+1,1))</f>
        <v>201.4732637505823</v>
      </c>
      <c r="DU11" s="60">
        <f t="shared" si="44"/>
        <v>342.06887933351783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7.4312217194570129</v>
      </c>
      <c r="EJ11" s="13">
        <f>IF('Données projet'!$A$192&gt;35,EJ10+EI11-ER10,IF(A11&lt;'Données projet'!$A$192,$EG$205^A11,IF(A11='Données projet'!$A$192,'Données projet'!$B$192,EJ10+EI11-ER10)))</f>
        <v>9.748672435120179</v>
      </c>
      <c r="EK11" s="18">
        <f>EJ11*VLOOKUP('Données projet'!$B$15,Paramètres!$A$1:$I$89,3,0)*VLOOKUP('Données projet'!$B$15,Paramètres!$A$1:$I$89,5,0)</f>
        <v>5.8297061162018684</v>
      </c>
      <c r="EL11" s="14">
        <f t="shared" si="45"/>
        <v>2.1881518405377438</v>
      </c>
      <c r="EM11" s="22">
        <f t="shared" si="19"/>
        <v>13.96443594132149</v>
      </c>
      <c r="EN11" s="60">
        <f t="shared" si="20"/>
        <v>280.40888038576594</v>
      </c>
      <c r="EO11" s="60">
        <f ca="1">AVERAGE(OFFSET($EN$3,0,0,'Données projet'!$E$15+1,1))-AVERAGE(OFFSET($H$3,0,0,'Données projet'!$E$15+1,1))</f>
        <v>260.01925143568263</v>
      </c>
      <c r="EP11" s="60">
        <f t="shared" si="46"/>
        <v>269.95358755269427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0.9</v>
      </c>
      <c r="FE11" s="13">
        <f>IF('Données projet'!$A$218&gt;35,FE10+FD11-FM10,IF(A11&lt;'Données projet'!$A$218,$FB$205^A11,IF(A11='Données projet'!$A$218,'Données projet'!$B$218,FE10+FD11-FM10)))</f>
        <v>5.7995461347952899</v>
      </c>
      <c r="FF11" s="18">
        <f>FE11*VLOOKUP('Données projet'!$B$16,Paramètres!$A$1:$I$89,3,0)*VLOOKUP('Données projet'!$B$16,Paramètres!$A$1:$I$89,5,0)</f>
        <v>4.7045918245459397</v>
      </c>
      <c r="FG11" s="14">
        <f t="shared" si="47"/>
        <v>1.8104746967554695</v>
      </c>
      <c r="FH11" s="22">
        <f t="shared" si="22"/>
        <v>11.347074191266621</v>
      </c>
      <c r="FI11" s="60">
        <f t="shared" si="23"/>
        <v>277.7915186357111</v>
      </c>
      <c r="FJ11" s="60">
        <f ca="1">AVERAGE(OFFSET($FI$3,0,0,'Données projet'!$E$16+1,1))-AVERAGE(OFFSET($H$3,0,0,'Données projet'!$E$16+1,1))</f>
        <v>256.19915261735281</v>
      </c>
      <c r="FK11" s="60">
        <f t="shared" si="48"/>
        <v>297.47246687305056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6.179370629370629</v>
      </c>
      <c r="FZ11" s="13">
        <f>IF('Données projet'!$A$244&gt;35,FZ10+FY11-GH10,IF(A11&lt;'Données projet'!$A$244,$FW$205^A11,IF(A11='Données projet'!$A$244,'Données projet'!$B$244,FZ10+FY11-GH10)))</f>
        <v>5.9671889643192806</v>
      </c>
      <c r="GA11" s="18">
        <f>FZ11*VLOOKUP('Données projet'!$B$17,Paramètres!$A$1:$I$89,3,0)*VLOOKUP('Données projet'!$B$17,Paramètres!$A$1:$I$89,5,0)</f>
        <v>3.4132320875906288</v>
      </c>
      <c r="GB11" s="14">
        <f t="shared" si="49"/>
        <v>1.3635070355807659</v>
      </c>
      <c r="GC11" s="22">
        <f t="shared" si="25"/>
        <v>8.3194873061901777</v>
      </c>
      <c r="GD11" s="60">
        <f t="shared" si="26"/>
        <v>274.76393175063464</v>
      </c>
      <c r="GE11" s="60">
        <f ca="1">AVERAGE(OFFSET($GD$3,0,0,'Données projet'!$E$17+1,1))-AVERAGE(OFFSET($H$3,0,0,'Données projet'!$E$17+1,1))</f>
        <v>268.71641789629319</v>
      </c>
      <c r="GF11" s="60">
        <f t="shared" si="50"/>
        <v>199.94048514486104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2.3805128205128203</v>
      </c>
      <c r="GU11" s="13">
        <f>IF('Données projet'!$A$270&gt;35,GU10+GT11-HC10,IF(A11&lt;'Données projet'!$A$270,$GR$205^A11,IF(A11='Données projet'!$A$270,'Données projet'!$B$270,GU10+GT11-HC10)))</f>
        <v>6.7319304121702404</v>
      </c>
      <c r="GV11" s="18">
        <f>GU11*VLOOKUP('Données projet'!$B$18,Paramètres!$A$1:$I$89,3,0)*VLOOKUP('Données projet'!$B$18,Paramètres!$A$1:$I$89,5,0)</f>
        <v>4.0256943864778041</v>
      </c>
      <c r="GW11" s="14">
        <f t="shared" si="51"/>
        <v>1.5775727558271786</v>
      </c>
      <c r="GX11" s="22">
        <f t="shared" si="28"/>
        <v>9.759023606181179</v>
      </c>
      <c r="GY11" s="60">
        <f t="shared" si="29"/>
        <v>276.20346805062564</v>
      </c>
      <c r="GZ11" s="60">
        <f ca="1">AVERAGE(OFFSET($GY$3,0,0,'Données projet'!$E$18+1,1))-AVERAGE(OFFSET($H$3,0,0,'Données projet'!$E$18+1,1))</f>
        <v>289.12367833861299</v>
      </c>
      <c r="HA11" s="60">
        <f t="shared" si="52"/>
        <v>229.06617320689003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279.38615317116773</v>
      </c>
      <c r="S12" s="60">
        <f ca="1">AVERAGE(OFFSET($R$3,0,0,'Données projet'!$E$9+1,1))-AVERAGE(OFFSET($H$3,0,0,'Données projet'!$E$9+1,1))</f>
        <v>430.11660085503223</v>
      </c>
      <c r="T12" s="60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7.7987854251012134</v>
      </c>
      <c r="AI12" s="14">
        <f>IF('Données projet'!$A$62&gt;35,AI11+AH12-AQ11,IF(A12&lt;'Données projet'!$A$62,$AF$205^A12,IF(A12='Données projet'!$A$62,'Données projet'!$B$62,AI11+AH12-AQ11)))</f>
        <v>10.672458669818059</v>
      </c>
      <c r="AJ12" s="14">
        <f>AI12*VLOOKUP('Données projet'!$B$10,Paramètres!$A$1:$I$89,3,0)*VLOOKUP('Données projet'!$B$10,Paramètres!$A$1:$I$89,5,0)</f>
        <v>5.9659043964282947</v>
      </c>
      <c r="AK12" s="14">
        <f t="shared" si="35"/>
        <v>2.2332617841362223</v>
      </c>
      <c r="AL12" s="22">
        <f t="shared" si="4"/>
        <v>14.280214431149867</v>
      </c>
      <c r="AM12" s="60">
        <f t="shared" si="5"/>
        <v>281.94688109781657</v>
      </c>
      <c r="AN12" s="60">
        <f ca="1">AVERAGE(OFFSET($AM$3,0,0,'Données projet'!$E$10+1,1))-AVERAGE(OFFSET($H$3,0,0,'Données projet'!$E$10+1,1))</f>
        <v>323.98185264074681</v>
      </c>
      <c r="AO12" s="60">
        <f t="shared" si="36"/>
        <v>301.22207291854005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1.6</v>
      </c>
      <c r="BD12" s="13">
        <f>IF('Données projet'!$A$88&gt;35,BD11+BC12-BL11,IF(A12&lt;'Données projet'!$A$88,$BA$205^A12,IF(A12='Données projet'!$A$88,'Données projet'!$B$88,BD11+BC12-BL11)))</f>
        <v>4.7568284600108823</v>
      </c>
      <c r="BE12" s="14">
        <f>BD12*VLOOKUP('Données projet'!$B$11,Paramètres!$A$1:$I$89,3,0)*VLOOKUP('Données projet'!$B$11,Paramètres!$A$1:$I$89,5,0)</f>
        <v>4.0813588186893375</v>
      </c>
      <c r="BF12" s="14">
        <f t="shared" si="37"/>
        <v>1.5968317780655192</v>
      </c>
      <c r="BG12" s="22">
        <f t="shared" si="7"/>
        <v>9.8895152893480418</v>
      </c>
      <c r="BH12" s="60">
        <f t="shared" si="8"/>
        <v>277.55618195601471</v>
      </c>
      <c r="BI12" s="60">
        <f ca="1">AVERAGE(OFFSET($BH$3,0,0,'Données projet'!$E$11+1,1))-AVERAGE(OFFSET($H$3,0,0,'Données projet'!$E$11+1,1))</f>
        <v>556.75475431848258</v>
      </c>
      <c r="BJ12" s="60">
        <f t="shared" si="38"/>
        <v>256.77417912163997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2.4933333333333332</v>
      </c>
      <c r="BY12" s="13">
        <f>IF('Données projet'!$A$114&gt;35,BY11+BX12-CG11,IF(A12&lt;'Données projet'!$A$114,$BV$205^A12,IF(A12='Données projet'!$A$114,'Données projet'!$B$114,BY11+BX12-CG11)))</f>
        <v>8.784619626636184</v>
      </c>
      <c r="BZ12" s="14">
        <f>BY12*VLOOKUP('Données projet'!$B$12,Paramètres!$A$1:$I$89,3,0)*VLOOKUP('Données projet'!$B$12,Paramètres!$A$1:$I$89,5,0)</f>
        <v>6.4408831102496507</v>
      </c>
      <c r="CA12" s="14">
        <f t="shared" si="39"/>
        <v>2.3896606701676846</v>
      </c>
      <c r="CB12" s="22">
        <f t="shared" si="10"/>
        <v>15.379863750893525</v>
      </c>
      <c r="CC12" s="60">
        <f t="shared" si="11"/>
        <v>283.04653041756023</v>
      </c>
      <c r="CD12" s="60">
        <f ca="1">AVERAGE(OFFSET($CC$3,0,0,'Données projet'!$E$12+1,1))-AVERAGE(OFFSET($H$3,0,0,'Données projet'!$E$12+1,1))</f>
        <v>290.68086183422963</v>
      </c>
      <c r="CE12" s="60">
        <f t="shared" si="40"/>
        <v>317.88330630101785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0.9</v>
      </c>
      <c r="CT12" s="13">
        <f>IF('Données projet'!$A$140&gt;35,CT11+CS12-DB11,IF(A12&lt;'Données projet'!$A$140,$CQ$205^A12,IF(A12='Données projet'!$A$140,'Données projet'!$B$140,CT11+CS12-DB11)))</f>
        <v>7.2246740558420788</v>
      </c>
      <c r="CU12" s="18">
        <f>CT12*VLOOKUP('Données projet'!$B$13,Paramètres!$A$1:$I$89,3,0)*VLOOKUP('Données projet'!$B$13,Paramètres!$A$1:$I$89,5,0)</f>
        <v>4.7336064413877299</v>
      </c>
      <c r="CV12" s="14">
        <f t="shared" si="41"/>
        <v>1.8203372077743676</v>
      </c>
      <c r="CW12" s="22">
        <f t="shared" si="13"/>
        <v>11.414785188957319</v>
      </c>
      <c r="CX12" s="60">
        <f t="shared" si="14"/>
        <v>279.08145185562398</v>
      </c>
      <c r="CY12" s="60">
        <f ca="1">AVERAGE(OFFSET($CX$3,0,0,'Données projet'!$E$13+1,1))-AVERAGE(OFFSET($H$3,0,0,'Données projet'!$E$13+1,1))</f>
        <v>243.04319555814601</v>
      </c>
      <c r="CZ12" s="60">
        <f t="shared" si="42"/>
        <v>235.68746142880792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9.6666666666666661</v>
      </c>
      <c r="DO12" s="13">
        <f>IF('Données projet'!$A$166&gt;35,DO11+DN12-DW11,IF(A12&lt;'Données projet'!$A$166,$DL$205^A12,IF(A12='Données projet'!$A$166,'Données projet'!$B$166,DO11+DN12-DW11)))</f>
        <v>35.346261970047209</v>
      </c>
      <c r="DP12" s="18">
        <f>DO12*VLOOKUP('Données projet'!$B$14,Paramètres!$A$1:$I$89,3,0)*VLOOKUP('Données projet'!$B$14,Paramètres!$A$1:$I$89,5,0)</f>
        <v>19.299059035645776</v>
      </c>
      <c r="DQ12" s="14">
        <f t="shared" si="43"/>
        <v>6.301613943558138</v>
      </c>
      <c r="DR12" s="22">
        <f t="shared" si="16"/>
        <v>44.587838772113486</v>
      </c>
      <c r="DS12" s="60">
        <f t="shared" si="17"/>
        <v>312.25450543878014</v>
      </c>
      <c r="DT12" s="60">
        <f ca="1">AVERAGE(OFFSET($DS$3,0,0,'Données projet'!$E$14+1,1))-AVERAGE(OFFSET($H$3,0,0,'Données projet'!$E$14+1,1))</f>
        <v>201.4732637505823</v>
      </c>
      <c r="DU12" s="60">
        <f t="shared" si="44"/>
        <v>342.06887933351783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7.4312217194570129</v>
      </c>
      <c r="EJ12" s="13">
        <f>IF('Données projet'!$A$192&gt;35,EJ11+EI12-ER11,IF(A12&lt;'Données projet'!$A$192,$EG$205^A12,IF(A12='Données projet'!$A$192,'Données projet'!$B$192,EJ11+EI12-ER11)))</f>
        <v>12.958766444511483</v>
      </c>
      <c r="EK12" s="18">
        <f>EJ12*VLOOKUP('Données projet'!$B$15,Paramètres!$A$1:$I$89,3,0)*VLOOKUP('Données projet'!$B$15,Paramètres!$A$1:$I$89,5,0)</f>
        <v>7.7493423338178671</v>
      </c>
      <c r="EL12" s="14">
        <f t="shared" si="45"/>
        <v>2.8138859005026107</v>
      </c>
      <c r="EM12" s="22">
        <f t="shared" si="19"/>
        <v>18.397622508108167</v>
      </c>
      <c r="EN12" s="60">
        <f t="shared" si="20"/>
        <v>286.06428917477484</v>
      </c>
      <c r="EO12" s="60">
        <f ca="1">AVERAGE(OFFSET($EN$3,0,0,'Données projet'!$E$15+1,1))-AVERAGE(OFFSET($H$3,0,0,'Données projet'!$E$15+1,1))</f>
        <v>260.01925143568263</v>
      </c>
      <c r="EP12" s="60">
        <f t="shared" si="46"/>
        <v>269.95358755269427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0.9</v>
      </c>
      <c r="FE12" s="13">
        <f>IF('Données projet'!$A$218&gt;35,FE11+FD12-FM11,IF(A12&lt;'Données projet'!$A$218,$FB$205^A12,IF(A12='Données projet'!$A$218,'Données projet'!$B$218,FE11+FD12-FM11)))</f>
        <v>7.2246740558420788</v>
      </c>
      <c r="FF12" s="18">
        <f>FE12*VLOOKUP('Données projet'!$B$16,Paramètres!$A$1:$I$89,3,0)*VLOOKUP('Données projet'!$B$16,Paramètres!$A$1:$I$89,5,0)</f>
        <v>5.8606555940990948</v>
      </c>
      <c r="FG12" s="14">
        <f t="shared" si="47"/>
        <v>2.1984132231982314</v>
      </c>
      <c r="FH12" s="22">
        <f t="shared" si="22"/>
        <v>14.036211523459508</v>
      </c>
      <c r="FI12" s="60">
        <f t="shared" si="23"/>
        <v>281.70287819012617</v>
      </c>
      <c r="FJ12" s="60">
        <f ca="1">AVERAGE(OFFSET($FI$3,0,0,'Données projet'!$E$16+1,1))-AVERAGE(OFFSET($H$3,0,0,'Données projet'!$E$16+1,1))</f>
        <v>256.19915261735281</v>
      </c>
      <c r="FK12" s="60">
        <f t="shared" si="48"/>
        <v>297.47246687305056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6.179370629370629</v>
      </c>
      <c r="FZ12" s="13">
        <f>IF('Données projet'!$A$244&gt;35,FZ11+FY12-GH11,IF(A12&lt;'Données projet'!$A$244,$FW$205^A12,IF(A12='Données projet'!$A$244,'Données projet'!$B$244,FZ11+FY12-GH11)))</f>
        <v>7.4600375730164146</v>
      </c>
      <c r="GA12" s="18">
        <f>FZ12*VLOOKUP('Données projet'!$B$17,Paramètres!$A$1:$I$89,3,0)*VLOOKUP('Données projet'!$B$17,Paramètres!$A$1:$I$89,5,0)</f>
        <v>4.2671414917653889</v>
      </c>
      <c r="GB12" s="14">
        <f t="shared" si="49"/>
        <v>1.6608910950735694</v>
      </c>
      <c r="GC12" s="22">
        <f t="shared" si="25"/>
        <v>10.324656755411185</v>
      </c>
      <c r="GD12" s="60">
        <f t="shared" si="26"/>
        <v>277.99132342207787</v>
      </c>
      <c r="GE12" s="60">
        <f ca="1">AVERAGE(OFFSET($GD$3,0,0,'Données projet'!$E$17+1,1))-AVERAGE(OFFSET($H$3,0,0,'Données projet'!$E$17+1,1))</f>
        <v>268.71641789629319</v>
      </c>
      <c r="GF12" s="60">
        <f t="shared" si="50"/>
        <v>199.94048514486104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2.3805128205128203</v>
      </c>
      <c r="GU12" s="13">
        <f>IF('Données projet'!$A$270&gt;35,GU11+GT12-HC11,IF(A12&lt;'Données projet'!$A$270,$GR$205^A12,IF(A12='Données projet'!$A$270,'Données projet'!$B$270,GU11+GT12-HC11)))</f>
        <v>8.5439179746567984</v>
      </c>
      <c r="GV12" s="18">
        <f>GU12*VLOOKUP('Données projet'!$B$18,Paramètres!$A$1:$I$89,3,0)*VLOOKUP('Données projet'!$B$18,Paramètres!$A$1:$I$89,5,0)</f>
        <v>5.1092629488447656</v>
      </c>
      <c r="GW12" s="14">
        <f t="shared" si="51"/>
        <v>1.9474101011553873</v>
      </c>
      <c r="GX12" s="22">
        <f t="shared" si="28"/>
        <v>12.290372228750266</v>
      </c>
      <c r="GY12" s="60">
        <f t="shared" si="29"/>
        <v>279.95703889541693</v>
      </c>
      <c r="GZ12" s="60">
        <f ca="1">AVERAGE(OFFSET($GY$3,0,0,'Données projet'!$E$18+1,1))-AVERAGE(OFFSET($H$3,0,0,'Données projet'!$E$18+1,1))</f>
        <v>289.12367833861299</v>
      </c>
      <c r="HA12" s="60">
        <f t="shared" si="52"/>
        <v>229.06617320689003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282.93233218914207</v>
      </c>
      <c r="S13" s="60">
        <f ca="1">AVERAGE(OFFSET($R$3,0,0,'Données projet'!$E$9+1,1))-AVERAGE(OFFSET($H$3,0,0,'Données projet'!$E$9+1,1))</f>
        <v>430.11660085503223</v>
      </c>
      <c r="T13" s="60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7.7987854251012134</v>
      </c>
      <c r="AI13" s="14">
        <f>IF('Données projet'!$A$62&gt;35,AI12+AH13-AQ12,IF(A13&lt;'Données projet'!$A$62,$AF$205^A13,IF(A13='Données projet'!$A$62,'Données projet'!$B$62,AI12+AH13-AQ12)))</f>
        <v>13.884047496568932</v>
      </c>
      <c r="AJ13" s="14">
        <f>AI13*VLOOKUP('Données projet'!$B$10,Paramètres!$A$1:$I$89,3,0)*VLOOKUP('Données projet'!$B$10,Paramètres!$A$1:$I$89,5,0)</f>
        <v>7.7611825505820331</v>
      </c>
      <c r="AK13" s="14">
        <f t="shared" si="35"/>
        <v>2.8176844553216833</v>
      </c>
      <c r="AL13" s="22">
        <f t="shared" si="4"/>
        <v>18.424860035282308</v>
      </c>
      <c r="AM13" s="60">
        <f t="shared" si="5"/>
        <v>287.31374892417114</v>
      </c>
      <c r="AN13" s="60">
        <f ca="1">AVERAGE(OFFSET($AM$3,0,0,'Données projet'!$E$10+1,1))-AVERAGE(OFFSET($H$3,0,0,'Données projet'!$E$10+1,1))</f>
        <v>323.98185264074681</v>
      </c>
      <c r="AO13" s="60">
        <f t="shared" si="36"/>
        <v>301.22207291854005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1.6</v>
      </c>
      <c r="BD13" s="13">
        <f>IF('Données projet'!$A$88&gt;35,BD12+BC13-BL12,IF(A13&lt;'Données projet'!$A$88,$BA$205^A13,IF(A13='Données projet'!$A$88,'Données projet'!$B$88,BD12+BC13-BL12)))</f>
        <v>5.656854249492377</v>
      </c>
      <c r="BE13" s="14">
        <f>BD13*VLOOKUP('Données projet'!$B$11,Paramètres!$A$1:$I$89,3,0)*VLOOKUP('Données projet'!$B$11,Paramètres!$A$1:$I$89,5,0)</f>
        <v>4.8535809460644597</v>
      </c>
      <c r="BF13" s="14">
        <f t="shared" si="37"/>
        <v>1.8610442215994896</v>
      </c>
      <c r="BG13" s="22">
        <f t="shared" si="7"/>
        <v>11.694638833681379</v>
      </c>
      <c r="BH13" s="60">
        <f t="shared" si="8"/>
        <v>280.58352772257024</v>
      </c>
      <c r="BI13" s="60">
        <f ca="1">AVERAGE(OFFSET($BH$3,0,0,'Données projet'!$E$11+1,1))-AVERAGE(OFFSET($H$3,0,0,'Données projet'!$E$11+1,1))</f>
        <v>556.75475431848258</v>
      </c>
      <c r="BJ13" s="60">
        <f t="shared" si="38"/>
        <v>256.77417912163997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2.4933333333333332</v>
      </c>
      <c r="BY13" s="13">
        <f>IF('Données projet'!$A$114&gt;35,BY12+BX13-CG12,IF(A13&lt;'Données projet'!$A$114,$BV$205^A13,IF(A13='Données projet'!$A$114,'Données projet'!$B$114,BY12+BX13-CG12)))</f>
        <v>11.183585649298445</v>
      </c>
      <c r="BZ13" s="14">
        <f>BY13*VLOOKUP('Données projet'!$B$12,Paramètres!$A$1:$I$89,3,0)*VLOOKUP('Données projet'!$B$12,Paramètres!$A$1:$I$89,5,0)</f>
        <v>8.1998049980656198</v>
      </c>
      <c r="CA13" s="14">
        <f t="shared" si="39"/>
        <v>2.9579365856773014</v>
      </c>
      <c r="CB13" s="22">
        <f t="shared" si="10"/>
        <v>19.433066591685588</v>
      </c>
      <c r="CC13" s="60">
        <f t="shared" si="11"/>
        <v>288.32195548057445</v>
      </c>
      <c r="CD13" s="60">
        <f ca="1">AVERAGE(OFFSET($CC$3,0,0,'Données projet'!$E$12+1,1))-AVERAGE(OFFSET($H$3,0,0,'Données projet'!$E$12+1,1))</f>
        <v>290.68086183422963</v>
      </c>
      <c r="CE13" s="60">
        <f t="shared" si="40"/>
        <v>317.88330630101785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9</v>
      </c>
      <c r="CR13" s="13">
        <f>VLOOKUP(A13,'Données projet'!$A$139:$I$159,9,0)</f>
        <v>0.9</v>
      </c>
      <c r="CS13" s="13">
        <f t="array" ref="CS13">INDEX(CR:CR,MIN(IF(ISNUMBER(CR13:CR209),ROW(CR13:CR209),"")))</f>
        <v>0.9</v>
      </c>
      <c r="CT13" s="13">
        <f>IF('Données projet'!$A$140&gt;35,CT12+CS13-DB12,IF(A13&lt;'Données projet'!$A$140,$CQ$205^A13,IF(A13='Données projet'!$A$140,'Données projet'!$B$140,CT12+CS13-DB12)))</f>
        <v>9</v>
      </c>
      <c r="CU13" s="18">
        <f>CT13*VLOOKUP('Données projet'!$B$13,Paramètres!$A$1:$I$89,3,0)*VLOOKUP('Données projet'!$B$13,Paramètres!$A$1:$I$89,5,0)</f>
        <v>5.8967999999999998</v>
      </c>
      <c r="CV13" s="14">
        <f t="shared" si="41"/>
        <v>2.210389018649412</v>
      </c>
      <c r="CW13" s="22">
        <f t="shared" si="13"/>
        <v>14.120020874147725</v>
      </c>
      <c r="CX13" s="60">
        <f t="shared" si="14"/>
        <v>283.00890976303657</v>
      </c>
      <c r="CY13" s="60">
        <f ca="1">AVERAGE(OFFSET($CX$3,0,0,'Données projet'!$E$13+1,1))-AVERAGE(OFFSET($H$3,0,0,'Données projet'!$E$13+1,1))</f>
        <v>243.04319555814601</v>
      </c>
      <c r="CZ13" s="60">
        <f t="shared" si="42"/>
        <v>235.68746142880792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9.6666666666666661</v>
      </c>
      <c r="DO13" s="13">
        <f>IF('Données projet'!$A$166&gt;35,DO12+DN13-DW12,IF(A13&lt;'Données projet'!$A$166,$DL$205^A13,IF(A13='Données projet'!$A$166,'Données projet'!$B$166,DO12+DN13-DW12)))</f>
        <v>52.526886339207103</v>
      </c>
      <c r="DP13" s="18">
        <f>DO13*VLOOKUP('Données projet'!$B$14,Paramètres!$A$1:$I$89,3,0)*VLOOKUP('Données projet'!$B$14,Paramètres!$A$1:$I$89,5,0)</f>
        <v>28.679679941207077</v>
      </c>
      <c r="DQ13" s="14">
        <f t="shared" si="43"/>
        <v>8.9426187663684367</v>
      </c>
      <c r="DR13" s="22">
        <f t="shared" si="16"/>
        <v>65.525503582360685</v>
      </c>
      <c r="DS13" s="60">
        <f t="shared" si="17"/>
        <v>334.41439247124953</v>
      </c>
      <c r="DT13" s="60">
        <f ca="1">AVERAGE(OFFSET($DS$3,0,0,'Données projet'!$E$14+1,1))-AVERAGE(OFFSET($H$3,0,0,'Données projet'!$E$14+1,1))</f>
        <v>201.4732637505823</v>
      </c>
      <c r="DU13" s="60">
        <f t="shared" si="44"/>
        <v>342.06887933351783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7.4312217194570129</v>
      </c>
      <c r="EJ13" s="13">
        <f>IF('Données projet'!$A$192&gt;35,EJ12+EI13-ER12,IF(A13&lt;'Données projet'!$A$192,$EG$205^A13,IF(A13='Données projet'!$A$192,'Données projet'!$B$192,EJ12+EI13-ER12)))</f>
        <v>17.225897052240693</v>
      </c>
      <c r="EK13" s="18">
        <f>EJ13*VLOOKUP('Données projet'!$B$15,Paramètres!$A$1:$I$89,3,0)*VLOOKUP('Données projet'!$B$15,Paramètres!$A$1:$I$89,5,0)</f>
        <v>10.301086437239935</v>
      </c>
      <c r="EL13" s="14">
        <f t="shared" si="45"/>
        <v>3.6185577775542006</v>
      </c>
      <c r="EM13" s="22">
        <f t="shared" si="19"/>
        <v>24.243380340766453</v>
      </c>
      <c r="EN13" s="60">
        <f t="shared" si="20"/>
        <v>293.13226922965532</v>
      </c>
      <c r="EO13" s="60">
        <f ca="1">AVERAGE(OFFSET($EN$3,0,0,'Données projet'!$E$15+1,1))-AVERAGE(OFFSET($H$3,0,0,'Données projet'!$E$15+1,1))</f>
        <v>260.01925143568263</v>
      </c>
      <c r="EP13" s="60">
        <f t="shared" si="46"/>
        <v>269.95358755269427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9</v>
      </c>
      <c r="FC13" s="13">
        <f>VLOOKUP(A13,'Données projet'!$A$217:$I$237,9,0)</f>
        <v>0.9</v>
      </c>
      <c r="FD13" s="13">
        <f t="array" ref="FD13">INDEX(FC:FC,MIN(IF(ISNUMBER(FC13:FC209),ROW(FC13:FC209),"")))</f>
        <v>0.9</v>
      </c>
      <c r="FE13" s="13">
        <f>IF('Données projet'!$A$218&gt;35,FE12+FD13-FM12,IF(A13&lt;'Données projet'!$A$218,$FB$205^A13,IF(A13='Données projet'!$A$218,'Données projet'!$B$218,FE12+FD13-FM12)))</f>
        <v>9</v>
      </c>
      <c r="FF13" s="18">
        <f>FE13*VLOOKUP('Données projet'!$B$16,Paramètres!$A$1:$I$89,3,0)*VLOOKUP('Données projet'!$B$16,Paramètres!$A$1:$I$89,5,0)</f>
        <v>7.3007999999999997</v>
      </c>
      <c r="FG13" s="14">
        <f t="shared" si="47"/>
        <v>2.6694770761469542</v>
      </c>
      <c r="FH13" s="22">
        <f t="shared" si="22"/>
        <v>17.364899240955943</v>
      </c>
      <c r="FI13" s="60">
        <f t="shared" si="23"/>
        <v>286.25378812984479</v>
      </c>
      <c r="FJ13" s="60">
        <f ca="1">AVERAGE(OFFSET($FI$3,0,0,'Données projet'!$E$16+1,1))-AVERAGE(OFFSET($H$3,0,0,'Données projet'!$E$16+1,1))</f>
        <v>256.19915261735281</v>
      </c>
      <c r="FK13" s="60">
        <f t="shared" si="48"/>
        <v>297.47246687305056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6.179370629370629</v>
      </c>
      <c r="FZ13" s="13">
        <f>IF('Données projet'!$A$244&gt;35,FZ12+FY13-GH12,IF(A13&lt;'Données projet'!$A$244,$FW$205^A13,IF(A13='Données projet'!$A$244,'Données projet'!$B$244,FZ12+FY13-GH12)))</f>
        <v>9.3263613610341345</v>
      </c>
      <c r="GA13" s="18">
        <f>FZ13*VLOOKUP('Données projet'!$B$17,Paramètres!$A$1:$I$89,3,0)*VLOOKUP('Données projet'!$B$17,Paramètres!$A$1:$I$89,5,0)</f>
        <v>5.3346786985115253</v>
      </c>
      <c r="GB13" s="14">
        <f t="shared" si="49"/>
        <v>2.0231353104237648</v>
      </c>
      <c r="GC13" s="22">
        <f t="shared" si="25"/>
        <v>12.81485939889563</v>
      </c>
      <c r="GD13" s="60">
        <f t="shared" si="26"/>
        <v>281.70374828778449</v>
      </c>
      <c r="GE13" s="60">
        <f ca="1">AVERAGE(OFFSET($GD$3,0,0,'Données projet'!$E$17+1,1))-AVERAGE(OFFSET($H$3,0,0,'Données projet'!$E$17+1,1))</f>
        <v>268.71641789629319</v>
      </c>
      <c r="GF13" s="60">
        <f t="shared" si="50"/>
        <v>199.94048514486104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2.3805128205128203</v>
      </c>
      <c r="GU13" s="13">
        <f>IF('Données projet'!$A$270&gt;35,GU12+GT13-HC12,IF(A13&lt;'Données projet'!$A$270,$GR$205^A13,IF(A13='Données projet'!$A$270,'Données projet'!$B$270,GU12+GT13-HC12)))</f>
        <v>10.843625808385362</v>
      </c>
      <c r="GV13" s="18">
        <f>GU13*VLOOKUP('Données projet'!$B$18,Paramètres!$A$1:$I$89,3,0)*VLOOKUP('Données projet'!$B$18,Paramètres!$A$1:$I$89,5,0)</f>
        <v>6.4844882334144467</v>
      </c>
      <c r="GW13" s="14">
        <f t="shared" si="51"/>
        <v>2.4039500479922649</v>
      </c>
      <c r="GX13" s="22">
        <f t="shared" si="28"/>
        <v>15.480696673450021</v>
      </c>
      <c r="GY13" s="60">
        <f t="shared" si="29"/>
        <v>284.3695855623389</v>
      </c>
      <c r="GZ13" s="60">
        <f ca="1">AVERAGE(OFFSET($GY$3,0,0,'Données projet'!$E$18+1,1))-AVERAGE(OFFSET($H$3,0,0,'Données projet'!$E$18+1,1))</f>
        <v>289.12367833861299</v>
      </c>
      <c r="HA13" s="60">
        <f t="shared" si="52"/>
        <v>229.06617320689003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286.94092810276993</v>
      </c>
      <c r="S14" s="60">
        <f ca="1">AVERAGE(OFFSET($R$3,0,0,'Données projet'!$E$9+1,1))-AVERAGE(OFFSET($H$3,0,0,'Données projet'!$E$9+1,1))</f>
        <v>430.11660085503223</v>
      </c>
      <c r="T14" s="60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7.7987854251012134</v>
      </c>
      <c r="AI14" s="14">
        <f>IF('Données projet'!$A$62&gt;35,AI13+AH14-AQ13,IF(A14&lt;'Données projet'!$A$62,$AF$205^A14,IF(A14='Données projet'!$A$62,'Données projet'!$B$62,AI13+AH14-AQ13)))</f>
        <v>18.062077432272524</v>
      </c>
      <c r="AJ14" s="14">
        <f>AI14*VLOOKUP('Données projet'!$B$10,Paramètres!$A$1:$I$89,3,0)*VLOOKUP('Données projet'!$B$10,Paramètres!$A$1:$I$89,5,0)</f>
        <v>10.096701284640341</v>
      </c>
      <c r="AK14" s="14">
        <f t="shared" si="35"/>
        <v>3.5550447986697691</v>
      </c>
      <c r="AL14" s="22">
        <f t="shared" si="4"/>
        <v>23.776791095098442</v>
      </c>
      <c r="AM14" s="60">
        <f t="shared" si="5"/>
        <v>293.88790220620956</v>
      </c>
      <c r="AN14" s="60">
        <f ca="1">AVERAGE(OFFSET($AM$3,0,0,'Données projet'!$E$10+1,1))-AVERAGE(OFFSET($H$3,0,0,'Données projet'!$E$10+1,1))</f>
        <v>323.98185264074681</v>
      </c>
      <c r="AO14" s="60">
        <f t="shared" si="36"/>
        <v>301.22207291854005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1.6</v>
      </c>
      <c r="BD14" s="13">
        <f>IF('Données projet'!$A$88&gt;35,BD13+BC14-BL13,IF(A14&lt;'Données projet'!$A$88,$BA$205^A14,IF(A14='Données projet'!$A$88,'Données projet'!$B$88,BD13+BC14-BL13)))</f>
        <v>6.7271713220297125</v>
      </c>
      <c r="BE14" s="14">
        <f>BD14*VLOOKUP('Données projet'!$B$11,Paramètres!$A$1:$I$89,3,0)*VLOOKUP('Données projet'!$B$11,Paramètres!$A$1:$I$89,5,0)</f>
        <v>5.771912994301494</v>
      </c>
      <c r="BF14" s="14">
        <f t="shared" si="37"/>
        <v>2.1689733648366443</v>
      </c>
      <c r="BG14" s="22">
        <f t="shared" si="7"/>
        <v>13.830377075498925</v>
      </c>
      <c r="BH14" s="60">
        <f t="shared" si="8"/>
        <v>283.94148818661006</v>
      </c>
      <c r="BI14" s="60">
        <f ca="1">AVERAGE(OFFSET($BH$3,0,0,'Données projet'!$E$11+1,1))-AVERAGE(OFFSET($H$3,0,0,'Données projet'!$E$11+1,1))</f>
        <v>556.75475431848258</v>
      </c>
      <c r="BJ14" s="60">
        <f t="shared" si="38"/>
        <v>256.77417912163997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2.4933333333333332</v>
      </c>
      <c r="BY14" s="13">
        <f>IF('Données projet'!$A$114&gt;35,BY13+BX14-CG13,IF(A14&lt;'Données projet'!$A$114,$BV$205^A14,IF(A14='Données projet'!$A$114,'Données projet'!$B$114,BY13+BX14-CG13)))</f>
        <v>14.237678270776428</v>
      </c>
      <c r="BZ14" s="14">
        <f>BY14*VLOOKUP('Données projet'!$B$12,Paramètres!$A$1:$I$89,3,0)*VLOOKUP('Données projet'!$B$12,Paramètres!$A$1:$I$89,5,0)</f>
        <v>10.439065708133278</v>
      </c>
      <c r="CA14" s="14">
        <f t="shared" si="39"/>
        <v>3.6613519878009879</v>
      </c>
      <c r="CB14" s="22">
        <f t="shared" si="10"/>
        <v>24.558227487085514</v>
      </c>
      <c r="CC14" s="60">
        <f t="shared" si="11"/>
        <v>294.66933859819665</v>
      </c>
      <c r="CD14" s="60">
        <f ca="1">AVERAGE(OFFSET($CC$3,0,0,'Données projet'!$E$12+1,1))-AVERAGE(OFFSET($H$3,0,0,'Données projet'!$E$12+1,1))</f>
        <v>290.68086183422963</v>
      </c>
      <c r="CE14" s="60">
        <f t="shared" si="40"/>
        <v>317.88330630101785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5.6</v>
      </c>
      <c r="CT14" s="13">
        <f>IF('Données projet'!$A$140&gt;35,CT13+CS14-DB13,IF(A14&lt;'Données projet'!$A$140,$CQ$205^A14,IF(A14='Données projet'!$A$140,'Données projet'!$B$140,CT13+CS14-DB13)))</f>
        <v>14.6</v>
      </c>
      <c r="CU14" s="18">
        <f>CT14*VLOOKUP('Données projet'!$B$13,Paramètres!$A$1:$I$89,3,0)*VLOOKUP('Données projet'!$B$13,Paramètres!$A$1:$I$89,5,0)</f>
        <v>9.5659200000000002</v>
      </c>
      <c r="CV14" s="14">
        <f t="shared" si="41"/>
        <v>3.3893952488696248</v>
      </c>
      <c r="CW14" s="22">
        <f t="shared" si="13"/>
        <v>22.563840725114591</v>
      </c>
      <c r="CX14" s="60">
        <f t="shared" si="14"/>
        <v>292.67495183622572</v>
      </c>
      <c r="CY14" s="60">
        <f ca="1">AVERAGE(OFFSET($CX$3,0,0,'Données projet'!$E$13+1,1))-AVERAGE(OFFSET($H$3,0,0,'Données projet'!$E$13+1,1))</f>
        <v>243.04319555814601</v>
      </c>
      <c r="CZ14" s="60">
        <f t="shared" si="42"/>
        <v>235.68746142880792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9.6666666666666661</v>
      </c>
      <c r="DO14" s="13">
        <f>IF('Données projet'!$A$166&gt;35,DO13+DN14-DW13,IF(A14&lt;'Données projet'!$A$166,$DL$205^A14,IF(A14='Données projet'!$A$166,'Données projet'!$B$166,DO13+DN14-DW13)))</f>
        <v>78.058432057965561</v>
      </c>
      <c r="DP14" s="18">
        <f>DO14*VLOOKUP('Données projet'!$B$14,Paramètres!$A$1:$I$89,3,0)*VLOOKUP('Données projet'!$B$14,Paramètres!$A$1:$I$89,5,0)</f>
        <v>42.619903903649202</v>
      </c>
      <c r="DQ14" s="14">
        <f t="shared" si="43"/>
        <v>12.690468047849112</v>
      </c>
      <c r="DR14" s="22">
        <f t="shared" si="16"/>
        <v>96.332231148859549</v>
      </c>
      <c r="DS14" s="60">
        <f t="shared" si="17"/>
        <v>366.44334225997068</v>
      </c>
      <c r="DT14" s="60">
        <f ca="1">AVERAGE(OFFSET($DS$3,0,0,'Données projet'!$E$14+1,1))-AVERAGE(OFFSET($H$3,0,0,'Données projet'!$E$14+1,1))</f>
        <v>201.4732637505823</v>
      </c>
      <c r="DU14" s="60">
        <f t="shared" si="44"/>
        <v>342.06887933351783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7.4312217194570129</v>
      </c>
      <c r="EJ14" s="13">
        <f>IF('Données projet'!$A$192&gt;35,EJ13+EI14-ER13,IF(A14&lt;'Données projet'!$A$192,$EG$205^A14,IF(A14='Données projet'!$A$192,'Données projet'!$B$192,EJ13+EI14-ER13)))</f>
        <v>22.89813081553541</v>
      </c>
      <c r="EK14" s="18">
        <f>EJ14*VLOOKUP('Données projet'!$B$15,Paramètres!$A$1:$I$89,3,0)*VLOOKUP('Données projet'!$B$15,Paramètres!$A$1:$I$89,5,0)</f>
        <v>13.693082227690176</v>
      </c>
      <c r="EL14" s="14">
        <f t="shared" si="45"/>
        <v>4.6533373606794726</v>
      </c>
      <c r="EM14" s="22">
        <f t="shared" si="19"/>
        <v>31.953347449743802</v>
      </c>
      <c r="EN14" s="60">
        <f t="shared" si="20"/>
        <v>302.06445856085497</v>
      </c>
      <c r="EO14" s="60">
        <f ca="1">AVERAGE(OFFSET($EN$3,0,0,'Données projet'!$E$15+1,1))-AVERAGE(OFFSET($H$3,0,0,'Données projet'!$E$15+1,1))</f>
        <v>260.01925143568263</v>
      </c>
      <c r="EP14" s="60">
        <f t="shared" si="46"/>
        <v>269.95358755269427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8</v>
      </c>
      <c r="FE14" s="13">
        <f>IF('Données projet'!$A$218&gt;35,FE13+FD14-FM13,IF(A14&lt;'Données projet'!$A$218,$FB$205^A14,IF(A14='Données projet'!$A$218,'Données projet'!$B$218,FE13+FD14-FM13)))</f>
        <v>17</v>
      </c>
      <c r="FF14" s="18">
        <f>FE14*VLOOKUP('Données projet'!$B$16,Paramètres!$A$1:$I$89,3,0)*VLOOKUP('Données projet'!$B$16,Paramètres!$A$1:$I$89,5,0)</f>
        <v>13.7904</v>
      </c>
      <c r="FG14" s="14">
        <f t="shared" si="47"/>
        <v>4.6825473896592289</v>
      </c>
      <c r="FH14" s="22">
        <f t="shared" si="22"/>
        <v>32.173716703656488</v>
      </c>
      <c r="FI14" s="60">
        <f t="shared" si="23"/>
        <v>302.28482781476765</v>
      </c>
      <c r="FJ14" s="60">
        <f ca="1">AVERAGE(OFFSET($FI$3,0,0,'Données projet'!$E$16+1,1))-AVERAGE(OFFSET($H$3,0,0,'Données projet'!$E$16+1,1))</f>
        <v>256.19915261735281</v>
      </c>
      <c r="FK14" s="60">
        <f t="shared" si="48"/>
        <v>297.47246687305056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6.179370629370629</v>
      </c>
      <c r="FZ14" s="13">
        <f>IF('Données projet'!$A$244&gt;35,FZ13+FY14-GH13,IF(A14&lt;'Données projet'!$A$244,$FW$205^A14,IF(A14='Données projet'!$A$244,'Données projet'!$B$244,FZ13+FY14-GH13)))</f>
        <v>11.659594926332296</v>
      </c>
      <c r="GA14" s="18">
        <f>FZ14*VLOOKUP('Données projet'!$B$17,Paramètres!$A$1:$I$89,3,0)*VLOOKUP('Données projet'!$B$17,Paramètres!$A$1:$I$89,5,0)</f>
        <v>6.6692882978620736</v>
      </c>
      <c r="GB14" s="14">
        <f t="shared" si="49"/>
        <v>2.4643858326557893</v>
      </c>
      <c r="GC14" s="22">
        <f t="shared" si="25"/>
        <v>15.907815777318609</v>
      </c>
      <c r="GD14" s="60">
        <f t="shared" si="26"/>
        <v>286.01892688842975</v>
      </c>
      <c r="GE14" s="60">
        <f ca="1">AVERAGE(OFFSET($GD$3,0,0,'Données projet'!$E$17+1,1))-AVERAGE(OFFSET($H$3,0,0,'Données projet'!$E$17+1,1))</f>
        <v>268.71641789629319</v>
      </c>
      <c r="GF14" s="60">
        <f t="shared" si="50"/>
        <v>199.94048514486104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2.3805128205128203</v>
      </c>
      <c r="GU14" s="13">
        <f>IF('Données projet'!$A$270&gt;35,GU13+GT14-HC13,IF(A14&lt;'Données projet'!$A$270,$GR$205^A14,IF(A14='Données projet'!$A$270,'Données projet'!$B$270,GU13+GT14-HC13)))</f>
        <v>13.762330235503498</v>
      </c>
      <c r="GV14" s="18">
        <f>GU14*VLOOKUP('Données projet'!$B$18,Paramètres!$A$1:$I$89,3,0)*VLOOKUP('Données projet'!$B$18,Paramètres!$A$1:$I$89,5,0)</f>
        <v>8.2298734808310936</v>
      </c>
      <c r="GW14" s="14">
        <f t="shared" si="51"/>
        <v>2.9675186699572826</v>
      </c>
      <c r="GX14" s="22">
        <f t="shared" si="28"/>
        <v>19.502124662623089</v>
      </c>
      <c r="GY14" s="60">
        <f t="shared" si="29"/>
        <v>289.61323577373423</v>
      </c>
      <c r="GZ14" s="60">
        <f ca="1">AVERAGE(OFFSET($GY$3,0,0,'Données projet'!$E$18+1,1))-AVERAGE(OFFSET($H$3,0,0,'Données projet'!$E$18+1,1))</f>
        <v>289.12367833861299</v>
      </c>
      <c r="HA14" s="60">
        <f t="shared" si="52"/>
        <v>229.06617320689003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291.50424573777804</v>
      </c>
      <c r="S15" s="60">
        <f ca="1">AVERAGE(OFFSET($R$3,0,0,'Données projet'!$E$9+1,1))-AVERAGE(OFFSET($H$3,0,0,'Données projet'!$E$9+1,1))</f>
        <v>430.11660085503223</v>
      </c>
      <c r="T15" s="60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7.7987854251012134</v>
      </c>
      <c r="AI15" s="14">
        <f>IF('Données projet'!$A$62&gt;35,AI14+AH15-AQ14,IF(A15&lt;'Données projet'!$A$62,$AF$205^A15,IF(A15='Données projet'!$A$62,'Données projet'!$B$62,AI14+AH15-AQ14)))</f>
        <v>23.497372884242115</v>
      </c>
      <c r="AJ15" s="14">
        <f>AI15*VLOOKUP('Données projet'!$B$10,Paramètres!$A$1:$I$89,3,0)*VLOOKUP('Données projet'!$B$10,Paramètres!$A$1:$I$89,5,0)</f>
        <v>13.135031442291343</v>
      </c>
      <c r="AK15" s="14">
        <f t="shared" si="35"/>
        <v>4.4853651006518103</v>
      </c>
      <c r="AL15" s="22">
        <f t="shared" si="4"/>
        <v>30.688857312292658</v>
      </c>
      <c r="AM15" s="60">
        <f t="shared" si="5"/>
        <v>302.02219064562598</v>
      </c>
      <c r="AN15" s="60">
        <f ca="1">AVERAGE(OFFSET($AM$3,0,0,'Données projet'!$E$10+1,1))-AVERAGE(OFFSET($H$3,0,0,'Données projet'!$E$10+1,1))</f>
        <v>323.98185264074681</v>
      </c>
      <c r="AO15" s="60">
        <f t="shared" si="36"/>
        <v>301.22207291854005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1.6</v>
      </c>
      <c r="BD15" s="13">
        <f>IF('Données projet'!$A$88&gt;35,BD14+BC15-BL14,IF(A15&lt;'Données projet'!$A$88,$BA$205^A15,IF(A15='Données projet'!$A$88,'Données projet'!$B$88,BD14+BC15-BL14)))</f>
        <v>7.9999999999999947</v>
      </c>
      <c r="BE15" s="14">
        <f>BD15*VLOOKUP('Données projet'!$B$11,Paramètres!$A$1:$I$89,3,0)*VLOOKUP('Données projet'!$B$11,Paramètres!$A$1:$I$89,5,0)</f>
        <v>6.8639999999999963</v>
      </c>
      <c r="BF15" s="14">
        <f t="shared" si="37"/>
        <v>2.5278525909113112</v>
      </c>
      <c r="BG15" s="22">
        <f t="shared" si="7"/>
        <v>16.357476595837191</v>
      </c>
      <c r="BH15" s="60">
        <f t="shared" si="8"/>
        <v>287.69080992917048</v>
      </c>
      <c r="BI15" s="60">
        <f ca="1">AVERAGE(OFFSET($BH$3,0,0,'Données projet'!$E$11+1,1))-AVERAGE(OFFSET($H$3,0,0,'Données projet'!$E$11+1,1))</f>
        <v>556.75475431848258</v>
      </c>
      <c r="BJ15" s="60">
        <f t="shared" si="38"/>
        <v>256.77417912163997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2.4933333333333332</v>
      </c>
      <c r="BY15" s="13">
        <f>IF('Données projet'!$A$114&gt;35,BY14+BX15-CG14,IF(A15&lt;'Données projet'!$A$114,$BV$205^A15,IF(A15='Données projet'!$A$114,'Données projet'!$B$114,BY14+BX15-CG14)))</f>
        <v>18.125804093506943</v>
      </c>
      <c r="BZ15" s="14">
        <f>BY15*VLOOKUP('Données projet'!$B$12,Paramètres!$A$1:$I$89,3,0)*VLOOKUP('Données projet'!$B$12,Paramètres!$A$1:$I$89,5,0)</f>
        <v>13.28983956135929</v>
      </c>
      <c r="CA15" s="14">
        <f t="shared" si="39"/>
        <v>4.5320438725716254</v>
      </c>
      <c r="CB15" s="22">
        <f t="shared" si="10"/>
        <v>31.039780314096337</v>
      </c>
      <c r="CC15" s="60">
        <f t="shared" si="11"/>
        <v>302.37311364742965</v>
      </c>
      <c r="CD15" s="60">
        <f ca="1">AVERAGE(OFFSET($CC$3,0,0,'Données projet'!$E$12+1,1))-AVERAGE(OFFSET($H$3,0,0,'Données projet'!$E$12+1,1))</f>
        <v>290.68086183422963</v>
      </c>
      <c r="CE15" s="60">
        <f t="shared" si="40"/>
        <v>317.88330630101785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5.6</v>
      </c>
      <c r="CT15" s="13">
        <f>IF('Données projet'!$A$140&gt;35,CT14+CS15-DB14,IF(A15&lt;'Données projet'!$A$140,$CQ$205^A15,IF(A15='Données projet'!$A$140,'Données projet'!$B$140,CT14+CS15-DB14)))</f>
        <v>20.2</v>
      </c>
      <c r="CU15" s="18">
        <f>CT15*VLOOKUP('Données projet'!$B$13,Paramètres!$A$1:$I$89,3,0)*VLOOKUP('Données projet'!$B$13,Paramètres!$A$1:$I$89,5,0)</f>
        <v>13.23504</v>
      </c>
      <c r="CV15" s="14">
        <f t="shared" si="41"/>
        <v>4.5155276195383474</v>
      </c>
      <c r="CW15" s="22">
        <f t="shared" si="13"/>
        <v>30.915571937362625</v>
      </c>
      <c r="CX15" s="60">
        <f t="shared" si="14"/>
        <v>302.24890527069596</v>
      </c>
      <c r="CY15" s="60">
        <f ca="1">AVERAGE(OFFSET($CX$3,0,0,'Données projet'!$E$13+1,1))-AVERAGE(OFFSET($H$3,0,0,'Données projet'!$E$13+1,1))</f>
        <v>243.04319555814601</v>
      </c>
      <c r="CZ15" s="60">
        <f t="shared" si="42"/>
        <v>235.68746142880792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>
        <f>VLOOKUP(A15,'Données projet'!$A$165:$I$185,2,0)</f>
        <v>116</v>
      </c>
      <c r="DM15" s="13">
        <f>VLOOKUP(A15,'Données projet'!$A$165:$I$185,9,0)</f>
        <v>9.6666666666666661</v>
      </c>
      <c r="DN15" s="13">
        <f t="array" ref="DN15">INDEX(DM:DM,MIN(IF(ISNUMBER(DM15:DM211),ROW(DM15:DM211),"")))</f>
        <v>9.6666666666666661</v>
      </c>
      <c r="DO15" s="13">
        <f>IF('Données projet'!$A$166&gt;35,DO14+DN15-DW14,IF(A15&lt;'Données projet'!$A$166,$DL$205^A15,IF(A15='Données projet'!$A$166,'Données projet'!$B$166,DO14+DN15-DW14)))</f>
        <v>116</v>
      </c>
      <c r="DP15" s="18">
        <f>DO15*VLOOKUP('Données projet'!$B$14,Paramètres!$A$1:$I$89,3,0)*VLOOKUP('Données projet'!$B$14,Paramètres!$A$1:$I$89,5,0)</f>
        <v>63.335999999999999</v>
      </c>
      <c r="DQ15" s="14">
        <f t="shared" si="43"/>
        <v>18.009040022946227</v>
      </c>
      <c r="DR15" s="22">
        <f t="shared" si="16"/>
        <v>141.67594470663133</v>
      </c>
      <c r="DS15" s="60">
        <f t="shared" si="17"/>
        <v>413.00927803996467</v>
      </c>
      <c r="DT15" s="60">
        <f ca="1">AVERAGE(OFFSET($DS$3,0,0,'Données projet'!$E$14+1,1))-AVERAGE(OFFSET($H$3,0,0,'Données projet'!$E$14+1,1))</f>
        <v>201.4732637505823</v>
      </c>
      <c r="DU15" s="60">
        <f t="shared" si="44"/>
        <v>342.06887933351783</v>
      </c>
      <c r="DV15" s="16">
        <f>IF(ISNA(VLOOKUP(A15,'Données projet'!$A$165:$I$185,3,0)),0,VLOOKUP(A15,'Données projet'!$A$165:$I$185,3,0))</f>
        <v>1</v>
      </c>
      <c r="DW15" s="16">
        <f>IF(ISNA(VLOOKUP(A15,'Données projet'!$A$165:$I$185,4,0)),0,VLOOKUP(A15,'Données projet'!$A$165:$I$185,4,0))</f>
        <v>21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0.5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6.4910877617192284</v>
      </c>
      <c r="ED15" s="24">
        <f t="shared" si="18"/>
        <v>6.4910877617192284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7.4312217194570129</v>
      </c>
      <c r="EJ15" s="13">
        <f>IF('Données projet'!$A$192&gt;35,EJ14+EI15-ER14,IF(A15&lt;'Données projet'!$A$192,$EG$205^A15,IF(A15='Données projet'!$A$192,'Données projet'!$B$192,EJ14+EI15-ER14)))</f>
        <v>30.438147473844893</v>
      </c>
      <c r="EK15" s="18">
        <f>EJ15*VLOOKUP('Données projet'!$B$15,Paramètres!$A$1:$I$89,3,0)*VLOOKUP('Données projet'!$B$15,Paramètres!$A$1:$I$89,5,0)</f>
        <v>18.202012189359248</v>
      </c>
      <c r="EL15" s="14">
        <f t="shared" si="45"/>
        <v>5.984027317903192</v>
      </c>
      <c r="EM15" s="22">
        <f t="shared" si="19"/>
        <v>42.124018808482084</v>
      </c>
      <c r="EN15" s="60">
        <f t="shared" si="20"/>
        <v>313.45735214181542</v>
      </c>
      <c r="EO15" s="60">
        <f ca="1">AVERAGE(OFFSET($EN$3,0,0,'Données projet'!$E$15+1,1))-AVERAGE(OFFSET($H$3,0,0,'Données projet'!$E$15+1,1))</f>
        <v>260.01925143568263</v>
      </c>
      <c r="EP15" s="60">
        <f t="shared" si="46"/>
        <v>269.95358755269427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8</v>
      </c>
      <c r="FE15" s="13">
        <f>IF('Données projet'!$A$218&gt;35,FE14+FD15-FM14,IF(A15&lt;'Données projet'!$A$218,$FB$205^A15,IF(A15='Données projet'!$A$218,'Données projet'!$B$218,FE14+FD15-FM14)))</f>
        <v>25</v>
      </c>
      <c r="FF15" s="18">
        <f>FE15*VLOOKUP('Données projet'!$B$16,Paramètres!$A$1:$I$89,3,0)*VLOOKUP('Données projet'!$B$16,Paramètres!$A$1:$I$89,5,0)</f>
        <v>20.28</v>
      </c>
      <c r="FG15" s="14">
        <f t="shared" si="47"/>
        <v>6.5838102554415308</v>
      </c>
      <c r="FH15" s="22">
        <f t="shared" si="22"/>
        <v>46.787802861560664</v>
      </c>
      <c r="FI15" s="60">
        <f t="shared" si="23"/>
        <v>318.12113619489401</v>
      </c>
      <c r="FJ15" s="60">
        <f ca="1">AVERAGE(OFFSET($FI$3,0,0,'Données projet'!$E$16+1,1))-AVERAGE(OFFSET($H$3,0,0,'Données projet'!$E$16+1,1))</f>
        <v>256.19915261735281</v>
      </c>
      <c r="FK15" s="60">
        <f t="shared" si="48"/>
        <v>297.47246687305056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6.179370629370629</v>
      </c>
      <c r="FZ15" s="13">
        <f>IF('Données projet'!$A$244&gt;35,FZ14+FY15-GH14,IF(A15&lt;'Données projet'!$A$244,$FW$205^A15,IF(A15='Données projet'!$A$244,'Données projet'!$B$244,FZ14+FY15-GH14)))</f>
        <v>14.576547978737091</v>
      </c>
      <c r="GA15" s="18">
        <f>FZ15*VLOOKUP('Données projet'!$B$17,Paramètres!$A$1:$I$89,3,0)*VLOOKUP('Données projet'!$B$17,Paramètres!$A$1:$I$89,5,0)</f>
        <v>8.3377854438376158</v>
      </c>
      <c r="GB15" s="14">
        <f t="shared" si="49"/>
        <v>3.001874121272925</v>
      </c>
      <c r="GC15" s="22">
        <f t="shared" si="25"/>
        <v>19.749907075900857</v>
      </c>
      <c r="GD15" s="60">
        <f t="shared" si="26"/>
        <v>291.08324040923418</v>
      </c>
      <c r="GE15" s="60">
        <f ca="1">AVERAGE(OFFSET($GD$3,0,0,'Données projet'!$E$17+1,1))-AVERAGE(OFFSET($H$3,0,0,'Données projet'!$E$17+1,1))</f>
        <v>268.71641789629319</v>
      </c>
      <c r="GF15" s="60">
        <f t="shared" si="50"/>
        <v>199.94048514486104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2.3805128205128203</v>
      </c>
      <c r="GU15" s="13">
        <f>IF('Données projet'!$A$270&gt;35,GU14+GT15-HC14,IF(A15&lt;'Données projet'!$A$270,$GR$205^A15,IF(A15='Données projet'!$A$270,'Données projet'!$B$270,GU14+GT15-HC14)))</f>
        <v>17.466642325908158</v>
      </c>
      <c r="GV15" s="18">
        <f>GU15*VLOOKUP('Données projet'!$B$18,Paramètres!$A$1:$I$89,3,0)*VLOOKUP('Données projet'!$B$18,Paramètres!$A$1:$I$89,5,0)</f>
        <v>10.44505211089308</v>
      </c>
      <c r="GW15" s="14">
        <f t="shared" si="51"/>
        <v>3.6632071718377808</v>
      </c>
      <c r="GX15" s="22">
        <f t="shared" si="28"/>
        <v>24.571884917422917</v>
      </c>
      <c r="GY15" s="60">
        <f t="shared" si="29"/>
        <v>295.90521825075621</v>
      </c>
      <c r="GZ15" s="60">
        <f ca="1">AVERAGE(OFFSET($GY$3,0,0,'Données projet'!$E$18+1,1))-AVERAGE(OFFSET($H$3,0,0,'Données projet'!$E$18+1,1))</f>
        <v>289.12367833861299</v>
      </c>
      <c r="HA15" s="60">
        <f t="shared" si="52"/>
        <v>229.06617320689003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296.73306974060051</v>
      </c>
      <c r="S16" s="60">
        <f ca="1">AVERAGE(OFFSET($R$3,0,0,'Données projet'!$E$9+1,1))-AVERAGE(OFFSET($H$3,0,0,'Données projet'!$E$9+1,1))</f>
        <v>430.11660085503223</v>
      </c>
      <c r="T16" s="60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7.7987854251012134</v>
      </c>
      <c r="AI16" s="14">
        <f>IF('Données projet'!$A$62&gt;35,AI15+AH16-AQ15,IF(A16&lt;'Données projet'!$A$62,$AF$205^A16,IF(A16='Données projet'!$A$62,'Données projet'!$B$62,AI15+AH16-AQ15)))</f>
        <v>30.56827402780376</v>
      </c>
      <c r="AJ16" s="14">
        <f>AI16*VLOOKUP('Données projet'!$B$10,Paramètres!$A$1:$I$89,3,0)*VLOOKUP('Données projet'!$B$10,Paramètres!$A$1:$I$89,5,0)</f>
        <v>17.087665181542302</v>
      </c>
      <c r="AK16" s="14">
        <f t="shared" si="35"/>
        <v>5.6591410869627277</v>
      </c>
      <c r="AL16" s="22">
        <f t="shared" si="4"/>
        <v>39.617354250979595</v>
      </c>
      <c r="AM16" s="60">
        <f t="shared" si="5"/>
        <v>312.17290980653513</v>
      </c>
      <c r="AN16" s="60">
        <f ca="1">AVERAGE(OFFSET($AM$3,0,0,'Données projet'!$E$10+1,1))-AVERAGE(OFFSET($H$3,0,0,'Données projet'!$E$10+1,1))</f>
        <v>323.98185264074681</v>
      </c>
      <c r="AO16" s="60">
        <f t="shared" si="36"/>
        <v>301.22207291854005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1.6</v>
      </c>
      <c r="BD16" s="13">
        <f>IF('Données projet'!$A$88&gt;35,BD15+BC16-BL15,IF(A16&lt;'Données projet'!$A$88,$BA$205^A16,IF(A16='Données projet'!$A$88,'Données projet'!$B$88,BD15+BC16-BL15)))</f>
        <v>9.5136569200217629</v>
      </c>
      <c r="BE16" s="14">
        <f>BD16*VLOOKUP('Données projet'!$B$11,Paramètres!$A$1:$I$89,3,0)*VLOOKUP('Données projet'!$B$11,Paramètres!$A$1:$I$89,5,0)</f>
        <v>8.1627176373786732</v>
      </c>
      <c r="BF16" s="14">
        <f t="shared" si="37"/>
        <v>2.946112121509751</v>
      </c>
      <c r="BG16" s="22">
        <f t="shared" si="7"/>
        <v>19.347878496730672</v>
      </c>
      <c r="BH16" s="60">
        <f t="shared" si="8"/>
        <v>291.90343405228623</v>
      </c>
      <c r="BI16" s="60">
        <f ca="1">AVERAGE(OFFSET($BH$3,0,0,'Données projet'!$E$11+1,1))-AVERAGE(OFFSET($H$3,0,0,'Données projet'!$E$11+1,1))</f>
        <v>556.75475431848258</v>
      </c>
      <c r="BJ16" s="60">
        <f t="shared" si="38"/>
        <v>256.77417912163997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2.4933333333333332</v>
      </c>
      <c r="BY16" s="13">
        <f>IF('Données projet'!$A$114&gt;35,BY15+BX16-CG15,IF(A16&lt;'Données projet'!$A$114,$BV$205^A16,IF(A16='Données projet'!$A$114,'Données projet'!$B$114,BY15+BX16-CG15)))</f>
        <v>23.075726799540639</v>
      </c>
      <c r="BZ16" s="14">
        <f>BY16*VLOOKUP('Données projet'!$B$12,Paramètres!$A$1:$I$89,3,0)*VLOOKUP('Données projet'!$B$12,Paramètres!$A$1:$I$89,5,0)</f>
        <v>16.919122889423196</v>
      </c>
      <c r="CA16" s="14">
        <f t="shared" si="39"/>
        <v>5.6097916101341596</v>
      </c>
      <c r="CB16" s="22">
        <f t="shared" si="10"/>
        <v>39.237859420062392</v>
      </c>
      <c r="CC16" s="60">
        <f t="shared" si="11"/>
        <v>311.79341497561791</v>
      </c>
      <c r="CD16" s="60">
        <f ca="1">AVERAGE(OFFSET($CC$3,0,0,'Données projet'!$E$12+1,1))-AVERAGE(OFFSET($H$3,0,0,'Données projet'!$E$12+1,1))</f>
        <v>290.68086183422963</v>
      </c>
      <c r="CE16" s="60">
        <f t="shared" si="40"/>
        <v>317.88330630101785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5.6</v>
      </c>
      <c r="CT16" s="13">
        <f>IF('Données projet'!$A$140&gt;35,CT15+CS16-DB15,IF(A16&lt;'Données projet'!$A$140,$CQ$205^A16,IF(A16='Données projet'!$A$140,'Données projet'!$B$140,CT15+CS16-DB15)))</f>
        <v>25.799999999999997</v>
      </c>
      <c r="CU16" s="18">
        <f>CT16*VLOOKUP('Données projet'!$B$13,Paramètres!$A$1:$I$89,3,0)*VLOOKUP('Données projet'!$B$13,Paramètres!$A$1:$I$89,5,0)</f>
        <v>16.904159999999997</v>
      </c>
      <c r="CV16" s="14">
        <f t="shared" si="41"/>
        <v>5.6054076921798863</v>
      </c>
      <c r="CW16" s="22">
        <f t="shared" si="13"/>
        <v>39.204163730546632</v>
      </c>
      <c r="CX16" s="60">
        <f t="shared" si="14"/>
        <v>311.75971928610215</v>
      </c>
      <c r="CY16" s="60">
        <f ca="1">AVERAGE(OFFSET($CX$3,0,0,'Données projet'!$E$13+1,1))-AVERAGE(OFFSET($H$3,0,0,'Données projet'!$E$13+1,1))</f>
        <v>243.04319555814601</v>
      </c>
      <c r="CZ16" s="60">
        <f t="shared" si="42"/>
        <v>235.68746142880792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24.333333333333332</v>
      </c>
      <c r="DO16" s="13">
        <f>IF('Données projet'!$A$166&gt;35,DO15+DN16-DW15,IF(A16&lt;'Données projet'!$A$166,$DL$205^A16,IF(A16='Données projet'!$A$166,'Données projet'!$B$166,DO15+DN16-DW15)))</f>
        <v>119.33333333333334</v>
      </c>
      <c r="DP16" s="18">
        <f>DO16*VLOOKUP('Données projet'!$B$14,Paramètres!$A$1:$I$89,3,0)*VLOOKUP('Données projet'!$B$14,Paramètres!$A$1:$I$89,5,0)</f>
        <v>65.156000000000006</v>
      </c>
      <c r="DQ16" s="14">
        <f t="shared" si="43"/>
        <v>18.465547360043153</v>
      </c>
      <c r="DR16" s="22">
        <f t="shared" si="16"/>
        <v>145.64086165207519</v>
      </c>
      <c r="DS16" s="60">
        <f t="shared" si="17"/>
        <v>418.1964172076307</v>
      </c>
      <c r="DT16" s="60">
        <f ca="1">AVERAGE(OFFSET($DS$3,0,0,'Données projet'!$E$14+1,1))-AVERAGE(OFFSET($H$3,0,0,'Données projet'!$E$14+1,1))</f>
        <v>201.4732637505823</v>
      </c>
      <c r="DU16" s="60">
        <f t="shared" si="44"/>
        <v>342.06887933351783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4.5898921735886749</v>
      </c>
      <c r="ED16" s="24">
        <f t="shared" si="18"/>
        <v>4.5898921735886749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7.4312217194570129</v>
      </c>
      <c r="EJ16" s="13">
        <f>IF('Données projet'!$A$192&gt;35,EJ15+EI16-ER15,IF(A16&lt;'Données projet'!$A$192,$EG$205^A16,IF(A16='Données projet'!$A$192,'Données projet'!$B$192,EJ15+EI16-ER15)))</f>
        <v>40.460980378841768</v>
      </c>
      <c r="EK16" s="18">
        <f>EJ16*VLOOKUP('Données projet'!$B$15,Paramètres!$A$1:$I$89,3,0)*VLOOKUP('Données projet'!$B$15,Paramètres!$A$1:$I$89,5,0)</f>
        <v>24.195666266547377</v>
      </c>
      <c r="EL16" s="14">
        <f t="shared" si="45"/>
        <v>7.6952475537219458</v>
      </c>
      <c r="EM16" s="22">
        <f t="shared" si="19"/>
        <v>55.543341570302402</v>
      </c>
      <c r="EN16" s="60">
        <f t="shared" si="20"/>
        <v>328.09889712585795</v>
      </c>
      <c r="EO16" s="60">
        <f ca="1">AVERAGE(OFFSET($EN$3,0,0,'Données projet'!$E$15+1,1))-AVERAGE(OFFSET($H$3,0,0,'Données projet'!$E$15+1,1))</f>
        <v>260.01925143568263</v>
      </c>
      <c r="EP16" s="60">
        <f t="shared" si="46"/>
        <v>269.95358755269427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8</v>
      </c>
      <c r="FE16" s="13">
        <f>IF('Données projet'!$A$218&gt;35,FE15+FD16-FM15,IF(A16&lt;'Données projet'!$A$218,$FB$205^A16,IF(A16='Données projet'!$A$218,'Données projet'!$B$218,FE15+FD16-FM15)))</f>
        <v>33</v>
      </c>
      <c r="FF16" s="18">
        <f>FE16*VLOOKUP('Données projet'!$B$16,Paramètres!$A$1:$I$89,3,0)*VLOOKUP('Données projet'!$B$16,Paramètres!$A$1:$I$89,5,0)</f>
        <v>26.769600000000001</v>
      </c>
      <c r="FG16" s="14">
        <f t="shared" si="47"/>
        <v>8.4142697673415618</v>
      </c>
      <c r="FH16" s="22">
        <f t="shared" si="22"/>
        <v>61.278573178119878</v>
      </c>
      <c r="FI16" s="60">
        <f t="shared" si="23"/>
        <v>333.83412873367541</v>
      </c>
      <c r="FJ16" s="60">
        <f ca="1">AVERAGE(OFFSET($FI$3,0,0,'Données projet'!$E$16+1,1))-AVERAGE(OFFSET($H$3,0,0,'Données projet'!$E$16+1,1))</f>
        <v>256.19915261735281</v>
      </c>
      <c r="FK16" s="60">
        <f t="shared" si="48"/>
        <v>297.47246687305056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6.179370629370629</v>
      </c>
      <c r="FZ16" s="13">
        <f>IF('Données projet'!$A$244&gt;35,FZ15+FY16-GH15,IF(A16&lt;'Données projet'!$A$244,$FW$205^A16,IF(A16='Données projet'!$A$244,'Données projet'!$B$244,FZ15+FY16-GH15)))</f>
        <v>18.223253236402261</v>
      </c>
      <c r="GA16" s="18">
        <f>FZ16*VLOOKUP('Données projet'!$B$17,Paramètres!$A$1:$I$89,3,0)*VLOOKUP('Données projet'!$B$17,Paramètres!$A$1:$I$89,5,0)</f>
        <v>10.423700851222092</v>
      </c>
      <c r="GB16" s="14">
        <f t="shared" si="49"/>
        <v>3.656589857220923</v>
      </c>
      <c r="GC16" s="22">
        <f t="shared" si="25"/>
        <v>24.523172983871586</v>
      </c>
      <c r="GD16" s="60">
        <f t="shared" si="26"/>
        <v>297.07872853942712</v>
      </c>
      <c r="GE16" s="60">
        <f ca="1">AVERAGE(OFFSET($GD$3,0,0,'Données projet'!$E$17+1,1))-AVERAGE(OFFSET($H$3,0,0,'Données projet'!$E$17+1,1))</f>
        <v>268.71641789629319</v>
      </c>
      <c r="GF16" s="60">
        <f t="shared" si="50"/>
        <v>199.94048514486104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2.3805128205128203</v>
      </c>
      <c r="GU16" s="13">
        <f>IF('Données projet'!$A$270&gt;35,GU15+GT16-HC15,IF(A16&lt;'Données projet'!$A$270,$GR$205^A16,IF(A16='Données projet'!$A$270,'Données projet'!$B$270,GU15+GT16-HC15)))</f>
        <v>22.168018709081991</v>
      </c>
      <c r="GV16" s="18">
        <f>GU16*VLOOKUP('Données projet'!$B$18,Paramètres!$A$1:$I$89,3,0)*VLOOKUP('Données projet'!$B$18,Paramètres!$A$1:$I$89,5,0)</f>
        <v>13.256475188031033</v>
      </c>
      <c r="GW16" s="14">
        <f t="shared" si="51"/>
        <v>4.5219890003242735</v>
      </c>
      <c r="GX16" s="22">
        <f t="shared" si="28"/>
        <v>30.964158461385495</v>
      </c>
      <c r="GY16" s="60">
        <f t="shared" si="29"/>
        <v>303.51971401694107</v>
      </c>
      <c r="GZ16" s="60">
        <f ca="1">AVERAGE(OFFSET($GY$3,0,0,'Données projet'!$E$18+1,1))-AVERAGE(OFFSET($H$3,0,0,'Données projet'!$E$18+1,1))</f>
        <v>289.12367833861299</v>
      </c>
      <c r="HA16" s="60">
        <f t="shared" si="52"/>
        <v>229.06617320689003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302.76037439017989</v>
      </c>
      <c r="S17" s="60">
        <f ca="1">AVERAGE(OFFSET($R$3,0,0,'Données projet'!$E$9+1,1))-AVERAGE(OFFSET($H$3,0,0,'Données projet'!$E$9+1,1))</f>
        <v>430.11660085503223</v>
      </c>
      <c r="T17" s="60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7.7987854251012134</v>
      </c>
      <c r="AI17" s="14">
        <f>IF('Données projet'!$A$62&gt;35,AI16+AH17-AQ16,IF(A17&lt;'Données projet'!$A$62,$AF$205^A17,IF(A17='Données projet'!$A$62,'Données projet'!$B$62,AI16+AH17-AQ16)))</f>
        <v>39.766972318234998</v>
      </c>
      <c r="AJ17" s="14">
        <f>AI17*VLOOKUP('Données projet'!$B$10,Paramètres!$A$1:$I$89,3,0)*VLOOKUP('Données projet'!$B$10,Paramètres!$A$1:$I$89,5,0)</f>
        <v>22.229737525893363</v>
      </c>
      <c r="AK17" s="14">
        <f t="shared" si="35"/>
        <v>7.1400827186834128</v>
      </c>
      <c r="AL17" s="22">
        <f t="shared" si="4"/>
        <v>51.152436925971216</v>
      </c>
      <c r="AM17" s="60">
        <f t="shared" si="5"/>
        <v>324.93021470374902</v>
      </c>
      <c r="AN17" s="60">
        <f ca="1">AVERAGE(OFFSET($AM$3,0,0,'Données projet'!$E$10+1,1))-AVERAGE(OFFSET($H$3,0,0,'Données projet'!$E$10+1,1))</f>
        <v>323.98185264074681</v>
      </c>
      <c r="AO17" s="60">
        <f t="shared" si="36"/>
        <v>301.22207291854005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1.6</v>
      </c>
      <c r="BD17" s="13">
        <f>IF('Données projet'!$A$88&gt;35,BD16+BC17-BL16,IF(A17&lt;'Données projet'!$A$88,$BA$205^A17,IF(A17='Données projet'!$A$88,'Données projet'!$B$88,BD16+BC17-BL16)))</f>
        <v>11.313708498984752</v>
      </c>
      <c r="BE17" s="14">
        <f>BD17*VLOOKUP('Données projet'!$B$11,Paramètres!$A$1:$I$89,3,0)*VLOOKUP('Données projet'!$B$11,Paramètres!$A$1:$I$89,5,0)</f>
        <v>9.7071618921289176</v>
      </c>
      <c r="BF17" s="14">
        <f t="shared" si="37"/>
        <v>3.433577046269785</v>
      </c>
      <c r="BG17" s="22">
        <f t="shared" si="7"/>
        <v>22.886786984377736</v>
      </c>
      <c r="BH17" s="60">
        <f t="shared" si="8"/>
        <v>296.66456476215552</v>
      </c>
      <c r="BI17" s="60">
        <f ca="1">AVERAGE(OFFSET($BH$3,0,0,'Données projet'!$E$11+1,1))-AVERAGE(OFFSET($H$3,0,0,'Données projet'!$E$11+1,1))</f>
        <v>556.75475431848258</v>
      </c>
      <c r="BJ17" s="60">
        <f t="shared" si="38"/>
        <v>256.77417912163997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2.4933333333333332</v>
      </c>
      <c r="BY17" s="13">
        <f>IF('Données projet'!$A$114&gt;35,BY16+BX17-CG16,IF(A17&lt;'Données projet'!$A$114,$BV$205^A17,IF(A17='Données projet'!$A$114,'Données projet'!$B$114,BY16+BX17-CG16)))</f>
        <v>29.37740938719443</v>
      </c>
      <c r="BZ17" s="14">
        <f>BY17*VLOOKUP('Données projet'!$B$12,Paramètres!$A$1:$I$89,3,0)*VLOOKUP('Données projet'!$B$12,Paramètres!$A$1:$I$89,5,0)</f>
        <v>21.539516562690956</v>
      </c>
      <c r="CA17" s="14">
        <f t="shared" si="39"/>
        <v>6.9438343480277602</v>
      </c>
      <c r="CB17" s="22">
        <f t="shared" si="10"/>
        <v>49.608502836168434</v>
      </c>
      <c r="CC17" s="60">
        <f t="shared" si="11"/>
        <v>323.38628061394621</v>
      </c>
      <c r="CD17" s="60">
        <f ca="1">AVERAGE(OFFSET($CC$3,0,0,'Données projet'!$E$12+1,1))-AVERAGE(OFFSET($H$3,0,0,'Données projet'!$E$12+1,1))</f>
        <v>290.68086183422963</v>
      </c>
      <c r="CE17" s="60">
        <f t="shared" si="40"/>
        <v>317.88330630101785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5.6</v>
      </c>
      <c r="CT17" s="13">
        <f>IF('Données projet'!$A$140&gt;35,CT16+CS17-DB16,IF(A17&lt;'Données projet'!$A$140,$CQ$205^A17,IF(A17='Données projet'!$A$140,'Données projet'!$B$140,CT16+CS17-DB16)))</f>
        <v>31.4</v>
      </c>
      <c r="CU17" s="18">
        <f>CT17*VLOOKUP('Données projet'!$B$13,Paramètres!$A$1:$I$89,3,0)*VLOOKUP('Données projet'!$B$13,Paramètres!$A$1:$I$89,5,0)</f>
        <v>20.57328</v>
      </c>
      <c r="CV17" s="14">
        <f t="shared" si="41"/>
        <v>6.6678691706770401</v>
      </c>
      <c r="CW17" s="22">
        <f t="shared" si="13"/>
        <v>47.445001472262504</v>
      </c>
      <c r="CX17" s="60">
        <f t="shared" si="14"/>
        <v>321.22277925004028</v>
      </c>
      <c r="CY17" s="60">
        <f ca="1">AVERAGE(OFFSET($CX$3,0,0,'Données projet'!$E$13+1,1))-AVERAGE(OFFSET($H$3,0,0,'Données projet'!$E$13+1,1))</f>
        <v>243.04319555814601</v>
      </c>
      <c r="CZ17" s="60">
        <f t="shared" si="42"/>
        <v>235.68746142880792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24.333333333333332</v>
      </c>
      <c r="DO17" s="13">
        <f>IF('Données projet'!$A$166&gt;35,DO16+DN17-DW16,IF(A17&lt;'Données projet'!$A$166,$DL$205^A17,IF(A17='Données projet'!$A$166,'Données projet'!$B$166,DO16+DN17-DW16)))</f>
        <v>143.66666666666669</v>
      </c>
      <c r="DP17" s="18">
        <f>DO17*VLOOKUP('Données projet'!$B$14,Paramètres!$A$1:$I$89,3,0)*VLOOKUP('Données projet'!$B$14,Paramètres!$A$1:$I$89,5,0)</f>
        <v>78.442000000000007</v>
      </c>
      <c r="DQ17" s="14">
        <f t="shared" si="43"/>
        <v>21.755810093736013</v>
      </c>
      <c r="DR17" s="22">
        <f t="shared" si="16"/>
        <v>174.5111859132569</v>
      </c>
      <c r="DS17" s="60">
        <f t="shared" si="17"/>
        <v>448.28896369103467</v>
      </c>
      <c r="DT17" s="60">
        <f ca="1">AVERAGE(OFFSET($DS$3,0,0,'Données projet'!$E$14+1,1))-AVERAGE(OFFSET($H$3,0,0,'Données projet'!$E$14+1,1))</f>
        <v>201.4732637505823</v>
      </c>
      <c r="DU17" s="60">
        <f t="shared" si="44"/>
        <v>342.06887933351783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3.2455438808596142</v>
      </c>
      <c r="ED17" s="24">
        <f t="shared" si="18"/>
        <v>3.2455438808596142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7.4312217194570129</v>
      </c>
      <c r="EJ17" s="13">
        <f>IF('Données projet'!$A$192&gt;35,EJ16+EI17-ER16,IF(A17&lt;'Données projet'!$A$192,$EG$205^A17,IF(A17='Données projet'!$A$192,'Données projet'!$B$192,EJ16+EI17-ER16)))</f>
        <v>53.784184291233551</v>
      </c>
      <c r="EK17" s="18">
        <f>EJ17*VLOOKUP('Données projet'!$B$15,Paramètres!$A$1:$I$89,3,0)*VLOOKUP('Données projet'!$B$15,Paramètres!$A$1:$I$89,5,0)</f>
        <v>32.162942206157666</v>
      </c>
      <c r="EL17" s="14">
        <f t="shared" si="45"/>
        <v>9.8958162734145461</v>
      </c>
      <c r="EM17" s="22">
        <f t="shared" si="19"/>
        <v>73.252337685254929</v>
      </c>
      <c r="EN17" s="60">
        <f t="shared" si="20"/>
        <v>347.0301154630327</v>
      </c>
      <c r="EO17" s="60">
        <f ca="1">AVERAGE(OFFSET($EN$3,0,0,'Données projet'!$E$15+1,1))-AVERAGE(OFFSET($H$3,0,0,'Données projet'!$E$15+1,1))</f>
        <v>260.01925143568263</v>
      </c>
      <c r="EP17" s="60">
        <f t="shared" si="46"/>
        <v>269.95358755269427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8</v>
      </c>
      <c r="FE17" s="13">
        <f>IF('Données projet'!$A$218&gt;35,FE16+FD17-FM16,IF(A17&lt;'Données projet'!$A$218,$FB$205^A17,IF(A17='Données projet'!$A$218,'Données projet'!$B$218,FE16+FD17-FM16)))</f>
        <v>41</v>
      </c>
      <c r="FF17" s="18">
        <f>FE17*VLOOKUP('Données projet'!$B$16,Paramètres!$A$1:$I$89,3,0)*VLOOKUP('Données projet'!$B$16,Paramètres!$A$1:$I$89,5,0)</f>
        <v>33.2592</v>
      </c>
      <c r="FG17" s="14">
        <f t="shared" si="47"/>
        <v>10.193265358024187</v>
      </c>
      <c r="FH17" s="22">
        <f t="shared" si="22"/>
        <v>75.679710498558791</v>
      </c>
      <c r="FI17" s="60">
        <f t="shared" si="23"/>
        <v>349.45748827633656</v>
      </c>
      <c r="FJ17" s="60">
        <f ca="1">AVERAGE(OFFSET($FI$3,0,0,'Données projet'!$E$16+1,1))-AVERAGE(OFFSET($H$3,0,0,'Données projet'!$E$16+1,1))</f>
        <v>256.19915261735281</v>
      </c>
      <c r="FK17" s="60">
        <f t="shared" si="48"/>
        <v>297.47246687305056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6.179370629370629</v>
      </c>
      <c r="FZ17" s="13">
        <f>IF('Données projet'!$A$244&gt;35,FZ16+FY17-GH16,IF(A17&lt;'Données projet'!$A$244,$FW$205^A17,IF(A17='Données projet'!$A$244,'Données projet'!$B$244,FZ16+FY17-GH16)))</f>
        <v>22.782277326734896</v>
      </c>
      <c r="GA17" s="18">
        <f>FZ17*VLOOKUP('Données projet'!$B$17,Paramètres!$A$1:$I$89,3,0)*VLOOKUP('Données projet'!$B$17,Paramètres!$A$1:$I$89,5,0)</f>
        <v>13.031462630892362</v>
      </c>
      <c r="GB17" s="14">
        <f t="shared" si="49"/>
        <v>4.4541006197359136</v>
      </c>
      <c r="GC17" s="22">
        <f t="shared" si="25"/>
        <v>30.454022661510908</v>
      </c>
      <c r="GD17" s="60">
        <f t="shared" si="26"/>
        <v>304.23180043928869</v>
      </c>
      <c r="GE17" s="60">
        <f ca="1">AVERAGE(OFFSET($GD$3,0,0,'Données projet'!$E$17+1,1))-AVERAGE(OFFSET($H$3,0,0,'Données projet'!$E$17+1,1))</f>
        <v>268.71641789629319</v>
      </c>
      <c r="GF17" s="60">
        <f t="shared" si="50"/>
        <v>199.94048514486104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2.3805128205128203</v>
      </c>
      <c r="GU17" s="13">
        <f>IF('Données projet'!$A$270&gt;35,GU16+GT17-HC16,IF(A17&lt;'Données projet'!$A$270,$GR$205^A17,IF(A17='Données projet'!$A$270,'Données projet'!$B$270,GU16+GT17-HC16)))</f>
        <v>28.134832345956244</v>
      </c>
      <c r="GV17" s="18">
        <f>GU17*VLOOKUP('Données projet'!$B$18,Paramètres!$A$1:$I$89,3,0)*VLOOKUP('Données projet'!$B$18,Paramètres!$A$1:$I$89,5,0)</f>
        <v>16.824629742881836</v>
      </c>
      <c r="GW17" s="14">
        <f t="shared" si="51"/>
        <v>5.5820988439469144</v>
      </c>
      <c r="GX17" s="22">
        <f t="shared" si="28"/>
        <v>39.025052288726734</v>
      </c>
      <c r="GY17" s="60">
        <f t="shared" si="29"/>
        <v>312.8028300665045</v>
      </c>
      <c r="GZ17" s="60">
        <f ca="1">AVERAGE(OFFSET($GY$3,0,0,'Données projet'!$E$18+1,1))-AVERAGE(OFFSET($H$3,0,0,'Données projet'!$E$18+1,1))</f>
        <v>289.12367833861299</v>
      </c>
      <c r="HA17" s="60">
        <f t="shared" si="52"/>
        <v>229.06617320689003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309.74578000827665</v>
      </c>
      <c r="S18" s="60">
        <f ca="1">AVERAGE(OFFSET($R$3,0,0,'Données projet'!$E$9+1,1))-AVERAGE(OFFSET($H$3,0,0,'Données projet'!$E$9+1,1))</f>
        <v>430.11660085503223</v>
      </c>
      <c r="T18" s="60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7.7987854251012134</v>
      </c>
      <c r="AI18" s="14">
        <f>IF('Données projet'!$A$62&gt;35,AI17+AH18-AQ17,IF(A18&lt;'Données projet'!$A$62,$AF$205^A18,IF(A18='Données projet'!$A$62,'Données projet'!$B$62,AI17+AH18-AQ17)))</f>
        <v>51.73377096531113</v>
      </c>
      <c r="AJ18" s="14">
        <f>AI18*VLOOKUP('Données projet'!$B$10,Paramètres!$A$1:$I$89,3,0)*VLOOKUP('Données projet'!$B$10,Paramètres!$A$1:$I$89,5,0)</f>
        <v>28.919177969608924</v>
      </c>
      <c r="AK18" s="14">
        <f t="shared" si="35"/>
        <v>9.0085722278754812</v>
      </c>
      <c r="AL18" s="22">
        <f t="shared" si="4"/>
        <v>66.057498260618672</v>
      </c>
      <c r="AM18" s="60">
        <f t="shared" si="5"/>
        <v>341.05749826061867</v>
      </c>
      <c r="AN18" s="60">
        <f ca="1">AVERAGE(OFFSET($AM$3,0,0,'Données projet'!$E$10+1,1))-AVERAGE(OFFSET($H$3,0,0,'Données projet'!$E$10+1,1))</f>
        <v>323.98185264074681</v>
      </c>
      <c r="AO18" s="60">
        <f t="shared" si="36"/>
        <v>301.22207291854005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1.6</v>
      </c>
      <c r="BD18" s="13">
        <f>IF('Données projet'!$A$88&gt;35,BD17+BC18-BL17,IF(A18&lt;'Données projet'!$A$88,$BA$205^A18,IF(A18='Données projet'!$A$88,'Données projet'!$B$88,BD17+BC18-BL17)))</f>
        <v>13.454342644059421</v>
      </c>
      <c r="BE18" s="14">
        <f>BD18*VLOOKUP('Données projet'!$B$11,Paramètres!$A$1:$I$89,3,0)*VLOOKUP('Données projet'!$B$11,Paramètres!$A$1:$I$89,5,0)</f>
        <v>11.543825988602984</v>
      </c>
      <c r="BF18" s="14">
        <f t="shared" si="37"/>
        <v>4.0016981182064377</v>
      </c>
      <c r="BG18" s="22">
        <f t="shared" si="7"/>
        <v>27.075121152693075</v>
      </c>
      <c r="BH18" s="60">
        <f t="shared" si="8"/>
        <v>302.0751211526931</v>
      </c>
      <c r="BI18" s="60">
        <f ca="1">AVERAGE(OFFSET($BH$3,0,0,'Données projet'!$E$11+1,1))-AVERAGE(OFFSET($H$3,0,0,'Données projet'!$E$11+1,1))</f>
        <v>556.75475431848258</v>
      </c>
      <c r="BJ18" s="60">
        <f t="shared" si="38"/>
        <v>256.77417912163997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37.4</v>
      </c>
      <c r="BW18" s="13">
        <f>VLOOKUP(A18,'Données projet'!$A$113:$I$133,9,0)</f>
        <v>2.4933333333333332</v>
      </c>
      <c r="BX18" s="13">
        <f t="array" ref="BX18">INDEX(BW:BW,MIN(IF(ISNUMBER(BW18:BW214),ROW(BW18:BW214),"")))</f>
        <v>2.4933333333333332</v>
      </c>
      <c r="BY18" s="13">
        <f>IF('Données projet'!$A$114&gt;35,BY17+BX18-CG17,IF(A18&lt;'Données projet'!$A$114,$BV$205^A18,IF(A18='Données projet'!$A$114,'Données projet'!$B$114,BY17+BX18-CG17)))</f>
        <v>37.4</v>
      </c>
      <c r="BZ18" s="14">
        <f>BY18*VLOOKUP('Données projet'!$B$12,Paramètres!$A$1:$I$89,3,0)*VLOOKUP('Données projet'!$B$12,Paramètres!$A$1:$I$89,5,0)</f>
        <v>27.421679999999999</v>
      </c>
      <c r="CA18" s="14">
        <f t="shared" si="39"/>
        <v>8.5951206040783781</v>
      </c>
      <c r="CB18" s="22">
        <f t="shared" si="10"/>
        <v>62.729261052103169</v>
      </c>
      <c r="CC18" s="60">
        <f t="shared" si="11"/>
        <v>337.7292610521032</v>
      </c>
      <c r="CD18" s="60">
        <f ca="1">AVERAGE(OFFSET($CC$3,0,0,'Données projet'!$E$12+1,1))-AVERAGE(OFFSET($H$3,0,0,'Données projet'!$E$12+1,1))</f>
        <v>290.68086183422963</v>
      </c>
      <c r="CE18" s="60">
        <f t="shared" si="40"/>
        <v>317.88330630101785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5.6</v>
      </c>
      <c r="CS18" s="13">
        <f t="array" ref="CS18">INDEX(CR:CR,MIN(IF(ISNUMBER(CR18:CR214),ROW(CR18:CR214),"")))</f>
        <v>5.6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24.2424</v>
      </c>
      <c r="CV18" s="14">
        <f t="shared" si="41"/>
        <v>7.7083792976822032</v>
      </c>
      <c r="CW18" s="22">
        <f t="shared" si="13"/>
        <v>55.647607276796499</v>
      </c>
      <c r="CX18" s="60">
        <f t="shared" si="14"/>
        <v>330.64760727679652</v>
      </c>
      <c r="CY18" s="60">
        <f ca="1">AVERAGE(OFFSET($CX$3,0,0,'Données projet'!$E$13+1,1))-AVERAGE(OFFSET($H$3,0,0,'Données projet'!$E$13+1,1))</f>
        <v>243.04319555814601</v>
      </c>
      <c r="CZ18" s="60">
        <f t="shared" si="42"/>
        <v>235.68746142880792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168</v>
      </c>
      <c r="DM18" s="13">
        <f>VLOOKUP(A18,'Données projet'!$A$165:$I$185,9,0)</f>
        <v>24.333333333333332</v>
      </c>
      <c r="DN18" s="13">
        <f t="array" ref="DN18">INDEX(DM:DM,MIN(IF(ISNUMBER(DM18:DM214),ROW(DM18:DM214),"")))</f>
        <v>24.333333333333332</v>
      </c>
      <c r="DO18" s="13">
        <f>IF('Données projet'!$A$166&gt;35,DO17+DN18-DW17,IF(A18&lt;'Données projet'!$A$166,$DL$205^A18,IF(A18='Données projet'!$A$166,'Données projet'!$B$166,DO17+DN18-DW17)))</f>
        <v>168.00000000000003</v>
      </c>
      <c r="DP18" s="18">
        <f>DO18*VLOOKUP('Données projet'!$B$14,Paramètres!$A$1:$I$89,3,0)*VLOOKUP('Données projet'!$B$14,Paramètres!$A$1:$I$89,5,0)</f>
        <v>91.728000000000009</v>
      </c>
      <c r="DQ18" s="14">
        <f t="shared" si="43"/>
        <v>24.981514582386563</v>
      </c>
      <c r="DR18" s="22">
        <f t="shared" si="16"/>
        <v>203.26907123098991</v>
      </c>
      <c r="DS18" s="60">
        <f t="shared" si="17"/>
        <v>478.26907123098988</v>
      </c>
      <c r="DT18" s="60">
        <f ca="1">AVERAGE(OFFSET($DS$3,0,0,'Données projet'!$E$14+1,1))-AVERAGE(OFFSET($H$3,0,0,'Données projet'!$E$14+1,1))</f>
        <v>201.4732637505823</v>
      </c>
      <c r="DU18" s="60">
        <f t="shared" si="44"/>
        <v>342.06887933351783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47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0.5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16.822618696356418</v>
      </c>
      <c r="ED18" s="24">
        <f t="shared" si="18"/>
        <v>16.822618696356418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7.4312217194570129</v>
      </c>
      <c r="EJ18" s="13">
        <f>IF('Données projet'!$A$192&gt;35,EJ17+EI18-ER17,IF(A18&lt;'Données projet'!$A$192,$EG$205^A18,IF(A18='Données projet'!$A$192,'Données projet'!$B$192,EJ17+EI18-ER17)))</f>
        <v>71.494522692931866</v>
      </c>
      <c r="EK18" s="18">
        <f>EJ18*VLOOKUP('Données projet'!$B$15,Paramètres!$A$1:$I$89,3,0)*VLOOKUP('Données projet'!$B$15,Paramètres!$A$1:$I$89,5,0)</f>
        <v>42.753724570373258</v>
      </c>
      <c r="EL18" s="14">
        <f t="shared" si="45"/>
        <v>12.725669841487028</v>
      </c>
      <c r="EM18" s="22">
        <f t="shared" si="19"/>
        <v>96.626611933989992</v>
      </c>
      <c r="EN18" s="60">
        <f t="shared" si="20"/>
        <v>371.62661193398998</v>
      </c>
      <c r="EO18" s="60">
        <f ca="1">AVERAGE(OFFSET($EN$3,0,0,'Données projet'!$E$15+1,1))-AVERAGE(OFFSET($H$3,0,0,'Données projet'!$E$15+1,1))</f>
        <v>260.01925143568263</v>
      </c>
      <c r="EP18" s="60">
        <f t="shared" si="46"/>
        <v>269.95358755269427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49</v>
      </c>
      <c r="FC18" s="13">
        <f>VLOOKUP(A18,'Données projet'!$A$217:$I$237,9,0)</f>
        <v>8</v>
      </c>
      <c r="FD18" s="13">
        <f t="array" ref="FD18">INDEX(FC:FC,MIN(IF(ISNUMBER(FC18:FC214),ROW(FC18:FC214),"")))</f>
        <v>8</v>
      </c>
      <c r="FE18" s="13">
        <f>IF('Données projet'!$A$218&gt;35,FE17+FD18-FM17,IF(A18&lt;'Données projet'!$A$218,$FB$205^A18,IF(A18='Données projet'!$A$218,'Données projet'!$B$218,FE17+FD18-FM17)))</f>
        <v>49</v>
      </c>
      <c r="FF18" s="18">
        <f>FE18*VLOOKUP('Données projet'!$B$16,Paramètres!$A$1:$I$89,3,0)*VLOOKUP('Données projet'!$B$16,Paramètres!$A$1:$I$89,5,0)</f>
        <v>39.748800000000003</v>
      </c>
      <c r="FG18" s="14">
        <f t="shared" si="47"/>
        <v>11.932041927023215</v>
      </c>
      <c r="FH18" s="22">
        <f t="shared" si="22"/>
        <v>90.010799689565431</v>
      </c>
      <c r="FI18" s="60">
        <f t="shared" si="23"/>
        <v>365.01079968956543</v>
      </c>
      <c r="FJ18" s="60">
        <f ca="1">AVERAGE(OFFSET($FI$3,0,0,'Données projet'!$E$16+1,1))-AVERAGE(OFFSET($H$3,0,0,'Données projet'!$E$16+1,1))</f>
        <v>256.19915261735281</v>
      </c>
      <c r="FK18" s="60">
        <f t="shared" si="48"/>
        <v>297.47246687305056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6.179370629370629</v>
      </c>
      <c r="FZ18" s="13">
        <f>IF('Données projet'!$A$244&gt;35,FZ17+FY18-GH17,IF(A18&lt;'Données projet'!$A$244,$FW$205^A18,IF(A18='Données projet'!$A$244,'Données projet'!$B$244,FZ17+FY18-GH17)))</f>
        <v>28.481860700670879</v>
      </c>
      <c r="GA18" s="18">
        <f>FZ18*VLOOKUP('Données projet'!$B$17,Paramètres!$A$1:$I$89,3,0)*VLOOKUP('Données projet'!$B$17,Paramètres!$A$1:$I$89,5,0)</f>
        <v>16.291624320783743</v>
      </c>
      <c r="GB18" s="14">
        <f t="shared" si="49"/>
        <v>5.4255503366215247</v>
      </c>
      <c r="GC18" s="22">
        <f t="shared" si="25"/>
        <v>37.82407919498084</v>
      </c>
      <c r="GD18" s="60">
        <f t="shared" si="26"/>
        <v>312.82407919498087</v>
      </c>
      <c r="GE18" s="60">
        <f ca="1">AVERAGE(OFFSET($GD$3,0,0,'Données projet'!$E$17+1,1))-AVERAGE(OFFSET($H$3,0,0,'Données projet'!$E$17+1,1))</f>
        <v>268.71641789629319</v>
      </c>
      <c r="GF18" s="60">
        <f t="shared" si="50"/>
        <v>199.94048514486104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35.707692307692305</v>
      </c>
      <c r="GS18" s="13">
        <f>VLOOKUP(A18,'Données projet'!$A$269:$I$289,9,0)</f>
        <v>2.3805128205128203</v>
      </c>
      <c r="GT18" s="13">
        <f t="array" ref="GT18">INDEX(GS:GS,MIN(IF(ISNUMBER(GS18:GS214),ROW(GS18:GS214),"")))</f>
        <v>2.3805128205128203</v>
      </c>
      <c r="GU18" s="13">
        <f>IF('Données projet'!$A$270&gt;35,GU17+GT18-HC17,IF(A18&lt;'Données projet'!$A$270,$GR$205^A18,IF(A18='Données projet'!$A$270,'Données projet'!$B$270,GU17+GT18-HC17)))</f>
        <v>35.707692307692305</v>
      </c>
      <c r="GV18" s="18">
        <f>GU18*VLOOKUP('Données projet'!$B$18,Paramètres!$A$1:$I$89,3,0)*VLOOKUP('Données projet'!$B$18,Paramètres!$A$1:$I$89,5,0)</f>
        <v>21.353200000000001</v>
      </c>
      <c r="GW18" s="14">
        <f t="shared" si="51"/>
        <v>6.8907349180546449</v>
      </c>
      <c r="GX18" s="22">
        <f t="shared" si="28"/>
        <v>49.1915199822785</v>
      </c>
      <c r="GY18" s="60">
        <f t="shared" si="29"/>
        <v>324.19151998227852</v>
      </c>
      <c r="GZ18" s="60">
        <f ca="1">AVERAGE(OFFSET($GY$3,0,0,'Données projet'!$E$18+1,1))-AVERAGE(OFFSET($H$3,0,0,'Données projet'!$E$18+1,1))</f>
        <v>289.12367833861299</v>
      </c>
      <c r="HA18" s="60">
        <f t="shared" si="52"/>
        <v>229.06617320689003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317.88090656215792</v>
      </c>
      <c r="S19" s="60">
        <f ca="1">AVERAGE(OFFSET($R$3,0,0,'Données projet'!$E$9+1,1))-AVERAGE(OFFSET($H$3,0,0,'Données projet'!$E$9+1,1))</f>
        <v>430.11660085503223</v>
      </c>
      <c r="T19" s="60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7.7987854251012134</v>
      </c>
      <c r="AI19" s="14">
        <f>IF('Données projet'!$A$62&gt;35,AI18+AH19-AQ18,IF(A19&lt;'Données projet'!$A$62,$AF$205^A19,IF(A19='Données projet'!$A$62,'Données projet'!$B$62,AI18+AH19-AQ18)))</f>
        <v>67.301655174387619</v>
      </c>
      <c r="AJ19" s="14">
        <f>AI19*VLOOKUP('Données projet'!$B$10,Paramètres!$A$1:$I$89,3,0)*VLOOKUP('Données projet'!$B$10,Paramètres!$A$1:$I$89,5,0)</f>
        <v>37.621625242482679</v>
      </c>
      <c r="AK19" s="14">
        <f t="shared" si="35"/>
        <v>11.366027087122298</v>
      </c>
      <c r="AL19" s="22">
        <f t="shared" si="4"/>
        <v>85.320161140728672</v>
      </c>
      <c r="AM19" s="60">
        <f t="shared" si="5"/>
        <v>361.54238336295089</v>
      </c>
      <c r="AN19" s="60">
        <f ca="1">AVERAGE(OFFSET($AM$3,0,0,'Données projet'!$E$10+1,1))-AVERAGE(OFFSET($H$3,0,0,'Données projet'!$E$10+1,1))</f>
        <v>323.98185264074681</v>
      </c>
      <c r="AO19" s="60">
        <f t="shared" si="36"/>
        <v>301.22207291854005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1.6</v>
      </c>
      <c r="BD19" s="13">
        <f>IF('Données projet'!$A$88&gt;35,BD18+BC19-BL18,IF(A19&lt;'Données projet'!$A$88,$BA$205^A19,IF(A19='Données projet'!$A$88,'Données projet'!$B$88,BD18+BC19-BL18)))</f>
        <v>15.999999999999986</v>
      </c>
      <c r="BE19" s="14">
        <f>BD19*VLOOKUP('Données projet'!$B$11,Paramètres!$A$1:$I$89,3,0)*VLOOKUP('Données projet'!$B$11,Paramètres!$A$1:$I$89,5,0)</f>
        <v>13.727999999999991</v>
      </c>
      <c r="BF19" s="14">
        <f t="shared" si="37"/>
        <v>4.6638207366437268</v>
      </c>
      <c r="BG19" s="22">
        <f t="shared" si="7"/>
        <v>32.032421116321139</v>
      </c>
      <c r="BH19" s="60">
        <f t="shared" si="8"/>
        <v>308.25464333854336</v>
      </c>
      <c r="BI19" s="60">
        <f ca="1">AVERAGE(OFFSET($BH$3,0,0,'Données projet'!$E$11+1,1))-AVERAGE(OFFSET($H$3,0,0,'Données projet'!$E$11+1,1))</f>
        <v>556.75475431848258</v>
      </c>
      <c r="BJ19" s="60">
        <f t="shared" si="38"/>
        <v>256.77417912163997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11.54</v>
      </c>
      <c r="BY19" s="13">
        <f>IF('Données projet'!$A$114&gt;35,BY18+BX19-CG18,IF(A19&lt;'Données projet'!$A$114,$BV$205^A19,IF(A19='Données projet'!$A$114,'Données projet'!$B$114,BY18+BX19-CG18)))</f>
        <v>48.94</v>
      </c>
      <c r="BZ19" s="14">
        <f>BY19*VLOOKUP('Données projet'!$B$12,Paramètres!$A$1:$I$89,3,0)*VLOOKUP('Données projet'!$B$12,Paramètres!$A$1:$I$89,5,0)</f>
        <v>35.882807999999997</v>
      </c>
      <c r="CA19" s="14">
        <f t="shared" si="39"/>
        <v>10.900582514018076</v>
      </c>
      <c r="CB19" s="22">
        <f t="shared" si="10"/>
        <v>81.481071811914816</v>
      </c>
      <c r="CC19" s="60">
        <f t="shared" si="11"/>
        <v>357.70329403413706</v>
      </c>
      <c r="CD19" s="60">
        <f ca="1">AVERAGE(OFFSET($CC$3,0,0,'Données projet'!$E$12+1,1))-AVERAGE(OFFSET($H$3,0,0,'Données projet'!$E$12+1,1))</f>
        <v>290.68086183422963</v>
      </c>
      <c r="CE19" s="60">
        <f t="shared" si="40"/>
        <v>317.88330630101785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10.199999999999999</v>
      </c>
      <c r="CT19" s="13">
        <f>IF('Données projet'!$A$140&gt;35,CT18+CS19-DB18,IF(A19&lt;'Données projet'!$A$140,$CQ$205^A19,IF(A19='Données projet'!$A$140,'Données projet'!$B$140,CT18+CS19-DB18)))</f>
        <v>47.2</v>
      </c>
      <c r="CU19" s="18">
        <f>CT19*VLOOKUP('Données projet'!$B$13,Paramètres!$A$1:$I$89,3,0)*VLOOKUP('Données projet'!$B$13,Paramètres!$A$1:$I$89,5,0)</f>
        <v>30.925440000000002</v>
      </c>
      <c r="CV19" s="14">
        <f t="shared" si="41"/>
        <v>9.5586196975402125</v>
      </c>
      <c r="CW19" s="22">
        <f t="shared" si="13"/>
        <v>70.509737306549212</v>
      </c>
      <c r="CX19" s="60">
        <f t="shared" si="14"/>
        <v>346.73195952877143</v>
      </c>
      <c r="CY19" s="60">
        <f ca="1">AVERAGE(OFFSET($CX$3,0,0,'Données projet'!$E$13+1,1))-AVERAGE(OFFSET($H$3,0,0,'Données projet'!$E$13+1,1))</f>
        <v>243.04319555814601</v>
      </c>
      <c r="CZ19" s="60">
        <f t="shared" si="42"/>
        <v>235.68746142880792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21.333333333333332</v>
      </c>
      <c r="DO19" s="13">
        <f>IF('Données projet'!$A$166&gt;35,DO18+DN19-DW18,IF(A19&lt;'Données projet'!$A$166,$DL$205^A19,IF(A19='Données projet'!$A$166,'Données projet'!$B$166,DO18+DN19-DW18)))</f>
        <v>142.33333333333337</v>
      </c>
      <c r="DP19" s="18">
        <f>DO19*VLOOKUP('Données projet'!$B$14,Paramètres!$A$1:$I$89,3,0)*VLOOKUP('Données projet'!$B$14,Paramètres!$A$1:$I$89,5,0)</f>
        <v>77.714000000000027</v>
      </c>
      <c r="DQ19" s="14">
        <f t="shared" si="43"/>
        <v>21.577305655991772</v>
      </c>
      <c r="DR19" s="22">
        <f t="shared" si="16"/>
        <v>172.93235735085239</v>
      </c>
      <c r="DS19" s="60">
        <f t="shared" si="17"/>
        <v>449.15457957307461</v>
      </c>
      <c r="DT19" s="60">
        <f ca="1">AVERAGE(OFFSET($DS$3,0,0,'Données projet'!$E$14+1,1))-AVERAGE(OFFSET($H$3,0,0,'Données projet'!$E$14+1,1))</f>
        <v>201.4732637505823</v>
      </c>
      <c r="DU19" s="60">
        <f t="shared" si="44"/>
        <v>342.06887933351783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11.895387757509223</v>
      </c>
      <c r="ED19" s="24">
        <f t="shared" si="18"/>
        <v>11.895387757509223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7.4312217194570129</v>
      </c>
      <c r="EJ19" s="13">
        <f>IF('Données projet'!$A$192&gt;35,EJ18+EI19-ER18,IF(A19&lt;'Données projet'!$A$192,$EG$205^A19,IF(A19='Données projet'!$A$192,'Données projet'!$B$192,EJ18+EI19-ER18)))</f>
        <v>95.036614247271999</v>
      </c>
      <c r="EK19" s="18">
        <f>EJ19*VLOOKUP('Données projet'!$B$15,Paramètres!$A$1:$I$89,3,0)*VLOOKUP('Données projet'!$B$15,Paramètres!$A$1:$I$89,5,0)</f>
        <v>56.831895319868664</v>
      </c>
      <c r="EL19" s="14">
        <f t="shared" si="45"/>
        <v>16.364761474967661</v>
      </c>
      <c r="EM19" s="22">
        <f t="shared" si="19"/>
        <v>127.4841772510066</v>
      </c>
      <c r="EN19" s="60">
        <f t="shared" si="20"/>
        <v>403.70639947322883</v>
      </c>
      <c r="EO19" s="60">
        <f ca="1">AVERAGE(OFFSET($EN$3,0,0,'Données projet'!$E$15+1,1))-AVERAGE(OFFSET($H$3,0,0,'Données projet'!$E$15+1,1))</f>
        <v>260.01925143568263</v>
      </c>
      <c r="EP19" s="60">
        <f t="shared" si="46"/>
        <v>269.95358755269427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10</v>
      </c>
      <c r="FE19" s="13">
        <f>IF('Données projet'!$A$218&gt;35,FE18+FD19-FM18,IF(A19&lt;'Données projet'!$A$218,$FB$205^A19,IF(A19='Données projet'!$A$218,'Données projet'!$B$218,FE18+FD19-FM18)))</f>
        <v>59</v>
      </c>
      <c r="FF19" s="18">
        <f>FE19*VLOOKUP('Données projet'!$B$16,Paramètres!$A$1:$I$89,3,0)*VLOOKUP('Données projet'!$B$16,Paramètres!$A$1:$I$89,5,0)</f>
        <v>47.860800000000005</v>
      </c>
      <c r="FG19" s="14">
        <f t="shared" si="47"/>
        <v>14.059903887836867</v>
      </c>
      <c r="FH19" s="22">
        <f t="shared" si="22"/>
        <v>107.84522593798255</v>
      </c>
      <c r="FI19" s="60">
        <f t="shared" si="23"/>
        <v>384.06744816020478</v>
      </c>
      <c r="FJ19" s="60">
        <f ca="1">AVERAGE(OFFSET($FI$3,0,0,'Données projet'!$E$16+1,1))-AVERAGE(OFFSET($H$3,0,0,'Données projet'!$E$16+1,1))</f>
        <v>256.19915261735281</v>
      </c>
      <c r="FK19" s="60">
        <f t="shared" si="48"/>
        <v>297.47246687305056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6.179370629370629</v>
      </c>
      <c r="FZ19" s="13">
        <f>IF('Données projet'!$A$244&gt;35,FZ18+FY19-GH18,IF(A19&lt;'Données projet'!$A$244,$FW$205^A19,IF(A19='Données projet'!$A$244,'Données projet'!$B$244,FZ18+FY19-GH18)))</f>
        <v>35.607344135893811</v>
      </c>
      <c r="GA19" s="18">
        <f>FZ19*VLOOKUP('Données projet'!$B$17,Paramètres!$A$1:$I$89,3,0)*VLOOKUP('Données projet'!$B$17,Paramètres!$A$1:$I$89,5,0)</f>
        <v>20.367400845731261</v>
      </c>
      <c r="GB19" s="14">
        <f t="shared" si="49"/>
        <v>6.6088754988564409</v>
      </c>
      <c r="GC19" s="22">
        <f t="shared" si="25"/>
        <v>46.98368130015691</v>
      </c>
      <c r="GD19" s="60">
        <f t="shared" si="26"/>
        <v>323.20590352237912</v>
      </c>
      <c r="GE19" s="60">
        <f ca="1">AVERAGE(OFFSET($GD$3,0,0,'Données projet'!$E$17+1,1))-AVERAGE(OFFSET($H$3,0,0,'Données projet'!$E$17+1,1))</f>
        <v>268.71641789629319</v>
      </c>
      <c r="GF19" s="60">
        <f t="shared" si="50"/>
        <v>199.94048514486104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13.103846153846154</v>
      </c>
      <c r="GU19" s="13">
        <f>IF('Données projet'!$A$270&gt;35,GU18+GT19-HC18,IF(A19&lt;'Données projet'!$A$270,$GR$205^A19,IF(A19='Données projet'!$A$270,'Données projet'!$B$270,GU18+GT19-HC18)))</f>
        <v>48.811538461538461</v>
      </c>
      <c r="GV19" s="18">
        <f>GU19*VLOOKUP('Données projet'!$B$18,Paramètres!$A$1:$I$89,3,0)*VLOOKUP('Données projet'!$B$18,Paramètres!$A$1:$I$89,5,0)</f>
        <v>29.189300000000003</v>
      </c>
      <c r="GW19" s="14">
        <f t="shared" si="51"/>
        <v>9.0828827639780165</v>
      </c>
      <c r="GX19" s="22">
        <f t="shared" si="28"/>
        <v>66.657384980595054</v>
      </c>
      <c r="GY19" s="60">
        <f t="shared" si="29"/>
        <v>342.87960720281728</v>
      </c>
      <c r="GZ19" s="60">
        <f ca="1">AVERAGE(OFFSET($GY$3,0,0,'Données projet'!$E$18+1,1))-AVERAGE(OFFSET($H$3,0,0,'Données projet'!$E$18+1,1))</f>
        <v>289.12367833861299</v>
      </c>
      <c r="HA19" s="60">
        <f t="shared" si="52"/>
        <v>229.06617320689003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327.39580549186149</v>
      </c>
      <c r="S20" s="60">
        <f ca="1">AVERAGE(OFFSET($R$3,0,0,'Données projet'!$E$9+1,1))-AVERAGE(OFFSET($H$3,0,0,'Données projet'!$E$9+1,1))</f>
        <v>430.11660085503223</v>
      </c>
      <c r="T20" s="60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7.7987854251012134</v>
      </c>
      <c r="AI20" s="14">
        <f>IF('Données projet'!$A$62&gt;35,AI19+AH20-AQ19,IF(A20&lt;'Données projet'!$A$62,$AF$205^A20,IF(A20='Données projet'!$A$62,'Données projet'!$B$62,AI19+AH20-AQ19)))</f>
        <v>87.554274600421721</v>
      </c>
      <c r="AJ20" s="14">
        <f>AI20*VLOOKUP('Données projet'!$B$10,Paramètres!$A$1:$I$89,3,0)*VLOOKUP('Données projet'!$B$10,Paramètres!$A$1:$I$89,5,0)</f>
        <v>48.942839501635746</v>
      </c>
      <c r="AK20" s="14">
        <f t="shared" si="35"/>
        <v>14.340404725340607</v>
      </c>
      <c r="AL20" s="22">
        <f t="shared" si="4"/>
        <v>110.21831702865047</v>
      </c>
      <c r="AM20" s="60">
        <f t="shared" si="5"/>
        <v>387.66276147309492</v>
      </c>
      <c r="AN20" s="60">
        <f ca="1">AVERAGE(OFFSET($AM$3,0,0,'Données projet'!$E$10+1,1))-AVERAGE(OFFSET($H$3,0,0,'Données projet'!$E$10+1,1))</f>
        <v>323.98185264074681</v>
      </c>
      <c r="AO20" s="60">
        <f t="shared" si="36"/>
        <v>301.22207291854005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1.6</v>
      </c>
      <c r="BD20" s="13">
        <f>IF('Données projet'!$A$88&gt;35,BD19+BC20-BL19,IF(A20&lt;'Données projet'!$A$88,$BA$205^A20,IF(A20='Données projet'!$A$88,'Données projet'!$B$88,BD19+BC20-BL19)))</f>
        <v>19.027313840043519</v>
      </c>
      <c r="BE20" s="14">
        <f>BD20*VLOOKUP('Données projet'!$B$11,Paramètres!$A$1:$I$89,3,0)*VLOOKUP('Données projet'!$B$11,Paramètres!$A$1:$I$89,5,0)</f>
        <v>16.325435274757343</v>
      </c>
      <c r="BF20" s="14">
        <f t="shared" si="37"/>
        <v>5.4354984361731269</v>
      </c>
      <c r="BG20" s="22">
        <f t="shared" si="7"/>
        <v>37.90029287987057</v>
      </c>
      <c r="BH20" s="60">
        <f t="shared" si="8"/>
        <v>315.34473732431502</v>
      </c>
      <c r="BI20" s="60">
        <f ca="1">AVERAGE(OFFSET($BH$3,0,0,'Données projet'!$E$11+1,1))-AVERAGE(OFFSET($H$3,0,0,'Données projet'!$E$11+1,1))</f>
        <v>556.75475431848258</v>
      </c>
      <c r="BJ20" s="60">
        <f t="shared" si="38"/>
        <v>256.77417912163997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11.54</v>
      </c>
      <c r="BY20" s="13">
        <f>IF('Données projet'!$A$114&gt;35,BY19+BX20-CG19,IF(A20&lt;'Données projet'!$A$114,$BV$205^A20,IF(A20='Données projet'!$A$114,'Données projet'!$B$114,BY19+BX20-CG19)))</f>
        <v>60.48</v>
      </c>
      <c r="BZ20" s="14">
        <f>BY20*VLOOKUP('Données projet'!$B$12,Paramètres!$A$1:$I$89,3,0)*VLOOKUP('Données projet'!$B$12,Paramètres!$A$1:$I$89,5,0)</f>
        <v>44.343935999999992</v>
      </c>
      <c r="CA20" s="14">
        <f t="shared" si="39"/>
        <v>13.143008787151626</v>
      </c>
      <c r="CB20" s="22">
        <f t="shared" si="10"/>
        <v>100.12309550428905</v>
      </c>
      <c r="CC20" s="60">
        <f t="shared" si="11"/>
        <v>377.5675399487335</v>
      </c>
      <c r="CD20" s="60">
        <f ca="1">AVERAGE(OFFSET($CC$3,0,0,'Données projet'!$E$12+1,1))-AVERAGE(OFFSET($H$3,0,0,'Données projet'!$E$12+1,1))</f>
        <v>290.68086183422963</v>
      </c>
      <c r="CE20" s="60">
        <f t="shared" si="40"/>
        <v>317.88330630101785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10.199999999999999</v>
      </c>
      <c r="CT20" s="13">
        <f>IF('Données projet'!$A$140&gt;35,CT19+CS20-DB19,IF(A20&lt;'Données projet'!$A$140,$CQ$205^A20,IF(A20='Données projet'!$A$140,'Données projet'!$B$140,CT19+CS20-DB19)))</f>
        <v>57.400000000000006</v>
      </c>
      <c r="CU20" s="18">
        <f>CT20*VLOOKUP('Données projet'!$B$13,Paramètres!$A$1:$I$89,3,0)*VLOOKUP('Données projet'!$B$13,Paramètres!$A$1:$I$89,5,0)</f>
        <v>37.60848</v>
      </c>
      <c r="CV20" s="14">
        <f t="shared" si="41"/>
        <v>11.362517918194323</v>
      </c>
      <c r="CW20" s="22">
        <f t="shared" si="13"/>
        <v>85.29115470752177</v>
      </c>
      <c r="CX20" s="60">
        <f t="shared" si="14"/>
        <v>362.7355991519662</v>
      </c>
      <c r="CY20" s="60">
        <f ca="1">AVERAGE(OFFSET($CX$3,0,0,'Données projet'!$E$13+1,1))-AVERAGE(OFFSET($H$3,0,0,'Données projet'!$E$13+1,1))</f>
        <v>243.04319555814601</v>
      </c>
      <c r="CZ20" s="60">
        <f t="shared" si="42"/>
        <v>235.68746142880792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21.333333333333332</v>
      </c>
      <c r="DO20" s="13">
        <f>IF('Données projet'!$A$166&gt;35,DO19+DN20-DW19,IF(A20&lt;'Données projet'!$A$166,$DL$205^A20,IF(A20='Données projet'!$A$166,'Données projet'!$B$166,DO19+DN20-DW19)))</f>
        <v>163.66666666666671</v>
      </c>
      <c r="DP20" s="18">
        <f>DO20*VLOOKUP('Données projet'!$B$14,Paramètres!$A$1:$I$89,3,0)*VLOOKUP('Données projet'!$B$14,Paramètres!$A$1:$I$89,5,0)</f>
        <v>89.362000000000037</v>
      </c>
      <c r="DQ20" s="14">
        <f t="shared" si="43"/>
        <v>24.411291106060958</v>
      </c>
      <c r="DR20" s="22">
        <f t="shared" si="16"/>
        <v>198.15514867638956</v>
      </c>
      <c r="DS20" s="60">
        <f t="shared" si="17"/>
        <v>475.59959312083402</v>
      </c>
      <c r="DT20" s="60">
        <f ca="1">AVERAGE(OFFSET($DS$3,0,0,'Données projet'!$E$14+1,1))-AVERAGE(OFFSET($H$3,0,0,'Données projet'!$E$14+1,1))</f>
        <v>201.4732637505823</v>
      </c>
      <c r="DU20" s="60">
        <f t="shared" si="44"/>
        <v>342.06887933351783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8.4113093481782109</v>
      </c>
      <c r="ED20" s="24">
        <f t="shared" si="18"/>
        <v>8.4113093481782109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>
        <f>VLOOKUP(A20,'Données projet'!$A$191:$I$211,2,0)</f>
        <v>126.33076923076922</v>
      </c>
      <c r="EH20" s="13">
        <f>VLOOKUP(A20,'Données projet'!$A$191:$I$211,9,0)</f>
        <v>7.4312217194570129</v>
      </c>
      <c r="EI20" s="13">
        <f t="array" ref="EI20">INDEX(EH:EH,MIN(IF(ISNUMBER(EH20:EH216),ROW(EH20:EH216),"")))</f>
        <v>7.4312217194570129</v>
      </c>
      <c r="EJ20" s="13">
        <f>IF('Données projet'!$A$192&gt;35,EJ19+EI20-ER19,IF(A20&lt;'Données projet'!$A$192,$EG$205^A20,IF(A20='Données projet'!$A$192,'Données projet'!$B$192,EJ19+EI20-ER19)))</f>
        <v>126.33076923076922</v>
      </c>
      <c r="EK20" s="18">
        <f>EJ20*VLOOKUP('Données projet'!$B$15,Paramètres!$A$1:$I$89,3,0)*VLOOKUP('Données projet'!$B$15,Paramètres!$A$1:$I$89,5,0)</f>
        <v>75.5458</v>
      </c>
      <c r="EL20" s="14">
        <f t="shared" si="45"/>
        <v>21.044504648353485</v>
      </c>
      <c r="EM20" s="22">
        <f t="shared" si="19"/>
        <v>168.22811392921565</v>
      </c>
      <c r="EN20" s="60">
        <f t="shared" si="20"/>
        <v>445.67255837366008</v>
      </c>
      <c r="EO20" s="60">
        <f ca="1">AVERAGE(OFFSET($EN$3,0,0,'Données projet'!$E$15+1,1))-AVERAGE(OFFSET($H$3,0,0,'Données projet'!$E$15+1,1))</f>
        <v>260.01925143568263</v>
      </c>
      <c r="EP20" s="60">
        <f t="shared" si="46"/>
        <v>269.95358755269427</v>
      </c>
      <c r="EQ20" s="16">
        <f>IF(ISNA(VLOOKUP(A20,'Données projet'!$A$191:$I$211,3,0)),0,VLOOKUP(A20,'Données projet'!$A$191:$I$211,3,0))</f>
        <v>1</v>
      </c>
      <c r="ER20" s="16">
        <f>IF(ISNA(VLOOKUP(A20,'Données projet'!$A$191:$I$211,4,0)),0,VLOOKUP(A20,'Données projet'!$A$191:$I$211,4,0))</f>
        <v>42.084615384615383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10</v>
      </c>
      <c r="FE20" s="13">
        <f>IF('Données projet'!$A$218&gt;35,FE19+FD20-FM19,IF(A20&lt;'Données projet'!$A$218,$FB$205^A20,IF(A20='Données projet'!$A$218,'Données projet'!$B$218,FE19+FD20-FM19)))</f>
        <v>69</v>
      </c>
      <c r="FF20" s="18">
        <f>FE20*VLOOKUP('Données projet'!$B$16,Paramètres!$A$1:$I$89,3,0)*VLOOKUP('Données projet'!$B$16,Paramètres!$A$1:$I$89,5,0)</f>
        <v>55.972800000000007</v>
      </c>
      <c r="FG20" s="14">
        <f t="shared" si="47"/>
        <v>16.145985978099571</v>
      </c>
      <c r="FH20" s="22">
        <f t="shared" si="22"/>
        <v>125.60688557852342</v>
      </c>
      <c r="FI20" s="60">
        <f t="shared" si="23"/>
        <v>403.05133002296787</v>
      </c>
      <c r="FJ20" s="60">
        <f ca="1">AVERAGE(OFFSET($FI$3,0,0,'Données projet'!$E$16+1,1))-AVERAGE(OFFSET($H$3,0,0,'Données projet'!$E$16+1,1))</f>
        <v>256.19915261735281</v>
      </c>
      <c r="FK20" s="60">
        <f t="shared" si="48"/>
        <v>297.47246687305056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6.179370629370629</v>
      </c>
      <c r="FZ20" s="13">
        <f>IF('Données projet'!$A$244&gt;35,FZ19+FY20-GH19,IF(A20&lt;'Données projet'!$A$244,$FW$205^A20,IF(A20='Données projet'!$A$244,'Données projet'!$B$244,FZ19+FY20-GH19)))</f>
        <v>44.515453879110744</v>
      </c>
      <c r="GA20" s="18">
        <f>FZ20*VLOOKUP('Données projet'!$B$17,Paramètres!$A$1:$I$89,3,0)*VLOOKUP('Données projet'!$B$17,Paramètres!$A$1:$I$89,5,0)</f>
        <v>25.462839618851344</v>
      </c>
      <c r="GB20" s="14">
        <f t="shared" si="49"/>
        <v>8.0502866344398551</v>
      </c>
      <c r="GC20" s="22">
        <f t="shared" si="25"/>
        <v>58.368694891148834</v>
      </c>
      <c r="GD20" s="60">
        <f t="shared" si="26"/>
        <v>335.81313933559329</v>
      </c>
      <c r="GE20" s="60">
        <f ca="1">AVERAGE(OFFSET($GD$3,0,0,'Données projet'!$E$17+1,1))-AVERAGE(OFFSET($H$3,0,0,'Données projet'!$E$17+1,1))</f>
        <v>268.71641789629319</v>
      </c>
      <c r="GF20" s="60">
        <f t="shared" si="50"/>
        <v>199.94048514486104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13.103846153846154</v>
      </c>
      <c r="GU20" s="13">
        <f>IF('Données projet'!$A$270&gt;35,GU19+GT20-HC19,IF(A20&lt;'Données projet'!$A$270,$GR$205^A20,IF(A20='Données projet'!$A$270,'Données projet'!$B$270,GU19+GT20-HC19)))</f>
        <v>61.915384615384617</v>
      </c>
      <c r="GV20" s="18">
        <f>GU20*VLOOKUP('Données projet'!$B$18,Paramètres!$A$1:$I$89,3,0)*VLOOKUP('Données projet'!$B$18,Paramètres!$A$1:$I$89,5,0)</f>
        <v>37.025400000000005</v>
      </c>
      <c r="GW20" s="14">
        <f t="shared" si="51"/>
        <v>11.206718213534849</v>
      </c>
      <c r="GX20" s="22">
        <f t="shared" si="28"/>
        <v>84.004272555239865</v>
      </c>
      <c r="GY20" s="60">
        <f t="shared" si="29"/>
        <v>361.44871699968434</v>
      </c>
      <c r="GZ20" s="60">
        <f ca="1">AVERAGE(OFFSET($GY$3,0,0,'Données projet'!$E$18+1,1))-AVERAGE(OFFSET($H$3,0,0,'Données projet'!$E$18+1,1))</f>
        <v>289.12367833861299</v>
      </c>
      <c r="HA20" s="60">
        <f t="shared" si="52"/>
        <v>229.06617320689003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338.56668739624723</v>
      </c>
      <c r="S21" s="60">
        <f ca="1">AVERAGE(OFFSET($R$3,0,0,'Données projet'!$E$9+1,1))-AVERAGE(OFFSET($H$3,0,0,'Données projet'!$E$9+1,1))</f>
        <v>430.11660085503223</v>
      </c>
      <c r="T21" s="60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7.7987854251012134</v>
      </c>
      <c r="AI21" s="14">
        <f>IF('Données projet'!$A$62&gt;35,AI20+AH21-AQ20,IF(A21&lt;'Données projet'!$A$62,$AF$205^A21,IF(A21='Données projet'!$A$62,'Données projet'!$B$62,AI20+AH21-AQ20)))</f>
        <v>113.90137405897467</v>
      </c>
      <c r="AJ21" s="14">
        <f>AI21*VLOOKUP('Données projet'!$B$10,Paramètres!$A$1:$I$89,3,0)*VLOOKUP('Données projet'!$B$10,Paramètres!$A$1:$I$89,5,0)</f>
        <v>63.670868098966835</v>
      </c>
      <c r="AK21" s="14">
        <f t="shared" si="35"/>
        <v>18.093147773646375</v>
      </c>
      <c r="AL21" s="22">
        <f t="shared" si="4"/>
        <v>142.40566097813468</v>
      </c>
      <c r="AM21" s="60">
        <f t="shared" si="5"/>
        <v>421.07232764480136</v>
      </c>
      <c r="AN21" s="60">
        <f ca="1">AVERAGE(OFFSET($AM$3,0,0,'Données projet'!$E$10+1,1))-AVERAGE(OFFSET($H$3,0,0,'Données projet'!$E$10+1,1))</f>
        <v>323.98185264074681</v>
      </c>
      <c r="AO21" s="60">
        <f t="shared" si="36"/>
        <v>301.22207291854005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1.6</v>
      </c>
      <c r="BD21" s="13">
        <f>IF('Données projet'!$A$88&gt;35,BD20+BC21-BL20,IF(A21&lt;'Données projet'!$A$88,$BA$205^A21,IF(A21='Données projet'!$A$88,'Données projet'!$B$88,BD20+BC21-BL20)))</f>
        <v>22.627416997969497</v>
      </c>
      <c r="BE21" s="14">
        <f>BD21*VLOOKUP('Données projet'!$B$11,Paramètres!$A$1:$I$89,3,0)*VLOOKUP('Données projet'!$B$11,Paramètres!$A$1:$I$89,5,0)</f>
        <v>19.414323784257832</v>
      </c>
      <c r="BF21" s="14">
        <f t="shared" si="37"/>
        <v>6.3348582456241713</v>
      </c>
      <c r="BG21" s="22">
        <f t="shared" si="7"/>
        <v>44.846492035377821</v>
      </c>
      <c r="BH21" s="60">
        <f t="shared" si="8"/>
        <v>323.51315870204451</v>
      </c>
      <c r="BI21" s="60">
        <f ca="1">AVERAGE(OFFSET($BH$3,0,0,'Données projet'!$E$11+1,1))-AVERAGE(OFFSET($H$3,0,0,'Données projet'!$E$11+1,1))</f>
        <v>556.75475431848258</v>
      </c>
      <c r="BJ21" s="60">
        <f t="shared" si="38"/>
        <v>256.77417912163997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11.54</v>
      </c>
      <c r="BY21" s="13">
        <f>IF('Données projet'!$A$114&gt;35,BY20+BX21-CG20,IF(A21&lt;'Données projet'!$A$114,$BV$205^A21,IF(A21='Données projet'!$A$114,'Données projet'!$B$114,BY20+BX21-CG20)))</f>
        <v>72.02</v>
      </c>
      <c r="BZ21" s="14">
        <f>BY21*VLOOKUP('Données projet'!$B$12,Paramètres!$A$1:$I$89,3,0)*VLOOKUP('Données projet'!$B$12,Paramètres!$A$1:$I$89,5,0)</f>
        <v>52.805063999999994</v>
      </c>
      <c r="CA21" s="14">
        <f t="shared" si="39"/>
        <v>15.335862338225963</v>
      </c>
      <c r="CB21" s="22">
        <f t="shared" si="10"/>
        <v>118.67878003907686</v>
      </c>
      <c r="CC21" s="60">
        <f t="shared" si="11"/>
        <v>397.34544670574354</v>
      </c>
      <c r="CD21" s="60">
        <f ca="1">AVERAGE(OFFSET($CC$3,0,0,'Données projet'!$E$12+1,1))-AVERAGE(OFFSET($H$3,0,0,'Données projet'!$E$12+1,1))</f>
        <v>290.68086183422963</v>
      </c>
      <c r="CE21" s="60">
        <f t="shared" si="40"/>
        <v>317.88330630101785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10.199999999999999</v>
      </c>
      <c r="CT21" s="13">
        <f>IF('Données projet'!$A$140&gt;35,CT20+CS21-DB20,IF(A21&lt;'Données projet'!$A$140,$CQ$205^A21,IF(A21='Données projet'!$A$140,'Données projet'!$B$140,CT20+CS21-DB20)))</f>
        <v>67.600000000000009</v>
      </c>
      <c r="CU21" s="18">
        <f>CT21*VLOOKUP('Données projet'!$B$13,Paramètres!$A$1:$I$89,3,0)*VLOOKUP('Données projet'!$B$13,Paramètres!$A$1:$I$89,5,0)</f>
        <v>44.291520000000006</v>
      </c>
      <c r="CV21" s="14">
        <f t="shared" si="41"/>
        <v>13.129280699875432</v>
      </c>
      <c r="CW21" s="22">
        <f t="shared" si="13"/>
        <v>100.00789455228305</v>
      </c>
      <c r="CX21" s="60">
        <f t="shared" si="14"/>
        <v>378.67456121894975</v>
      </c>
      <c r="CY21" s="60">
        <f ca="1">AVERAGE(OFFSET($CX$3,0,0,'Données projet'!$E$13+1,1))-AVERAGE(OFFSET($H$3,0,0,'Données projet'!$E$13+1,1))</f>
        <v>243.04319555814601</v>
      </c>
      <c r="CZ21" s="60">
        <f t="shared" si="42"/>
        <v>235.68746142880792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>
        <f>VLOOKUP(A21,'Données projet'!$A$165:$I$185,2,0)</f>
        <v>185</v>
      </c>
      <c r="DM21" s="13">
        <f>VLOOKUP(A21,'Données projet'!$A$165:$I$185,9,0)</f>
        <v>21.333333333333332</v>
      </c>
      <c r="DN21" s="13">
        <f t="array" ref="DN21">INDEX(DM:DM,MIN(IF(ISNUMBER(DM21:DM217),ROW(DM21:DM217),"")))</f>
        <v>21.333333333333332</v>
      </c>
      <c r="DO21" s="13">
        <f>IF('Données projet'!$A$166&gt;35,DO20+DN21-DW20,IF(A21&lt;'Données projet'!$A$166,$DL$205^A21,IF(A21='Données projet'!$A$166,'Données projet'!$B$166,DO20+DN21-DW20)))</f>
        <v>185.00000000000006</v>
      </c>
      <c r="DP21" s="18">
        <f>DO21*VLOOKUP('Données projet'!$B$14,Paramètres!$A$1:$I$89,3,0)*VLOOKUP('Données projet'!$B$14,Paramètres!$A$1:$I$89,5,0)</f>
        <v>101.01000000000002</v>
      </c>
      <c r="DQ21" s="14">
        <f t="shared" si="43"/>
        <v>27.202475209169602</v>
      </c>
      <c r="DR21" s="22">
        <f t="shared" si="16"/>
        <v>223.30339432263705</v>
      </c>
      <c r="DS21" s="60">
        <f t="shared" si="17"/>
        <v>501.97006098930376</v>
      </c>
      <c r="DT21" s="60">
        <f ca="1">AVERAGE(OFFSET($DS$3,0,0,'Données projet'!$E$14+1,1))-AVERAGE(OFFSET($H$3,0,0,'Données projet'!$E$14+1,1))</f>
        <v>201.4732637505823</v>
      </c>
      <c r="DU21" s="60">
        <f t="shared" si="44"/>
        <v>342.06887933351783</v>
      </c>
      <c r="DV21" s="16">
        <f>IF(ISNA(VLOOKUP(A21,'Données projet'!$A$165:$I$185,3,0)),0,VLOOKUP(A21,'Données projet'!$A$165:$I$185,3,0))</f>
        <v>3</v>
      </c>
      <c r="DW21" s="16">
        <f>IF(ISNA(VLOOKUP(A21,'Données projet'!$A$165:$I$185,4,0)),0,VLOOKUP(A21,'Données projet'!$A$165:$I$185,4,0))</f>
        <v>61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0.12</v>
      </c>
      <c r="DZ21" s="17">
        <f>IF(ISNA(VLOOKUP(A21,'Données projet'!$A$165:$I$185,7,0)),0%,VLOOKUP(A21,'Données projet'!$A$165:$I$185,7,0))</f>
        <v>0.4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5.2810310635196052</v>
      </c>
      <c r="EC21" s="23">
        <f>EXP(-LN(2)/2)*EC20+(1-EXP(-LN(2)/2))/(LN(2)/2)*DW21*DZ21*VLOOKUP('Données projet'!$B$14,Paramètres!$A$1:$I$89,3,0)*0.475*44/12</f>
        <v>21.031745439321199</v>
      </c>
      <c r="ED21" s="24">
        <f t="shared" si="18"/>
        <v>26.312776502840805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14.926923076923075</v>
      </c>
      <c r="EJ21" s="13">
        <f>IF('Données projet'!$A$192&gt;35,EJ20+EI21-ER20,IF(A21&lt;'Données projet'!$A$192,$EG$205^A21,IF(A21='Données projet'!$A$192,'Données projet'!$B$192,EJ20+EI21-ER20)))</f>
        <v>99.173076923076934</v>
      </c>
      <c r="EK21" s="18">
        <f>EJ21*VLOOKUP('Données projet'!$B$15,Paramètres!$A$1:$I$89,3,0)*VLOOKUP('Données projet'!$B$15,Paramètres!$A$1:$I$89,5,0)</f>
        <v>59.305500000000016</v>
      </c>
      <c r="EL21" s="14">
        <f t="shared" si="45"/>
        <v>16.992558820122873</v>
      </c>
      <c r="EM21" s="22">
        <f t="shared" si="19"/>
        <v>132.88578577838067</v>
      </c>
      <c r="EN21" s="60">
        <f t="shared" si="20"/>
        <v>411.55245244504738</v>
      </c>
      <c r="EO21" s="60">
        <f ca="1">AVERAGE(OFFSET($EN$3,0,0,'Données projet'!$E$15+1,1))-AVERAGE(OFFSET($H$3,0,0,'Données projet'!$E$15+1,1))</f>
        <v>260.01925143568263</v>
      </c>
      <c r="EP21" s="60">
        <f t="shared" si="46"/>
        <v>269.95358755269427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10</v>
      </c>
      <c r="FE21" s="13">
        <f>IF('Données projet'!$A$218&gt;35,FE20+FD21-FM20,IF(A21&lt;'Données projet'!$A$218,$FB$205^A21,IF(A21='Données projet'!$A$218,'Données projet'!$B$218,FE20+FD21-FM20)))</f>
        <v>79</v>
      </c>
      <c r="FF21" s="18">
        <f>FE21*VLOOKUP('Données projet'!$B$16,Paramètres!$A$1:$I$89,3,0)*VLOOKUP('Données projet'!$B$16,Paramètres!$A$1:$I$89,5,0)</f>
        <v>64.084800000000001</v>
      </c>
      <c r="FG21" s="14">
        <f t="shared" si="47"/>
        <v>18.197042620605469</v>
      </c>
      <c r="FH21" s="22">
        <f t="shared" si="22"/>
        <v>143.30754256422119</v>
      </c>
      <c r="FI21" s="60">
        <f t="shared" si="23"/>
        <v>421.97420923088788</v>
      </c>
      <c r="FJ21" s="60">
        <f ca="1">AVERAGE(OFFSET($FI$3,0,0,'Données projet'!$E$16+1,1))-AVERAGE(OFFSET($H$3,0,0,'Données projet'!$E$16+1,1))</f>
        <v>256.19915261735281</v>
      </c>
      <c r="FK21" s="60">
        <f t="shared" si="48"/>
        <v>297.47246687305056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6.179370629370629</v>
      </c>
      <c r="FZ21" s="13">
        <f>IF('Données projet'!$A$244&gt;35,FZ20+FY21-GH20,IF(A21&lt;'Données projet'!$A$244,$FW$205^A21,IF(A21='Données projet'!$A$244,'Données projet'!$B$244,FZ20+FY21-GH20)))</f>
        <v>55.652160590816642</v>
      </c>
      <c r="GA21" s="18">
        <f>FZ21*VLOOKUP('Données projet'!$B$17,Paramètres!$A$1:$I$89,3,0)*VLOOKUP('Données projet'!$B$17,Paramètres!$A$1:$I$89,5,0)</f>
        <v>31.83303585794712</v>
      </c>
      <c r="GB21" s="14">
        <f t="shared" si="49"/>
        <v>9.8060728951324378</v>
      </c>
      <c r="GC21" s="22">
        <f t="shared" si="25"/>
        <v>72.521447744946883</v>
      </c>
      <c r="GD21" s="60">
        <f t="shared" si="26"/>
        <v>351.18811441161358</v>
      </c>
      <c r="GE21" s="60">
        <f ca="1">AVERAGE(OFFSET($GD$3,0,0,'Données projet'!$E$17+1,1))-AVERAGE(OFFSET($H$3,0,0,'Données projet'!$E$17+1,1))</f>
        <v>268.71641789629319</v>
      </c>
      <c r="GF21" s="60">
        <f t="shared" si="50"/>
        <v>199.94048514486104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13.103846153846154</v>
      </c>
      <c r="GU21" s="13">
        <f>IF('Données projet'!$A$270&gt;35,GU20+GT21-HC20,IF(A21&lt;'Données projet'!$A$270,$GR$205^A21,IF(A21='Données projet'!$A$270,'Données projet'!$B$270,GU20+GT21-HC20)))</f>
        <v>75.019230769230774</v>
      </c>
      <c r="GV21" s="18">
        <f>GU21*VLOOKUP('Données projet'!$B$18,Paramètres!$A$1:$I$89,3,0)*VLOOKUP('Données projet'!$B$18,Paramètres!$A$1:$I$89,5,0)</f>
        <v>44.861500000000007</v>
      </c>
      <c r="GW21" s="14">
        <f t="shared" si="51"/>
        <v>13.278461120637754</v>
      </c>
      <c r="GX21" s="22">
        <f t="shared" si="28"/>
        <v>101.26043228511077</v>
      </c>
      <c r="GY21" s="60">
        <f t="shared" si="29"/>
        <v>379.92709895177745</v>
      </c>
      <c r="GZ21" s="60">
        <f ca="1">AVERAGE(OFFSET($GY$3,0,0,'Données projet'!$E$18+1,1))-AVERAGE(OFFSET($H$3,0,0,'Données projet'!$E$18+1,1))</f>
        <v>289.12367833861299</v>
      </c>
      <c r="HA21" s="60">
        <f t="shared" si="52"/>
        <v>229.06617320689003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351.72520722798015</v>
      </c>
      <c r="S22" s="60">
        <f ca="1">AVERAGE(OFFSET($R$3,0,0,'Données projet'!$E$9+1,1))-AVERAGE(OFFSET($H$3,0,0,'Données projet'!$E$9+1,1))</f>
        <v>430.11660085503223</v>
      </c>
      <c r="T22" s="60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148.17692307692306</v>
      </c>
      <c r="AG22" s="13">
        <f>VLOOKUP(A22,'Données projet'!$A$61:$I$81,9,0)</f>
        <v>7.7987854251012134</v>
      </c>
      <c r="AH22" s="13">
        <f t="array" ref="AH22">INDEX(AG:AG,MIN(IF(ISNUMBER(AG22:AG218),ROW(AG22:AG218),"")))</f>
        <v>7.7987854251012134</v>
      </c>
      <c r="AI22" s="14">
        <f>IF('Données projet'!$A$62&gt;35,AI21+AH22-AQ21,IF(A22&lt;'Données projet'!$A$62,$AF$205^A22,IF(A22='Données projet'!$A$62,'Données projet'!$B$62,AI21+AH22-AQ21)))</f>
        <v>148.17692307692306</v>
      </c>
      <c r="AJ22" s="14">
        <f>AI22*VLOOKUP('Données projet'!$B$10,Paramètres!$A$1:$I$89,3,0)*VLOOKUP('Données projet'!$B$10,Paramètres!$A$1:$I$89,5,0)</f>
        <v>82.830899999999986</v>
      </c>
      <c r="AK22" s="14">
        <f t="shared" si="35"/>
        <v>22.827946813839315</v>
      </c>
      <c r="AL22" s="22">
        <f t="shared" si="4"/>
        <v>184.02249153410344</v>
      </c>
      <c r="AM22" s="60">
        <f t="shared" si="5"/>
        <v>463.91138042299229</v>
      </c>
      <c r="AN22" s="60">
        <f ca="1">AVERAGE(OFFSET($AM$3,0,0,'Données projet'!$E$10+1,1))-AVERAGE(OFFSET($H$3,0,0,'Données projet'!$E$10+1,1))</f>
        <v>323.98185264074681</v>
      </c>
      <c r="AO22" s="60">
        <f t="shared" si="36"/>
        <v>301.22207291854005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1.6</v>
      </c>
      <c r="BD22" s="13">
        <f>IF('Données projet'!$A$88&gt;35,BD21+BC22-BL21,IF(A22&lt;'Données projet'!$A$88,$BA$205^A22,IF(A22='Données projet'!$A$88,'Données projet'!$B$88,BD21+BC22-BL21)))</f>
        <v>26.908685288118836</v>
      </c>
      <c r="BE22" s="14">
        <f>BD22*VLOOKUP('Données projet'!$B$11,Paramètres!$A$1:$I$89,3,0)*VLOOKUP('Données projet'!$B$11,Paramètres!$A$1:$I$89,5,0)</f>
        <v>23.087651977205965</v>
      </c>
      <c r="BF22" s="14">
        <f t="shared" si="37"/>
        <v>7.3830264994807839</v>
      </c>
      <c r="BG22" s="22">
        <f t="shared" si="7"/>
        <v>53.069765013562751</v>
      </c>
      <c r="BH22" s="60">
        <f t="shared" si="8"/>
        <v>332.9586539024516</v>
      </c>
      <c r="BI22" s="60">
        <f ca="1">AVERAGE(OFFSET($BH$3,0,0,'Données projet'!$E$11+1,1))-AVERAGE(OFFSET($H$3,0,0,'Données projet'!$E$11+1,1))</f>
        <v>556.75475431848258</v>
      </c>
      <c r="BJ22" s="60">
        <f t="shared" si="38"/>
        <v>256.77417912163997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11.54</v>
      </c>
      <c r="BY22" s="13">
        <f>IF('Données projet'!$A$114&gt;35,BY21+BX22-CG21,IF(A22&lt;'Données projet'!$A$114,$BV$205^A22,IF(A22='Données projet'!$A$114,'Données projet'!$B$114,BY21+BX22-CG21)))</f>
        <v>83.56</v>
      </c>
      <c r="BZ22" s="14">
        <f>BY22*VLOOKUP('Données projet'!$B$12,Paramètres!$A$1:$I$89,3,0)*VLOOKUP('Données projet'!$B$12,Paramètres!$A$1:$I$89,5,0)</f>
        <v>61.266191999999997</v>
      </c>
      <c r="CA22" s="14">
        <f t="shared" si="39"/>
        <v>17.488011941198707</v>
      </c>
      <c r="CB22" s="22">
        <f t="shared" si="10"/>
        <v>137.16357186425441</v>
      </c>
      <c r="CC22" s="60">
        <f t="shared" si="11"/>
        <v>417.05246075314324</v>
      </c>
      <c r="CD22" s="60">
        <f ca="1">AVERAGE(OFFSET($CC$3,0,0,'Données projet'!$E$12+1,1))-AVERAGE(OFFSET($H$3,0,0,'Données projet'!$E$12+1,1))</f>
        <v>290.68086183422963</v>
      </c>
      <c r="CE22" s="60">
        <f t="shared" si="40"/>
        <v>317.88330630101785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10.199999999999999</v>
      </c>
      <c r="CT22" s="13">
        <f>IF('Données projet'!$A$140&gt;35,CT21+CS22-DB21,IF(A22&lt;'Données projet'!$A$140,$CQ$205^A22,IF(A22='Données projet'!$A$140,'Données projet'!$B$140,CT21+CS22-DB21)))</f>
        <v>77.800000000000011</v>
      </c>
      <c r="CU22" s="18">
        <f>CT22*VLOOKUP('Données projet'!$B$13,Paramètres!$A$1:$I$89,3,0)*VLOOKUP('Données projet'!$B$13,Paramètres!$A$1:$I$89,5,0)</f>
        <v>50.974560000000004</v>
      </c>
      <c r="CV22" s="14">
        <f t="shared" si="41"/>
        <v>14.865160575379223</v>
      </c>
      <c r="CW22" s="22">
        <f t="shared" si="13"/>
        <v>114.67084666878549</v>
      </c>
      <c r="CX22" s="60">
        <f t="shared" si="14"/>
        <v>394.55973555767434</v>
      </c>
      <c r="CY22" s="60">
        <f ca="1">AVERAGE(OFFSET($CX$3,0,0,'Données projet'!$E$13+1,1))-AVERAGE(OFFSET($H$3,0,0,'Données projet'!$E$13+1,1))</f>
        <v>243.04319555814601</v>
      </c>
      <c r="CZ22" s="60">
        <f t="shared" si="42"/>
        <v>235.68746142880792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16.428571428571427</v>
      </c>
      <c r="DO22" s="13">
        <f>IF('Données projet'!$A$166&gt;35,DO21+DN22-DW21,IF(A22&lt;'Données projet'!$A$166,$DL$205^A22,IF(A22='Données projet'!$A$166,'Données projet'!$B$166,DO21+DN22-DW21)))</f>
        <v>140.42857142857147</v>
      </c>
      <c r="DP22" s="18">
        <f>DO22*VLOOKUP('Données projet'!$B$14,Paramètres!$A$1:$I$89,3,0)*VLOOKUP('Données projet'!$B$14,Paramètres!$A$1:$I$89,5,0)</f>
        <v>76.674000000000021</v>
      </c>
      <c r="DQ22" s="14">
        <f t="shared" si="43"/>
        <v>21.321960976256726</v>
      </c>
      <c r="DR22" s="22">
        <f t="shared" si="16"/>
        <v>170.67629870031385</v>
      </c>
      <c r="DS22" s="60">
        <f t="shared" si="17"/>
        <v>450.56518758920271</v>
      </c>
      <c r="DT22" s="60">
        <f ca="1">AVERAGE(OFFSET($DS$3,0,0,'Données projet'!$E$14+1,1))-AVERAGE(OFFSET($H$3,0,0,'Données projet'!$E$14+1,1))</f>
        <v>201.4732637505823</v>
      </c>
      <c r="DU22" s="60">
        <f t="shared" si="44"/>
        <v>342.06887933351783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5.1366209913703083</v>
      </c>
      <c r="EC22" s="23">
        <f>EXP(-LN(2)/2)*EC21+(1-EXP(-LN(2)/2))/(LN(2)/2)*DW22*DZ22*VLOOKUP('Données projet'!$B$14,Paramètres!$A$1:$I$89,3,0)*0.475*44/12</f>
        <v>14.871689820333264</v>
      </c>
      <c r="ED22" s="24">
        <f t="shared" si="18"/>
        <v>20.008310811703574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14.926923076923075</v>
      </c>
      <c r="EJ22" s="13">
        <f>IF('Données projet'!$A$192&gt;35,EJ21+EI22-ER21,IF(A22&lt;'Données projet'!$A$192,$EG$205^A22,IF(A22='Données projet'!$A$192,'Données projet'!$B$192,EJ21+EI22-ER21)))</f>
        <v>114.10000000000001</v>
      </c>
      <c r="EK22" s="18">
        <f>EJ22*VLOOKUP('Données projet'!$B$15,Paramètres!$A$1:$I$89,3,0)*VLOOKUP('Données projet'!$B$15,Paramètres!$A$1:$I$89,5,0)</f>
        <v>68.231800000000007</v>
      </c>
      <c r="EL22" s="14">
        <f t="shared" si="45"/>
        <v>19.233699497264624</v>
      </c>
      <c r="EM22" s="22">
        <f t="shared" si="19"/>
        <v>152.3357449577359</v>
      </c>
      <c r="EN22" s="60">
        <f t="shared" si="20"/>
        <v>432.22463384662478</v>
      </c>
      <c r="EO22" s="60">
        <f ca="1">AVERAGE(OFFSET($EN$3,0,0,'Données projet'!$E$15+1,1))-AVERAGE(OFFSET($H$3,0,0,'Données projet'!$E$15+1,1))</f>
        <v>260.01925143568263</v>
      </c>
      <c r="EP22" s="60">
        <f t="shared" si="46"/>
        <v>269.95358755269427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10</v>
      </c>
      <c r="FE22" s="13">
        <f>IF('Données projet'!$A$218&gt;35,FE21+FD22-FM21,IF(A22&lt;'Données projet'!$A$218,$FB$205^A22,IF(A22='Données projet'!$A$218,'Données projet'!$B$218,FE21+FD22-FM21)))</f>
        <v>89</v>
      </c>
      <c r="FF22" s="18">
        <f>FE22*VLOOKUP('Données projet'!$B$16,Paramètres!$A$1:$I$89,3,0)*VLOOKUP('Données projet'!$B$16,Paramètres!$A$1:$I$89,5,0)</f>
        <v>72.19680000000001</v>
      </c>
      <c r="FG22" s="14">
        <f t="shared" si="47"/>
        <v>20.218015459285922</v>
      </c>
      <c r="FH22" s="22">
        <f t="shared" si="22"/>
        <v>160.95580359158967</v>
      </c>
      <c r="FI22" s="60">
        <f t="shared" si="23"/>
        <v>440.84469248047856</v>
      </c>
      <c r="FJ22" s="60">
        <f ca="1">AVERAGE(OFFSET($FI$3,0,0,'Données projet'!$E$16+1,1))-AVERAGE(OFFSET($H$3,0,0,'Données projet'!$E$16+1,1))</f>
        <v>256.19915261735281</v>
      </c>
      <c r="FK22" s="60">
        <f t="shared" si="48"/>
        <v>297.47246687305056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6.179370629370629</v>
      </c>
      <c r="FZ22" s="13">
        <f>IF('Données projet'!$A$244&gt;35,FZ21+FY22-GH21,IF(A22&lt;'Données projet'!$A$244,$FW$205^A22,IF(A22='Données projet'!$A$244,'Données projet'!$B$244,FZ21+FY22-GH21)))</f>
        <v>69.57500617284316</v>
      </c>
      <c r="GA22" s="18">
        <f>FZ22*VLOOKUP('Données projet'!$B$17,Paramètres!$A$1:$I$89,3,0)*VLOOKUP('Données projet'!$B$17,Paramètres!$A$1:$I$89,5,0)</f>
        <v>39.796903530866288</v>
      </c>
      <c r="GB22" s="14">
        <f t="shared" si="49"/>
        <v>11.944800227767528</v>
      </c>
      <c r="GC22" s="22">
        <f t="shared" si="25"/>
        <v>90.116800712953889</v>
      </c>
      <c r="GD22" s="60">
        <f t="shared" si="26"/>
        <v>370.00568960184273</v>
      </c>
      <c r="GE22" s="60">
        <f ca="1">AVERAGE(OFFSET($GD$3,0,0,'Données projet'!$E$17+1,1))-AVERAGE(OFFSET($H$3,0,0,'Données projet'!$E$17+1,1))</f>
        <v>268.71641789629319</v>
      </c>
      <c r="GF22" s="60">
        <f t="shared" si="50"/>
        <v>199.94048514486104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13.103846153846154</v>
      </c>
      <c r="GU22" s="13">
        <f>IF('Données projet'!$A$270&gt;35,GU21+GT22-HC21,IF(A22&lt;'Données projet'!$A$270,$GR$205^A22,IF(A22='Données projet'!$A$270,'Données projet'!$B$270,GU21+GT22-HC21)))</f>
        <v>88.123076923076923</v>
      </c>
      <c r="GV22" s="18">
        <f>GU22*VLOOKUP('Données projet'!$B$18,Paramètres!$A$1:$I$89,3,0)*VLOOKUP('Données projet'!$B$18,Paramètres!$A$1:$I$89,5,0)</f>
        <v>52.697600000000008</v>
      </c>
      <c r="GW22" s="14">
        <f t="shared" si="51"/>
        <v>15.30828179522207</v>
      </c>
      <c r="GX22" s="22">
        <f t="shared" si="28"/>
        <v>118.4435774600118</v>
      </c>
      <c r="GY22" s="60">
        <f t="shared" si="29"/>
        <v>398.33246634890065</v>
      </c>
      <c r="GZ22" s="60">
        <f ca="1">AVERAGE(OFFSET($GY$3,0,0,'Données projet'!$E$18+1,1))-AVERAGE(OFFSET($H$3,0,0,'Données projet'!$E$18+1,1))</f>
        <v>289.12367833861299</v>
      </c>
      <c r="HA22" s="60">
        <f t="shared" si="52"/>
        <v>229.06617320689003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367.26962158162712</v>
      </c>
      <c r="S23" s="60">
        <f ca="1">AVERAGE(OFFSET($R$3,0,0,'Données projet'!$E$9+1,1))-AVERAGE(OFFSET($H$3,0,0,'Données projet'!$E$9+1,1))</f>
        <v>430.11660085503223</v>
      </c>
      <c r="T23" s="60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15.942307692307708</v>
      </c>
      <c r="AI23" s="14">
        <f>IF('Données projet'!$A$62&gt;35,AI22+AH23-AQ22,IF(A23&lt;'Données projet'!$A$62,$AF$205^A23,IF(A23='Données projet'!$A$62,'Données projet'!$B$62,AI22+AH23-AQ22)))</f>
        <v>164.11923076923077</v>
      </c>
      <c r="AJ23" s="14">
        <f>AI23*VLOOKUP('Données projet'!$B$10,Paramètres!$A$1:$I$89,3,0)*VLOOKUP('Données projet'!$B$10,Paramètres!$A$1:$I$89,5,0)</f>
        <v>91.742650000000012</v>
      </c>
      <c r="AK23" s="14">
        <f t="shared" si="35"/>
        <v>24.985039964008102</v>
      </c>
      <c r="AL23" s="22">
        <f t="shared" si="4"/>
        <v>203.3007266873141</v>
      </c>
      <c r="AM23" s="60">
        <f t="shared" si="5"/>
        <v>484.41183779842527</v>
      </c>
      <c r="AN23" s="60">
        <f ca="1">AVERAGE(OFFSET($AM$3,0,0,'Données projet'!$E$10+1,1))-AVERAGE(OFFSET($H$3,0,0,'Données projet'!$E$10+1,1))</f>
        <v>323.98185264074681</v>
      </c>
      <c r="AO23" s="60">
        <f t="shared" si="36"/>
        <v>301.22207291854005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32</v>
      </c>
      <c r="BB23" s="13">
        <f>VLOOKUP(A23,'Données projet'!$A$87:$I$107,9,0)</f>
        <v>1.6</v>
      </c>
      <c r="BC23" s="13">
        <f t="array" ref="BC23">INDEX(BB:BB,MIN(IF(ISNUMBER(BB23:BB219),ROW(BB23:BB219),"")))</f>
        <v>1.6</v>
      </c>
      <c r="BD23" s="13">
        <f>IF('Données projet'!$A$88&gt;35,BD22+BC23-BL22,IF(A23&lt;'Données projet'!$A$88,$BA$205^A23,IF(A23='Données projet'!$A$88,'Données projet'!$B$88,BD22+BC23-BL22)))</f>
        <v>32</v>
      </c>
      <c r="BE23" s="14">
        <f>BD23*VLOOKUP('Données projet'!$B$11,Paramètres!$A$1:$I$89,3,0)*VLOOKUP('Données projet'!$B$11,Paramètres!$A$1:$I$89,5,0)</f>
        <v>27.456000000000003</v>
      </c>
      <c r="BF23" s="14">
        <f t="shared" si="37"/>
        <v>8.604625104229898</v>
      </c>
      <c r="BG23" s="22">
        <f t="shared" si="7"/>
        <v>62.805588723200408</v>
      </c>
      <c r="BH23" s="60">
        <f t="shared" si="8"/>
        <v>343.91669983431154</v>
      </c>
      <c r="BI23" s="60">
        <f ca="1">AVERAGE(OFFSET($BH$3,0,0,'Données projet'!$E$11+1,1))-AVERAGE(OFFSET($H$3,0,0,'Données projet'!$E$11+1,1))</f>
        <v>556.75475431848258</v>
      </c>
      <c r="BJ23" s="60">
        <f t="shared" si="38"/>
        <v>256.77417912163997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95.1</v>
      </c>
      <c r="BW23" s="13">
        <f>VLOOKUP(A23,'Données projet'!$A$113:$I$133,9,0)</f>
        <v>11.54</v>
      </c>
      <c r="BX23" s="13">
        <f t="array" ref="BX23">INDEX(BW:BW,MIN(IF(ISNUMBER(BW23:BW219),ROW(BW23:BW219),"")))</f>
        <v>11.54</v>
      </c>
      <c r="BY23" s="13">
        <f>IF('Données projet'!$A$114&gt;35,BY22+BX23-CG22,IF(A23&lt;'Données projet'!$A$114,$BV$205^A23,IF(A23='Données projet'!$A$114,'Données projet'!$B$114,BY22+BX23-CG22)))</f>
        <v>95.1</v>
      </c>
      <c r="BZ23" s="14">
        <f>BY23*VLOOKUP('Données projet'!$B$12,Paramètres!$A$1:$I$89,3,0)*VLOOKUP('Données projet'!$B$12,Paramètres!$A$1:$I$89,5,0)</f>
        <v>69.727319999999992</v>
      </c>
      <c r="CA23" s="14">
        <f t="shared" si="39"/>
        <v>19.605726142453484</v>
      </c>
      <c r="CB23" s="22">
        <f t="shared" si="10"/>
        <v>155.58838869810646</v>
      </c>
      <c r="CC23" s="60">
        <f t="shared" si="11"/>
        <v>436.69949980921763</v>
      </c>
      <c r="CD23" s="60">
        <f ca="1">AVERAGE(OFFSET($CC$3,0,0,'Données projet'!$E$12+1,1))-AVERAGE(OFFSET($H$3,0,0,'Données projet'!$E$12+1,1))</f>
        <v>290.68086183422963</v>
      </c>
      <c r="CE23" s="60">
        <f t="shared" si="40"/>
        <v>317.88330630101785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43.1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10.199999999999999</v>
      </c>
      <c r="CS23" s="13">
        <f t="array" ref="CS23">INDEX(CR:CR,MIN(IF(ISNUMBER(CR23:CR219),ROW(CR23:CR219),"")))</f>
        <v>10.199999999999999</v>
      </c>
      <c r="CT23" s="13">
        <f>IF('Données projet'!$A$140&gt;35,CT22+CS23-DB22,IF(A23&lt;'Données projet'!$A$140,$CQ$205^A23,IF(A23='Données projet'!$A$140,'Données projet'!$B$140,CT22+CS23-DB22)))</f>
        <v>88.000000000000014</v>
      </c>
      <c r="CU23" s="18">
        <f>CT23*VLOOKUP('Données projet'!$B$13,Paramètres!$A$1:$I$89,3,0)*VLOOKUP('Données projet'!$B$13,Paramètres!$A$1:$I$89,5,0)</f>
        <v>57.657600000000016</v>
      </c>
      <c r="CV23" s="14">
        <f t="shared" si="41"/>
        <v>16.574671209026025</v>
      </c>
      <c r="CW23" s="22">
        <f t="shared" si="13"/>
        <v>129.28787235572034</v>
      </c>
      <c r="CX23" s="60">
        <f t="shared" si="14"/>
        <v>410.39898346683151</v>
      </c>
      <c r="CY23" s="60">
        <f ca="1">AVERAGE(OFFSET($CX$3,0,0,'Données projet'!$E$13+1,1))-AVERAGE(OFFSET($H$3,0,0,'Données projet'!$E$13+1,1))</f>
        <v>243.04319555814601</v>
      </c>
      <c r="CZ23" s="60">
        <f t="shared" si="42"/>
        <v>235.68746142880792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16.428571428571427</v>
      </c>
      <c r="DO23" s="13">
        <f>IF('Données projet'!$A$166&gt;35,DO22+DN23-DW22,IF(A23&lt;'Données projet'!$A$166,$DL$205^A23,IF(A23='Données projet'!$A$166,'Données projet'!$B$166,DO22+DN23-DW22)))</f>
        <v>156.85714285714289</v>
      </c>
      <c r="DP23" s="18">
        <f>DO23*VLOOKUP('Données projet'!$B$14,Paramètres!$A$1:$I$89,3,0)*VLOOKUP('Données projet'!$B$14,Paramètres!$A$1:$I$89,5,0)</f>
        <v>85.64400000000002</v>
      </c>
      <c r="DQ23" s="14">
        <f t="shared" si="43"/>
        <v>23.511648669822069</v>
      </c>
      <c r="DR23" s="22">
        <f t="shared" si="16"/>
        <v>190.1127547666068</v>
      </c>
      <c r="DS23" s="60">
        <f t="shared" si="17"/>
        <v>471.22386587771791</v>
      </c>
      <c r="DT23" s="60">
        <f ca="1">AVERAGE(OFFSET($DS$3,0,0,'Données projet'!$E$14+1,1))-AVERAGE(OFFSET($H$3,0,0,'Données projet'!$E$14+1,1))</f>
        <v>201.4732637505823</v>
      </c>
      <c r="DU23" s="60">
        <f t="shared" si="44"/>
        <v>342.06887933351783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4.9961598202381294</v>
      </c>
      <c r="EC23" s="23">
        <f>EXP(-LN(2)/2)*EC22+(1-EXP(-LN(2)/2))/(LN(2)/2)*DW23*DZ23*VLOOKUP('Données projet'!$B$14,Paramètres!$A$1:$I$89,3,0)*0.475*44/12</f>
        <v>10.515872719660601</v>
      </c>
      <c r="ED23" s="24">
        <f t="shared" si="18"/>
        <v>15.51203253989873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14.926923076923075</v>
      </c>
      <c r="EJ23" s="13">
        <f>IF('Données projet'!$A$192&gt;35,EJ22+EI23-ER22,IF(A23&lt;'Données projet'!$A$192,$EG$205^A23,IF(A23='Données projet'!$A$192,'Données projet'!$B$192,EJ22+EI23-ER22)))</f>
        <v>129.02692307692308</v>
      </c>
      <c r="EK23" s="18">
        <f>EJ23*VLOOKUP('Données projet'!$B$15,Paramètres!$A$1:$I$89,3,0)*VLOOKUP('Données projet'!$B$15,Paramètres!$A$1:$I$89,5,0)</f>
        <v>77.158100000000005</v>
      </c>
      <c r="EL23" s="14">
        <f t="shared" si="45"/>
        <v>21.440868838738705</v>
      </c>
      <c r="EM23" s="22">
        <f t="shared" si="19"/>
        <v>171.72653739413659</v>
      </c>
      <c r="EN23" s="60">
        <f t="shared" si="20"/>
        <v>452.83764850524773</v>
      </c>
      <c r="EO23" s="60">
        <f ca="1">AVERAGE(OFFSET($EN$3,0,0,'Données projet'!$E$15+1,1))-AVERAGE(OFFSET($H$3,0,0,'Données projet'!$E$15+1,1))</f>
        <v>260.01925143568263</v>
      </c>
      <c r="EP23" s="60">
        <f t="shared" si="46"/>
        <v>269.95358755269427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99</v>
      </c>
      <c r="FC23" s="13">
        <f>VLOOKUP(A23,'Données projet'!$A$217:$I$237,9,0)</f>
        <v>10</v>
      </c>
      <c r="FD23" s="13">
        <f t="array" ref="FD23">INDEX(FC:FC,MIN(IF(ISNUMBER(FC23:FC219),ROW(FC23:FC219),"")))</f>
        <v>10</v>
      </c>
      <c r="FE23" s="13">
        <f>IF('Données projet'!$A$218&gt;35,FE22+FD23-FM22,IF(A23&lt;'Données projet'!$A$218,$FB$205^A23,IF(A23='Données projet'!$A$218,'Données projet'!$B$218,FE22+FD23-FM22)))</f>
        <v>99</v>
      </c>
      <c r="FF23" s="18">
        <f>FE23*VLOOKUP('Données projet'!$B$16,Paramètres!$A$1:$I$89,3,0)*VLOOKUP('Données projet'!$B$16,Paramètres!$A$1:$I$89,5,0)</f>
        <v>80.308800000000005</v>
      </c>
      <c r="FG23" s="14">
        <f t="shared" si="47"/>
        <v>22.212670396389218</v>
      </c>
      <c r="FH23" s="22">
        <f t="shared" si="22"/>
        <v>178.55822760704453</v>
      </c>
      <c r="FI23" s="60">
        <f t="shared" si="23"/>
        <v>459.6693387181557</v>
      </c>
      <c r="FJ23" s="60">
        <f ca="1">AVERAGE(OFFSET($FI$3,0,0,'Données projet'!$E$16+1,1))-AVERAGE(OFFSET($H$3,0,0,'Données projet'!$E$16+1,1))</f>
        <v>256.19915261735281</v>
      </c>
      <c r="FK23" s="60">
        <f t="shared" si="48"/>
        <v>297.47246687305056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6.179370629370629</v>
      </c>
      <c r="FZ23" s="13">
        <f>IF('Données projet'!$A$244&gt;35,FZ22+FY23-GH22,IF(A23&lt;'Données projet'!$A$244,$FW$205^A23,IF(A23='Données projet'!$A$244,'Données projet'!$B$244,FZ22+FY23-GH22)))</f>
        <v>86.981016236590492</v>
      </c>
      <c r="GA23" s="18">
        <f>FZ23*VLOOKUP('Données projet'!$B$17,Paramètres!$A$1:$I$89,3,0)*VLOOKUP('Données projet'!$B$17,Paramètres!$A$1:$I$89,5,0)</f>
        <v>49.753141287329761</v>
      </c>
      <c r="GB23" s="14">
        <f t="shared" si="49"/>
        <v>14.549988971843987</v>
      </c>
      <c r="GC23" s="22">
        <f t="shared" si="25"/>
        <v>111.99461853472759</v>
      </c>
      <c r="GD23" s="60">
        <f t="shared" si="26"/>
        <v>393.10572964583872</v>
      </c>
      <c r="GE23" s="60">
        <f ca="1">AVERAGE(OFFSET($GD$3,0,0,'Données projet'!$E$17+1,1))-AVERAGE(OFFSET($H$3,0,0,'Données projet'!$E$17+1,1))</f>
        <v>268.71641789629319</v>
      </c>
      <c r="GF23" s="60">
        <f t="shared" si="50"/>
        <v>199.94048514486104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13.103846153846154</v>
      </c>
      <c r="GU23" s="13">
        <f>IF('Données projet'!$A$270&gt;35,GU22+GT23-HC22,IF(A23&lt;'Données projet'!$A$270,$GR$205^A23,IF(A23='Données projet'!$A$270,'Données projet'!$B$270,GU22+GT23-HC22)))</f>
        <v>101.22692307692307</v>
      </c>
      <c r="GV23" s="18">
        <f>GU23*VLOOKUP('Données projet'!$B$18,Paramètres!$A$1:$I$89,3,0)*VLOOKUP('Données projet'!$B$18,Paramètres!$A$1:$I$89,5,0)</f>
        <v>60.533700000000003</v>
      </c>
      <c r="GW23" s="14">
        <f t="shared" si="51"/>
        <v>17.303135492539088</v>
      </c>
      <c r="GX23" s="22">
        <f t="shared" si="28"/>
        <v>135.56582181617225</v>
      </c>
      <c r="GY23" s="60">
        <f t="shared" si="29"/>
        <v>416.67693292728336</v>
      </c>
      <c r="GZ23" s="60">
        <f ca="1">AVERAGE(OFFSET($GY$3,0,0,'Données projet'!$E$18+1,1))-AVERAGE(OFFSET($H$3,0,0,'Données projet'!$E$18+1,1))</f>
        <v>289.12367833861299</v>
      </c>
      <c r="HA23" s="60">
        <f t="shared" si="52"/>
        <v>229.06617320689003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379.65226125630295</v>
      </c>
      <c r="S24" s="60">
        <f ca="1">AVERAGE(OFFSET($R$3,0,0,'Données projet'!$E$9+1,1))-AVERAGE(OFFSET($H$3,0,0,'Données projet'!$E$9+1,1))</f>
        <v>430.11660085503223</v>
      </c>
      <c r="T24" s="60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180.06153846153848</v>
      </c>
      <c r="AG24" s="13">
        <f>VLOOKUP(A24,'Données projet'!$A$61:$I$81,9,0)</f>
        <v>15.942307692307708</v>
      </c>
      <c r="AH24" s="13">
        <f t="array" ref="AH24">INDEX(AG:AG,MIN(IF(ISNUMBER(AG24:AG220),ROW(AG24:AG220),"")))</f>
        <v>15.942307692307708</v>
      </c>
      <c r="AI24" s="14">
        <f>IF('Données projet'!$A$62&gt;35,AI23+AH24-AQ23,IF(A24&lt;'Données projet'!$A$62,$AF$205^A24,IF(A24='Données projet'!$A$62,'Données projet'!$B$62,AI23+AH24-AQ23)))</f>
        <v>180.06153846153848</v>
      </c>
      <c r="AJ24" s="14">
        <f>AI24*VLOOKUP('Données projet'!$B$10,Paramètres!$A$1:$I$89,3,0)*VLOOKUP('Données projet'!$B$10,Paramètres!$A$1:$I$89,5,0)</f>
        <v>100.65440000000001</v>
      </c>
      <c r="AK24" s="14">
        <f t="shared" si="35"/>
        <v>27.117840091618859</v>
      </c>
      <c r="AL24" s="22">
        <f t="shared" si="4"/>
        <v>222.53665149290285</v>
      </c>
      <c r="AM24" s="60">
        <f t="shared" si="5"/>
        <v>504.86998482623619</v>
      </c>
      <c r="AN24" s="60">
        <f ca="1">AVERAGE(OFFSET($AM$3,0,0,'Données projet'!$E$10+1,1))-AVERAGE(OFFSET($H$3,0,0,'Données projet'!$E$10+1,1))</f>
        <v>323.98185264074681</v>
      </c>
      <c r="AO24" s="60">
        <f t="shared" si="36"/>
        <v>301.22207291854005</v>
      </c>
      <c r="AP24" s="16">
        <f>IF(ISNA(VLOOKUP(A24,'Données projet'!$A$61:$I$81,3,0)),0,VLOOKUP(A24,'Données projet'!$A$61:$I$81,3,0))</f>
        <v>1</v>
      </c>
      <c r="AQ24" s="16">
        <f>IF(ISNA(VLOOKUP(A24,'Données projet'!$A$61:$I$81,4,0)),0,VLOOKUP(A24,'Données projet'!$A$61:$I$81,4,0))</f>
        <v>61.169230769230765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0.11000000000000001</v>
      </c>
      <c r="AT24" s="17">
        <f>IF(ISNA(VLOOKUP(A24,'Données projet'!$A$61:$I$81,7,0)),0%,VLOOKUP(A24,'Données projet'!$A$61:$I$81,7,0))</f>
        <v>0.4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4.9699556173792603</v>
      </c>
      <c r="AW24" s="23">
        <f>EXP(-LN(2)/2)*AW23+(1-EXP(-LN(2)/2))/(LN(2)/2)*AQ24*AT24*VLOOKUP('Données projet'!$B$10,Paramètres!$A$1:$I$89,3,0)*0.475*44/12</f>
        <v>15.486039315480385</v>
      </c>
      <c r="AX24" s="23">
        <f t="shared" si="6"/>
        <v>20.455994932859646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8.8000000000000007</v>
      </c>
      <c r="BD24" s="13">
        <f>IF('Données projet'!$A$88&gt;35,BD23+BC24-BL23,IF(A24&lt;'Données projet'!$A$88,$BA$205^A24,IF(A24='Données projet'!$A$88,'Données projet'!$B$88,BD23+BC24-BL23)))</f>
        <v>40.799999999999997</v>
      </c>
      <c r="BE24" s="14">
        <f>BD24*VLOOKUP('Données projet'!$B$11,Paramètres!$A$1:$I$89,3,0)*VLOOKUP('Données projet'!$B$11,Paramètres!$A$1:$I$89,5,0)</f>
        <v>35.006400000000006</v>
      </c>
      <c r="BF24" s="14">
        <f t="shared" si="37"/>
        <v>10.664997365847841</v>
      </c>
      <c r="BG24" s="22">
        <f t="shared" si="7"/>
        <v>79.544350412184983</v>
      </c>
      <c r="BH24" s="60">
        <f t="shared" si="8"/>
        <v>361.87768374551831</v>
      </c>
      <c r="BI24" s="60">
        <f ca="1">AVERAGE(OFFSET($BH$3,0,0,'Données projet'!$E$11+1,1))-AVERAGE(OFFSET($H$3,0,0,'Données projet'!$E$11+1,1))</f>
        <v>556.75475431848258</v>
      </c>
      <c r="BJ24" s="60">
        <f t="shared" si="38"/>
        <v>256.77417912163997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12.500000000000002</v>
      </c>
      <c r="BY24" s="13">
        <f>IF('Données projet'!$A$114&gt;35,BY23+BX24-CG23,IF(A24&lt;'Données projet'!$A$114,$BV$205^A24,IF(A24='Données projet'!$A$114,'Données projet'!$B$114,BY23+BX24-CG23)))</f>
        <v>64.5</v>
      </c>
      <c r="BZ24" s="14">
        <f>BY24*VLOOKUP('Données projet'!$B$12,Paramètres!$A$1:$I$89,3,0)*VLOOKUP('Données projet'!$B$12,Paramètres!$A$1:$I$89,5,0)</f>
        <v>47.291399999999996</v>
      </c>
      <c r="CA24" s="14">
        <f t="shared" si="39"/>
        <v>13.91200070808976</v>
      </c>
      <c r="CB24" s="22">
        <f t="shared" si="10"/>
        <v>106.595922899923</v>
      </c>
      <c r="CC24" s="60">
        <f t="shared" si="11"/>
        <v>388.9292562332563</v>
      </c>
      <c r="CD24" s="60">
        <f ca="1">AVERAGE(OFFSET($CC$3,0,0,'Données projet'!$E$12+1,1))-AVERAGE(OFFSET($H$3,0,0,'Données projet'!$E$12+1,1))</f>
        <v>290.68086183422963</v>
      </c>
      <c r="CE24" s="60">
        <f t="shared" si="40"/>
        <v>317.88330630101785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8.1999999999999993</v>
      </c>
      <c r="CT24" s="13">
        <f>IF('Données projet'!$A$140&gt;35,CT23+CS24-DB23,IF(A24&lt;'Données projet'!$A$140,$CQ$205^A24,IF(A24='Données projet'!$A$140,'Données projet'!$B$140,CT23+CS24-DB23)))</f>
        <v>96.200000000000017</v>
      </c>
      <c r="CU24" s="18">
        <f>CT24*VLOOKUP('Données projet'!$B$13,Paramètres!$A$1:$I$89,3,0)*VLOOKUP('Données projet'!$B$13,Paramètres!$A$1:$I$89,5,0)</f>
        <v>63.030240000000006</v>
      </c>
      <c r="CV24" s="14">
        <f t="shared" si="41"/>
        <v>17.93219804547655</v>
      </c>
      <c r="CW24" s="22">
        <f t="shared" si="13"/>
        <v>141.00957959587166</v>
      </c>
      <c r="CX24" s="60">
        <f t="shared" si="14"/>
        <v>423.342912929205</v>
      </c>
      <c r="CY24" s="60">
        <f ca="1">AVERAGE(OFFSET($CX$3,0,0,'Données projet'!$E$13+1,1))-AVERAGE(OFFSET($H$3,0,0,'Données projet'!$E$13+1,1))</f>
        <v>243.04319555814601</v>
      </c>
      <c r="CZ24" s="60">
        <f t="shared" si="42"/>
        <v>235.68746142880792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16.428571428571427</v>
      </c>
      <c r="DO24" s="13">
        <f>IF('Données projet'!$A$166&gt;35,DO23+DN24-DW23,IF(A24&lt;'Données projet'!$A$166,$DL$205^A24,IF(A24='Données projet'!$A$166,'Données projet'!$B$166,DO23+DN24-DW23)))</f>
        <v>173.28571428571431</v>
      </c>
      <c r="DP24" s="18">
        <f>DO24*VLOOKUP('Données projet'!$B$14,Paramètres!$A$1:$I$89,3,0)*VLOOKUP('Données projet'!$B$14,Paramètres!$A$1:$I$89,5,0)</f>
        <v>94.614000000000004</v>
      </c>
      <c r="DQ24" s="14">
        <f t="shared" si="43"/>
        <v>25.67475212659852</v>
      </c>
      <c r="DR24" s="22">
        <f t="shared" si="16"/>
        <v>209.50290995382576</v>
      </c>
      <c r="DS24" s="60">
        <f t="shared" si="17"/>
        <v>491.83624328715905</v>
      </c>
      <c r="DT24" s="60">
        <f ca="1">AVERAGE(OFFSET($DS$3,0,0,'Données projet'!$E$14+1,1))-AVERAGE(OFFSET($H$3,0,0,'Données projet'!$E$14+1,1))</f>
        <v>201.4732637505823</v>
      </c>
      <c r="DU24" s="60">
        <f t="shared" si="44"/>
        <v>342.06887933351783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4.8595395672170918</v>
      </c>
      <c r="EC24" s="23">
        <f>EXP(-LN(2)/2)*EC23+(1-EXP(-LN(2)/2))/(LN(2)/2)*DW24*DZ24*VLOOKUP('Données projet'!$B$14,Paramètres!$A$1:$I$89,3,0)*0.475*44/12</f>
        <v>7.435844910166634</v>
      </c>
      <c r="ED24" s="24">
        <f t="shared" si="18"/>
        <v>12.295384477383726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14.926923076923075</v>
      </c>
      <c r="EJ24" s="13">
        <f>IF('Données projet'!$A$192&gt;35,EJ23+EI24-ER23,IF(A24&lt;'Données projet'!$A$192,$EG$205^A24,IF(A24='Données projet'!$A$192,'Données projet'!$B$192,EJ23+EI24-ER23)))</f>
        <v>143.95384615384614</v>
      </c>
      <c r="EK24" s="18">
        <f>EJ24*VLOOKUP('Données projet'!$B$15,Paramètres!$A$1:$I$89,3,0)*VLOOKUP('Données projet'!$B$15,Paramètres!$A$1:$I$89,5,0)</f>
        <v>86.084400000000002</v>
      </c>
      <c r="EL24" s="14">
        <f t="shared" si="45"/>
        <v>23.618445758177199</v>
      </c>
      <c r="EM24" s="22">
        <f t="shared" si="19"/>
        <v>191.06578969549196</v>
      </c>
      <c r="EN24" s="60">
        <f t="shared" si="20"/>
        <v>473.39912302882527</v>
      </c>
      <c r="EO24" s="60">
        <f ca="1">AVERAGE(OFFSET($EN$3,0,0,'Données projet'!$E$15+1,1))-AVERAGE(OFFSET($H$3,0,0,'Données projet'!$E$15+1,1))</f>
        <v>260.01925143568263</v>
      </c>
      <c r="EP24" s="60">
        <f t="shared" si="46"/>
        <v>269.95358755269427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8.6</v>
      </c>
      <c r="FE24" s="13">
        <f>IF('Données projet'!$A$218&gt;35,FE23+FD24-FM23,IF(A24&lt;'Données projet'!$A$218,$FB$205^A24,IF(A24='Données projet'!$A$218,'Données projet'!$B$218,FE23+FD24-FM23)))</f>
        <v>67.599999999999994</v>
      </c>
      <c r="FF24" s="18">
        <f>FE24*VLOOKUP('Données projet'!$B$16,Paramètres!$A$1:$I$89,3,0)*VLOOKUP('Données projet'!$B$16,Paramètres!$A$1:$I$89,5,0)</f>
        <v>54.837120000000006</v>
      </c>
      <c r="FG24" s="14">
        <f t="shared" si="47"/>
        <v>15.856174437579886</v>
      </c>
      <c r="FH24" s="22">
        <f t="shared" si="22"/>
        <v>123.12415447878497</v>
      </c>
      <c r="FI24" s="60">
        <f t="shared" si="23"/>
        <v>405.4574878121183</v>
      </c>
      <c r="FJ24" s="60">
        <f ca="1">AVERAGE(OFFSET($FI$3,0,0,'Données projet'!$E$16+1,1))-AVERAGE(OFFSET($H$3,0,0,'Données projet'!$E$16+1,1))</f>
        <v>256.19915261735281</v>
      </c>
      <c r="FK24" s="60">
        <f t="shared" si="48"/>
        <v>297.47246687305056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6.179370629370629</v>
      </c>
      <c r="FZ24" s="13">
        <f>IF('Données projet'!$A$244&gt;35,FZ23+FY24-GH23,IF(A24&lt;'Données projet'!$A$244,$FW$205^A24,IF(A24='Données projet'!$A$244,'Données projet'!$B$244,FZ23+FY24-GH23)))</f>
        <v>108.74159560625519</v>
      </c>
      <c r="GA24" s="18">
        <f>FZ24*VLOOKUP('Données projet'!$B$17,Paramètres!$A$1:$I$89,3,0)*VLOOKUP('Données projet'!$B$17,Paramètres!$A$1:$I$89,5,0)</f>
        <v>62.200192686777967</v>
      </c>
      <c r="GB24" s="14">
        <f t="shared" si="49"/>
        <v>17.723375447389007</v>
      </c>
      <c r="GC24" s="22">
        <f t="shared" si="25"/>
        <v>139.20021450034079</v>
      </c>
      <c r="GD24" s="60">
        <f t="shared" si="26"/>
        <v>421.53354783367411</v>
      </c>
      <c r="GE24" s="60">
        <f ca="1">AVERAGE(OFFSET($GD$3,0,0,'Données projet'!$E$17+1,1))-AVERAGE(OFFSET($H$3,0,0,'Données projet'!$E$17+1,1))</f>
        <v>268.71641789629319</v>
      </c>
      <c r="GF24" s="60">
        <f t="shared" si="50"/>
        <v>199.94048514486104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>
        <f>VLOOKUP(A24,'Données projet'!$A$269:$I$289,2,0)</f>
        <v>114.33076923076922</v>
      </c>
      <c r="GS24" s="13">
        <f>VLOOKUP(A24,'Données projet'!$A$269:$I$289,9,0)</f>
        <v>13.103846153846154</v>
      </c>
      <c r="GT24" s="13">
        <f t="array" ref="GT24">INDEX(GS:GS,MIN(IF(ISNUMBER(GS24:GS220),ROW(GS24:GS220),"")))</f>
        <v>13.103846153846154</v>
      </c>
      <c r="GU24" s="13">
        <f>IF('Données projet'!$A$270&gt;35,GU23+GT24-HC23,IF(A24&lt;'Données projet'!$A$270,$GR$205^A24,IF(A24='Données projet'!$A$270,'Données projet'!$B$270,GU23+GT24-HC23)))</f>
        <v>114.33076923076922</v>
      </c>
      <c r="GV24" s="18">
        <f>GU24*VLOOKUP('Données projet'!$B$18,Paramètres!$A$1:$I$89,3,0)*VLOOKUP('Données projet'!$B$18,Paramètres!$A$1:$I$89,5,0)</f>
        <v>68.369799999999998</v>
      </c>
      <c r="GW24" s="14">
        <f t="shared" si="51"/>
        <v>19.268067928266802</v>
      </c>
      <c r="GX24" s="22">
        <f t="shared" si="28"/>
        <v>152.635953308398</v>
      </c>
      <c r="GY24" s="60">
        <f t="shared" si="29"/>
        <v>434.96928664173129</v>
      </c>
      <c r="GZ24" s="60">
        <f ca="1">AVERAGE(OFFSET($GY$3,0,0,'Données projet'!$E$18+1,1))-AVERAGE(OFFSET($H$3,0,0,'Données projet'!$E$18+1,1))</f>
        <v>289.12367833861299</v>
      </c>
      <c r="HA24" s="60">
        <f t="shared" si="52"/>
        <v>229.06617320689003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392.00305746847613</v>
      </c>
      <c r="S25" s="60">
        <f ca="1">AVERAGE(OFFSET($R$3,0,0,'Données projet'!$E$9+1,1))-AVERAGE(OFFSET($H$3,0,0,'Données projet'!$E$9+1,1))</f>
        <v>430.11660085503223</v>
      </c>
      <c r="T25" s="60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16.687912087912085</v>
      </c>
      <c r="AI25" s="14">
        <f>IF('Données projet'!$A$62&gt;35,AI24+AH25-AQ24,IF(A25&lt;'Données projet'!$A$62,$AF$205^A25,IF(A25='Données projet'!$A$62,'Données projet'!$B$62,AI24+AH25-AQ24)))</f>
        <v>135.58021978021981</v>
      </c>
      <c r="AJ25" s="14">
        <f>AI25*VLOOKUP('Données projet'!$B$10,Paramètres!$A$1:$I$89,3,0)*VLOOKUP('Données projet'!$B$10,Paramètres!$A$1:$I$89,5,0)</f>
        <v>75.78934285714287</v>
      </c>
      <c r="AK25" s="14">
        <f t="shared" si="35"/>
        <v>21.104439314832948</v>
      </c>
      <c r="AL25" s="22">
        <f t="shared" si="4"/>
        <v>168.7566706161912</v>
      </c>
      <c r="AM25" s="60">
        <f t="shared" si="5"/>
        <v>452.31222617174672</v>
      </c>
      <c r="AN25" s="60">
        <f ca="1">AVERAGE(OFFSET($AM$3,0,0,'Données projet'!$E$10+1,1))-AVERAGE(OFFSET($H$3,0,0,'Données projet'!$E$10+1,1))</f>
        <v>323.98185264074681</v>
      </c>
      <c r="AO25" s="60">
        <f t="shared" si="36"/>
        <v>301.22207291854005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4.8340519196634171</v>
      </c>
      <c r="AW25" s="23">
        <f>EXP(-LN(2)/2)*AW24+(1-EXP(-LN(2)/2))/(LN(2)/2)*AQ25*AT25*VLOOKUP('Données projet'!$B$10,Paramètres!$A$1:$I$89,3,0)*0.475*44/12</f>
        <v>10.950283413697662</v>
      </c>
      <c r="AX25" s="23">
        <f t="shared" si="6"/>
        <v>15.784335333361078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8.8000000000000007</v>
      </c>
      <c r="BD25" s="13">
        <f>IF('Données projet'!$A$88&gt;35,BD24+BC25-BL24,IF(A25&lt;'Données projet'!$A$88,$BA$205^A25,IF(A25='Données projet'!$A$88,'Données projet'!$B$88,BD24+BC25-BL24)))</f>
        <v>49.599999999999994</v>
      </c>
      <c r="BE25" s="14">
        <f>BD25*VLOOKUP('Données projet'!$B$11,Paramètres!$A$1:$I$89,3,0)*VLOOKUP('Données projet'!$B$11,Paramètres!$A$1:$I$89,5,0)</f>
        <v>42.556799999999996</v>
      </c>
      <c r="BF25" s="14">
        <f t="shared" si="37"/>
        <v>12.673863978067095</v>
      </c>
      <c r="BG25" s="22">
        <f t="shared" si="7"/>
        <v>96.193406428466844</v>
      </c>
      <c r="BH25" s="60">
        <f t="shared" si="8"/>
        <v>379.7489619840224</v>
      </c>
      <c r="BI25" s="60">
        <f ca="1">AVERAGE(OFFSET($BH$3,0,0,'Données projet'!$E$11+1,1))-AVERAGE(OFFSET($H$3,0,0,'Données projet'!$E$11+1,1))</f>
        <v>556.75475431848258</v>
      </c>
      <c r="BJ25" s="60">
        <f t="shared" si="38"/>
        <v>256.77417912163997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12.500000000000002</v>
      </c>
      <c r="BY25" s="13">
        <f>IF('Données projet'!$A$114&gt;35,BY24+BX25-CG24,IF(A25&lt;'Données projet'!$A$114,$BV$205^A25,IF(A25='Données projet'!$A$114,'Données projet'!$B$114,BY24+BX25-CG24)))</f>
        <v>77</v>
      </c>
      <c r="BZ25" s="14">
        <f>BY25*VLOOKUP('Données projet'!$B$12,Paramètres!$A$1:$I$89,3,0)*VLOOKUP('Données projet'!$B$12,Paramètres!$A$1:$I$89,5,0)</f>
        <v>56.456399999999995</v>
      </c>
      <c r="CA25" s="14">
        <f t="shared" si="39"/>
        <v>16.269186287972712</v>
      </c>
      <c r="CB25" s="22">
        <f t="shared" si="10"/>
        <v>126.66372945155246</v>
      </c>
      <c r="CC25" s="60">
        <f t="shared" si="11"/>
        <v>410.219285007108</v>
      </c>
      <c r="CD25" s="60">
        <f ca="1">AVERAGE(OFFSET($CC$3,0,0,'Données projet'!$E$12+1,1))-AVERAGE(OFFSET($H$3,0,0,'Données projet'!$E$12+1,1))</f>
        <v>290.68086183422963</v>
      </c>
      <c r="CE25" s="60">
        <f t="shared" si="40"/>
        <v>317.88330630101785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8.1999999999999993</v>
      </c>
      <c r="CT25" s="13">
        <f>IF('Données projet'!$A$140&gt;35,CT24+CS25-DB24,IF(A25&lt;'Données projet'!$A$140,$CQ$205^A25,IF(A25='Données projet'!$A$140,'Données projet'!$B$140,CT24+CS25-DB24)))</f>
        <v>104.40000000000002</v>
      </c>
      <c r="CU25" s="18">
        <f>CT25*VLOOKUP('Données projet'!$B$13,Paramètres!$A$1:$I$89,3,0)*VLOOKUP('Données projet'!$B$13,Paramètres!$A$1:$I$89,5,0)</f>
        <v>68.40288000000001</v>
      </c>
      <c r="CV25" s="14">
        <f t="shared" si="41"/>
        <v>19.276305189511739</v>
      </c>
      <c r="CW25" s="22">
        <f t="shared" si="13"/>
        <v>152.70791420506629</v>
      </c>
      <c r="CX25" s="60">
        <f t="shared" si="14"/>
        <v>436.26346976062183</v>
      </c>
      <c r="CY25" s="60">
        <f ca="1">AVERAGE(OFFSET($CX$3,0,0,'Données projet'!$E$13+1,1))-AVERAGE(OFFSET($H$3,0,0,'Données projet'!$E$13+1,1))</f>
        <v>243.04319555814601</v>
      </c>
      <c r="CZ25" s="60">
        <f t="shared" si="42"/>
        <v>235.68746142880792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16.428571428571427</v>
      </c>
      <c r="DO25" s="13">
        <f>IF('Données projet'!$A$166&gt;35,DO24+DN25-DW24,IF(A25&lt;'Données projet'!$A$166,$DL$205^A25,IF(A25='Données projet'!$A$166,'Données projet'!$B$166,DO24+DN25-DW24)))</f>
        <v>189.71428571428572</v>
      </c>
      <c r="DP25" s="18">
        <f>DO25*VLOOKUP('Données projet'!$B$14,Paramètres!$A$1:$I$89,3,0)*VLOOKUP('Données projet'!$B$14,Paramètres!$A$1:$I$89,5,0)</f>
        <v>103.58400000000002</v>
      </c>
      <c r="DQ25" s="14">
        <f t="shared" si="43"/>
        <v>27.814078427747937</v>
      </c>
      <c r="DR25" s="22">
        <f t="shared" si="16"/>
        <v>228.851653261661</v>
      </c>
      <c r="DS25" s="60">
        <f t="shared" si="17"/>
        <v>512.40720881721654</v>
      </c>
      <c r="DT25" s="60">
        <f ca="1">AVERAGE(OFFSET($DS$3,0,0,'Données projet'!$E$14+1,1))-AVERAGE(OFFSET($H$3,0,0,'Données projet'!$E$14+1,1))</f>
        <v>201.4732637505823</v>
      </c>
      <c r="DU25" s="60">
        <f t="shared" si="44"/>
        <v>342.06887933351783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4.7266552021994608</v>
      </c>
      <c r="EC25" s="23">
        <f>EXP(-LN(2)/2)*EC24+(1-EXP(-LN(2)/2))/(LN(2)/2)*DW25*DZ25*VLOOKUP('Données projet'!$B$14,Paramètres!$A$1:$I$89,3,0)*0.475*44/12</f>
        <v>5.2579363598303015</v>
      </c>
      <c r="ED25" s="24">
        <f t="shared" si="18"/>
        <v>9.9845915620297632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14.926923076923075</v>
      </c>
      <c r="EJ25" s="13">
        <f>IF('Données projet'!$A$192&gt;35,EJ24+EI25-ER24,IF(A25&lt;'Données projet'!$A$192,$EG$205^A25,IF(A25='Données projet'!$A$192,'Données projet'!$B$192,EJ24+EI25-ER24)))</f>
        <v>158.8807692307692</v>
      </c>
      <c r="EK25" s="18">
        <f>EJ25*VLOOKUP('Données projet'!$B$15,Paramètres!$A$1:$I$89,3,0)*VLOOKUP('Données projet'!$B$15,Paramètres!$A$1:$I$89,5,0)</f>
        <v>95.0107</v>
      </c>
      <c r="EL25" s="14">
        <f t="shared" si="45"/>
        <v>25.769848277327686</v>
      </c>
      <c r="EM25" s="22">
        <f t="shared" si="19"/>
        <v>210.3594549163457</v>
      </c>
      <c r="EN25" s="60">
        <f t="shared" si="20"/>
        <v>493.91501047190127</v>
      </c>
      <c r="EO25" s="60">
        <f ca="1">AVERAGE(OFFSET($EN$3,0,0,'Données projet'!$E$15+1,1))-AVERAGE(OFFSET($H$3,0,0,'Données projet'!$E$15+1,1))</f>
        <v>260.01925143568263</v>
      </c>
      <c r="EP25" s="60">
        <f t="shared" si="46"/>
        <v>269.95358755269427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8.6</v>
      </c>
      <c r="FE25" s="13">
        <f>IF('Données projet'!$A$218&gt;35,FE24+FD25-FM24,IF(A25&lt;'Données projet'!$A$218,$FB$205^A25,IF(A25='Données projet'!$A$218,'Données projet'!$B$218,FE24+FD25-FM24)))</f>
        <v>76.199999999999989</v>
      </c>
      <c r="FF25" s="18">
        <f>FE25*VLOOKUP('Données projet'!$B$16,Paramètres!$A$1:$I$89,3,0)*VLOOKUP('Données projet'!$B$16,Paramètres!$A$1:$I$89,5,0)</f>
        <v>61.813439999999993</v>
      </c>
      <c r="FG25" s="14">
        <f t="shared" si="47"/>
        <v>17.625965961121132</v>
      </c>
      <c r="FH25" s="22">
        <f t="shared" si="22"/>
        <v>138.35696538228595</v>
      </c>
      <c r="FI25" s="60">
        <f t="shared" si="23"/>
        <v>421.91252093784146</v>
      </c>
      <c r="FJ25" s="60">
        <f ca="1">AVERAGE(OFFSET($FI$3,0,0,'Données projet'!$E$16+1,1))-AVERAGE(OFFSET($H$3,0,0,'Données projet'!$E$16+1,1))</f>
        <v>256.19915261735281</v>
      </c>
      <c r="FK25" s="60">
        <f t="shared" si="48"/>
        <v>297.47246687305056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135.94615384615383</v>
      </c>
      <c r="FX25" s="13">
        <f>VLOOKUP(A25,'Données projet'!$A$243:$I$263,9,0)</f>
        <v>6.179370629370629</v>
      </c>
      <c r="FY25" s="13">
        <f t="array" ref="FY25">INDEX(FX:FX,MIN(IF(ISNUMBER(FX25:FX221),ROW(FX25:FX221),"")))</f>
        <v>6.179370629370629</v>
      </c>
      <c r="FZ25" s="13">
        <f>IF('Données projet'!$A$244&gt;35,FZ24+FY25-GH24,IF(A25&lt;'Données projet'!$A$244,$FW$205^A25,IF(A25='Données projet'!$A$244,'Données projet'!$B$244,FZ24+FY25-GH24)))</f>
        <v>135.94615384615383</v>
      </c>
      <c r="GA25" s="18">
        <f>FZ25*VLOOKUP('Données projet'!$B$17,Paramètres!$A$1:$I$89,3,0)*VLOOKUP('Données projet'!$B$17,Paramètres!$A$1:$I$89,5,0)</f>
        <v>77.761200000000002</v>
      </c>
      <c r="GB25" s="14">
        <f t="shared" si="49"/>
        <v>21.588884902728694</v>
      </c>
      <c r="GC25" s="22">
        <f t="shared" si="25"/>
        <v>173.03473120558579</v>
      </c>
      <c r="GD25" s="60">
        <f t="shared" si="26"/>
        <v>456.59028676114133</v>
      </c>
      <c r="GE25" s="60">
        <f ca="1">AVERAGE(OFFSET($GD$3,0,0,'Données projet'!$E$17+1,1))-AVERAGE(OFFSET($H$3,0,0,'Données projet'!$E$17+1,1))</f>
        <v>268.71641789629319</v>
      </c>
      <c r="GF25" s="60">
        <f t="shared" si="50"/>
        <v>199.94048514486104</v>
      </c>
      <c r="GG25" s="16">
        <f>IF(ISNA(VLOOKUP(A25,'Données projet'!$A$243:$I$263,3,0)),0,VLOOKUP(A25,'Données projet'!$A$243:$I$263,3,0))</f>
        <v>1</v>
      </c>
      <c r="GH25" s="16">
        <f>IF(ISNA(VLOOKUP(A25,'Données projet'!$A$243:$I$263,4,0)),0,VLOOKUP(A25,'Données projet'!$A$243:$I$263,4,0))</f>
        <v>57.423076923076927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0.5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18.594651022277151</v>
      </c>
      <c r="GO25" s="23">
        <f t="shared" si="27"/>
        <v>18.594651022277151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>
        <f>VLOOKUP(A25,'Données projet'!$A$269:$I$289,2,0)</f>
        <v>129.98461538461538</v>
      </c>
      <c r="GS25" s="13">
        <f>VLOOKUP(A25,'Données projet'!$A$269:$I$289,9,0)</f>
        <v>15.65384615384616</v>
      </c>
      <c r="GT25" s="13">
        <f t="array" ref="GT25">INDEX(GS:GS,MIN(IF(ISNUMBER(GS25:GS221),ROW(GS25:GS221),"")))</f>
        <v>15.65384615384616</v>
      </c>
      <c r="GU25" s="13">
        <f>IF('Données projet'!$A$270&gt;35,GU24+GT25-HC24,IF(A25&lt;'Données projet'!$A$270,$GR$205^A25,IF(A25='Données projet'!$A$270,'Données projet'!$B$270,GU24+GT25-HC24)))</f>
        <v>129.98461538461538</v>
      </c>
      <c r="GV25" s="18">
        <f>GU25*VLOOKUP('Données projet'!$B$18,Paramètres!$A$1:$I$89,3,0)*VLOOKUP('Données projet'!$B$18,Paramètres!$A$1:$I$89,5,0)</f>
        <v>77.730800000000002</v>
      </c>
      <c r="GW25" s="14">
        <f t="shared" si="51"/>
        <v>21.581427176601697</v>
      </c>
      <c r="GX25" s="22">
        <f t="shared" si="28"/>
        <v>172.96879566591463</v>
      </c>
      <c r="GY25" s="60">
        <f t="shared" si="29"/>
        <v>456.52435122147017</v>
      </c>
      <c r="GZ25" s="60">
        <f ca="1">AVERAGE(OFFSET($GY$3,0,0,'Données projet'!$E$18+1,1))-AVERAGE(OFFSET($H$3,0,0,'Données projet'!$E$18+1,1))</f>
        <v>289.12367833861299</v>
      </c>
      <c r="HA25" s="60">
        <f t="shared" si="52"/>
        <v>229.06617320689003</v>
      </c>
      <c r="HB25" s="16">
        <f>IF(ISNA(VLOOKUP(A25,'Données projet'!$A$269:$I$289,3,0)),0,VLOOKUP(A25,'Données projet'!$A$269:$I$289,3,0))</f>
        <v>1</v>
      </c>
      <c r="HC25" s="16">
        <f>IF(ISNA(VLOOKUP(A25,'Données projet'!$A$269:$I$289,4,0)),0,VLOOKUP(A25,'Données projet'!$A$269:$I$289,4,0))</f>
        <v>52.746153846153838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404.32574406333623</v>
      </c>
      <c r="S26" s="60">
        <f ca="1">AVERAGE(OFFSET($R$3,0,0,'Données projet'!$E$9+1,1))-AVERAGE(OFFSET($H$3,0,0,'Données projet'!$E$9+1,1))</f>
        <v>430.11660085503223</v>
      </c>
      <c r="T26" s="60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16.687912087912085</v>
      </c>
      <c r="AI26" s="14">
        <f>IF('Données projet'!$A$62&gt;35,AI25+AH26-AQ25,IF(A26&lt;'Données projet'!$A$62,$AF$205^A26,IF(A26='Données projet'!$A$62,'Données projet'!$B$62,AI25+AH26-AQ25)))</f>
        <v>152.26813186813189</v>
      </c>
      <c r="AJ26" s="14">
        <f>AI26*VLOOKUP('Données projet'!$B$10,Paramètres!$A$1:$I$89,3,0)*VLOOKUP('Données projet'!$B$10,Paramètres!$A$1:$I$89,5,0)</f>
        <v>85.11788571428572</v>
      </c>
      <c r="AK26" s="14">
        <f t="shared" si="35"/>
        <v>23.383981996566973</v>
      </c>
      <c r="AL26" s="22">
        <f t="shared" si="4"/>
        <v>188.97408626306844</v>
      </c>
      <c r="AM26" s="60">
        <f t="shared" si="5"/>
        <v>473.75186404084621</v>
      </c>
      <c r="AN26" s="60">
        <f ca="1">AVERAGE(OFFSET($AM$3,0,0,'Données projet'!$E$10+1,1))-AVERAGE(OFFSET($H$3,0,0,'Données projet'!$E$10+1,1))</f>
        <v>323.98185264074681</v>
      </c>
      <c r="AO26" s="60">
        <f t="shared" si="36"/>
        <v>301.22207291854005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4.7018645157084791</v>
      </c>
      <c r="AW26" s="23">
        <f>EXP(-LN(2)/2)*AW25+(1-EXP(-LN(2)/2))/(LN(2)/2)*AQ26*AT26*VLOOKUP('Données projet'!$B$10,Paramètres!$A$1:$I$89,3,0)*0.475*44/12</f>
        <v>7.7430196577401933</v>
      </c>
      <c r="AX26" s="23">
        <f t="shared" si="6"/>
        <v>12.444884173448672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8.8000000000000007</v>
      </c>
      <c r="BD26" s="13">
        <f>IF('Données projet'!$A$88&gt;35,BD25+BC26-BL25,IF(A26&lt;'Données projet'!$A$88,$BA$205^A26,IF(A26='Données projet'!$A$88,'Données projet'!$B$88,BD25+BC26-BL25)))</f>
        <v>58.399999999999991</v>
      </c>
      <c r="BE26" s="14">
        <f>BD26*VLOOKUP('Données projet'!$B$11,Paramètres!$A$1:$I$89,3,0)*VLOOKUP('Données projet'!$B$11,Paramètres!$A$1:$I$89,5,0)</f>
        <v>50.107199999999999</v>
      </c>
      <c r="BF26" s="14">
        <f t="shared" si="37"/>
        <v>14.641441079141797</v>
      </c>
      <c r="BG26" s="22">
        <f t="shared" si="7"/>
        <v>112.77054987950528</v>
      </c>
      <c r="BH26" s="60">
        <f t="shared" si="8"/>
        <v>397.54832765728304</v>
      </c>
      <c r="BI26" s="60">
        <f ca="1">AVERAGE(OFFSET($BH$3,0,0,'Données projet'!$E$11+1,1))-AVERAGE(OFFSET($H$3,0,0,'Données projet'!$E$11+1,1))</f>
        <v>556.75475431848258</v>
      </c>
      <c r="BJ26" s="60">
        <f t="shared" si="38"/>
        <v>256.77417912163997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12.500000000000002</v>
      </c>
      <c r="BY26" s="13">
        <f>IF('Données projet'!$A$114&gt;35,BY25+BX26-CG25,IF(A26&lt;'Données projet'!$A$114,$BV$205^A26,IF(A26='Données projet'!$A$114,'Données projet'!$B$114,BY25+BX26-CG25)))</f>
        <v>89.5</v>
      </c>
      <c r="BZ26" s="14">
        <f>BY26*VLOOKUP('Données projet'!$B$12,Paramètres!$A$1:$I$89,3,0)*VLOOKUP('Données projet'!$B$12,Paramètres!$A$1:$I$89,5,0)</f>
        <v>65.621399999999994</v>
      </c>
      <c r="CA26" s="14">
        <f t="shared" si="39"/>
        <v>18.582043022537167</v>
      </c>
      <c r="CB26" s="22">
        <f t="shared" si="10"/>
        <v>146.65432993091889</v>
      </c>
      <c r="CC26" s="60">
        <f t="shared" si="11"/>
        <v>431.43210770869666</v>
      </c>
      <c r="CD26" s="60">
        <f ca="1">AVERAGE(OFFSET($CC$3,0,0,'Données projet'!$E$12+1,1))-AVERAGE(OFFSET($H$3,0,0,'Données projet'!$E$12+1,1))</f>
        <v>290.68086183422963</v>
      </c>
      <c r="CE26" s="60">
        <f t="shared" si="40"/>
        <v>317.88330630101785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8.1999999999999993</v>
      </c>
      <c r="CT26" s="13">
        <f>IF('Données projet'!$A$140&gt;35,CT25+CS26-DB25,IF(A26&lt;'Données projet'!$A$140,$CQ$205^A26,IF(A26='Données projet'!$A$140,'Données projet'!$B$140,CT25+CS26-DB25)))</f>
        <v>112.60000000000002</v>
      </c>
      <c r="CU26" s="18">
        <f>CT26*VLOOKUP('Données projet'!$B$13,Paramètres!$A$1:$I$89,3,0)*VLOOKUP('Données projet'!$B$13,Paramètres!$A$1:$I$89,5,0)</f>
        <v>73.775520000000014</v>
      </c>
      <c r="CV26" s="14">
        <f t="shared" si="41"/>
        <v>20.608166515749346</v>
      </c>
      <c r="CW26" s="22">
        <f t="shared" si="13"/>
        <v>164.38492068159681</v>
      </c>
      <c r="CX26" s="60">
        <f t="shared" si="14"/>
        <v>449.16269845937461</v>
      </c>
      <c r="CY26" s="60">
        <f ca="1">AVERAGE(OFFSET($CX$3,0,0,'Données projet'!$E$13+1,1))-AVERAGE(OFFSET($H$3,0,0,'Données projet'!$E$13+1,1))</f>
        <v>243.04319555814601</v>
      </c>
      <c r="CZ26" s="60">
        <f t="shared" si="42"/>
        <v>235.68746142880792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16.428571428571427</v>
      </c>
      <c r="DO26" s="13">
        <f>IF('Données projet'!$A$166&gt;35,DO25+DN26-DW25,IF(A26&lt;'Données projet'!$A$166,$DL$205^A26,IF(A26='Données projet'!$A$166,'Données projet'!$B$166,DO25+DN26-DW25)))</f>
        <v>206.14285714285714</v>
      </c>
      <c r="DP26" s="18">
        <f>DO26*VLOOKUP('Données projet'!$B$14,Paramètres!$A$1:$I$89,3,0)*VLOOKUP('Données projet'!$B$14,Paramètres!$A$1:$I$89,5,0)</f>
        <v>112.554</v>
      </c>
      <c r="DQ26" s="14">
        <f t="shared" si="43"/>
        <v>29.93192070032319</v>
      </c>
      <c r="DR26" s="22">
        <f t="shared" si="16"/>
        <v>248.16297855306289</v>
      </c>
      <c r="DS26" s="60">
        <f t="shared" si="17"/>
        <v>532.94075633084071</v>
      </c>
      <c r="DT26" s="60">
        <f ca="1">AVERAGE(OFFSET($DS$3,0,0,'Données projet'!$E$14+1,1))-AVERAGE(OFFSET($H$3,0,0,'Données projet'!$E$14+1,1))</f>
        <v>201.4732637505823</v>
      </c>
      <c r="DU26" s="60">
        <f t="shared" si="44"/>
        <v>342.06887933351783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4.5974045671313224</v>
      </c>
      <c r="EC26" s="23">
        <f>EXP(-LN(2)/2)*EC25+(1-EXP(-LN(2)/2))/(LN(2)/2)*DW26*DZ26*VLOOKUP('Données projet'!$B$14,Paramètres!$A$1:$I$89,3,0)*0.475*44/12</f>
        <v>3.7179224550833174</v>
      </c>
      <c r="ED26" s="24">
        <f t="shared" si="18"/>
        <v>8.3153270222146389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>
        <f>VLOOKUP(A26,'Données projet'!$A$191:$I$211,2,0)</f>
        <v>173.80769230769229</v>
      </c>
      <c r="EH26" s="13">
        <f>VLOOKUP(A26,'Données projet'!$A$191:$I$211,9,0)</f>
        <v>14.926923076923075</v>
      </c>
      <c r="EI26" s="13">
        <f t="array" ref="EI26">INDEX(EH:EH,MIN(IF(ISNUMBER(EH26:EH222),ROW(EH26:EH222),"")))</f>
        <v>14.926923076923075</v>
      </c>
      <c r="EJ26" s="13">
        <f>IF('Données projet'!$A$192&gt;35,EJ25+EI26-ER25,IF(A26&lt;'Données projet'!$A$192,$EG$205^A26,IF(A26='Données projet'!$A$192,'Données projet'!$B$192,EJ25+EI26-ER25)))</f>
        <v>173.80769230769226</v>
      </c>
      <c r="EK26" s="18">
        <f>EJ26*VLOOKUP('Données projet'!$B$15,Paramètres!$A$1:$I$89,3,0)*VLOOKUP('Données projet'!$B$15,Paramètres!$A$1:$I$89,5,0)</f>
        <v>103.93699999999998</v>
      </c>
      <c r="EL26" s="14">
        <f t="shared" si="45"/>
        <v>27.897815230264825</v>
      </c>
      <c r="EM26" s="22">
        <f t="shared" si="19"/>
        <v>229.61230319271121</v>
      </c>
      <c r="EN26" s="60">
        <f t="shared" si="20"/>
        <v>514.39008097048895</v>
      </c>
      <c r="EO26" s="60">
        <f ca="1">AVERAGE(OFFSET($EN$3,0,0,'Données projet'!$E$15+1,1))-AVERAGE(OFFSET($H$3,0,0,'Données projet'!$E$15+1,1))</f>
        <v>260.01925143568263</v>
      </c>
      <c r="EP26" s="60">
        <f t="shared" si="46"/>
        <v>269.95358755269427</v>
      </c>
      <c r="EQ26" s="16">
        <f>IF(ISNA(VLOOKUP(A26,'Données projet'!$A$191:$I$211,3,0)),0,VLOOKUP(A26,'Données projet'!$A$191:$I$211,3,0))</f>
        <v>2</v>
      </c>
      <c r="ER26" s="16">
        <f>IF(ISNA(VLOOKUP(A26,'Données projet'!$A$191:$I$211,4,0)),0,VLOOKUP(A26,'Données projet'!$A$191:$I$211,4,0))</f>
        <v>54.099999999999994</v>
      </c>
      <c r="ES26" s="17">
        <f>IF(ISNA(VLOOKUP(A26,'Données projet'!$A$191:$I$211,5,0)),0%,VLOOKUP(A26,'Données projet'!$A$191:$I$211,5,0)*VLOOKUP('Données projet'!$B$15,Paramètres!$A$1:$I$89,7,0))</f>
        <v>0.1125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4.8281341443175032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4.8281341443175032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8.6</v>
      </c>
      <c r="FE26" s="13">
        <f>IF('Données projet'!$A$218&gt;35,FE25+FD26-FM25,IF(A26&lt;'Données projet'!$A$218,$FB$205^A26,IF(A26='Données projet'!$A$218,'Données projet'!$B$218,FE25+FD26-FM25)))</f>
        <v>84.799999999999983</v>
      </c>
      <c r="FF26" s="18">
        <f>FE26*VLOOKUP('Données projet'!$B$16,Paramètres!$A$1:$I$89,3,0)*VLOOKUP('Données projet'!$B$16,Paramètres!$A$1:$I$89,5,0)</f>
        <v>68.789759999999987</v>
      </c>
      <c r="FG26" s="14">
        <f t="shared" si="47"/>
        <v>19.372607944380292</v>
      </c>
      <c r="FH26" s="22">
        <f t="shared" si="22"/>
        <v>153.54945750312899</v>
      </c>
      <c r="FI26" s="60">
        <f t="shared" si="23"/>
        <v>438.32723528090673</v>
      </c>
      <c r="FJ26" s="60">
        <f ca="1">AVERAGE(OFFSET($FI$3,0,0,'Données projet'!$E$16+1,1))-AVERAGE(OFFSET($H$3,0,0,'Données projet'!$E$16+1,1))</f>
        <v>256.19915261735281</v>
      </c>
      <c r="FK26" s="60">
        <f t="shared" si="48"/>
        <v>297.47246687305056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10.190109890109893</v>
      </c>
      <c r="FZ26" s="13">
        <f>IF('Données projet'!$A$244&gt;35,FZ25+FY26-GH25,IF(A26&lt;'Données projet'!$A$244,$FW$205^A26,IF(A26='Données projet'!$A$244,'Données projet'!$B$244,FZ25+FY26-GH25)))</f>
        <v>88.71318681318678</v>
      </c>
      <c r="GA26" s="18">
        <f>FZ26*VLOOKUP('Données projet'!$B$17,Paramètres!$A$1:$I$89,3,0)*VLOOKUP('Données projet'!$B$17,Paramètres!$A$1:$I$89,5,0)</f>
        <v>50.743942857142841</v>
      </c>
      <c r="GB26" s="14">
        <f t="shared" si="49"/>
        <v>14.805720692645821</v>
      </c>
      <c r="GC26" s="22">
        <f t="shared" si="25"/>
        <v>114.16566401588192</v>
      </c>
      <c r="GD26" s="60">
        <f t="shared" si="26"/>
        <v>398.9434417936597</v>
      </c>
      <c r="GE26" s="60">
        <f ca="1">AVERAGE(OFFSET($GD$3,0,0,'Données projet'!$E$17+1,1))-AVERAGE(OFFSET($H$3,0,0,'Données projet'!$E$17+1,1))</f>
        <v>268.71641789629319</v>
      </c>
      <c r="GF26" s="60">
        <f t="shared" si="50"/>
        <v>199.94048514486104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13.148403831649542</v>
      </c>
      <c r="GO26" s="23">
        <f t="shared" si="27"/>
        <v>13.148403831649542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11.242307692307683</v>
      </c>
      <c r="GU26" s="13">
        <f>IF('Données projet'!$A$270&gt;35,GU25+GT26-HC25,IF(A26&lt;'Données projet'!$A$270,$GR$205^A26,IF(A26='Données projet'!$A$270,'Données projet'!$B$270,GU25+GT26-HC25)))</f>
        <v>88.480769230769226</v>
      </c>
      <c r="GV26" s="18">
        <f>GU26*VLOOKUP('Données projet'!$B$18,Paramètres!$A$1:$I$89,3,0)*VLOOKUP('Données projet'!$B$18,Paramètres!$A$1:$I$89,5,0)</f>
        <v>52.911499999999997</v>
      </c>
      <c r="GW26" s="14">
        <f t="shared" si="51"/>
        <v>15.363172606616901</v>
      </c>
      <c r="GX26" s="22">
        <f t="shared" si="28"/>
        <v>118.91172145652443</v>
      </c>
      <c r="GY26" s="60">
        <f t="shared" si="29"/>
        <v>403.68949923430222</v>
      </c>
      <c r="GZ26" s="60">
        <f ca="1">AVERAGE(OFFSET($GY$3,0,0,'Données projet'!$E$18+1,1))-AVERAGE(OFFSET($H$3,0,0,'Données projet'!$E$18+1,1))</f>
        <v>289.12367833861299</v>
      </c>
      <c r="HA26" s="60">
        <f t="shared" si="52"/>
        <v>229.06617320689003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416.62330272297186</v>
      </c>
      <c r="S27" s="60">
        <f ca="1">AVERAGE(OFFSET($R$3,0,0,'Données projet'!$E$9+1,1))-AVERAGE(OFFSET($H$3,0,0,'Données projet'!$E$9+1,1))</f>
        <v>430.11660085503223</v>
      </c>
      <c r="T27" s="60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16.687912087912085</v>
      </c>
      <c r="AI27" s="14">
        <f>IF('Données projet'!$A$62&gt;35,AI26+AH27-AQ26,IF(A27&lt;'Données projet'!$A$62,$AF$205^A27,IF(A27='Données projet'!$A$62,'Données projet'!$B$62,AI26+AH27-AQ26)))</f>
        <v>168.95604395604397</v>
      </c>
      <c r="AJ27" s="14">
        <f>AI27*VLOOKUP('Données projet'!$B$10,Paramètres!$A$1:$I$89,3,0)*VLOOKUP('Données projet'!$B$10,Paramètres!$A$1:$I$89,5,0)</f>
        <v>94.446428571428584</v>
      </c>
      <c r="AK27" s="14">
        <f t="shared" si="35"/>
        <v>25.634568296511581</v>
      </c>
      <c r="AL27" s="22">
        <f t="shared" si="4"/>
        <v>209.14106954499582</v>
      </c>
      <c r="AM27" s="60">
        <f t="shared" si="5"/>
        <v>495.14106954499584</v>
      </c>
      <c r="AN27" s="60">
        <f ca="1">AVERAGE(OFFSET($AM$3,0,0,'Données projet'!$E$10+1,1))-AVERAGE(OFFSET($H$3,0,0,'Données projet'!$E$10+1,1))</f>
        <v>323.98185264074681</v>
      </c>
      <c r="AO27" s="60">
        <f t="shared" si="36"/>
        <v>301.22207291854005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4.5732917832661224</v>
      </c>
      <c r="AW27" s="23">
        <f>EXP(-LN(2)/2)*AW26+(1-EXP(-LN(2)/2))/(LN(2)/2)*AQ27*AT27*VLOOKUP('Données projet'!$B$10,Paramètres!$A$1:$I$89,3,0)*0.475*44/12</f>
        <v>5.4751417068488317</v>
      </c>
      <c r="AX27" s="23">
        <f t="shared" si="6"/>
        <v>10.048433490114954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8.8000000000000007</v>
      </c>
      <c r="BD27" s="13">
        <f>IF('Données projet'!$A$88&gt;35,BD26+BC27-BL26,IF(A27&lt;'Données projet'!$A$88,$BA$205^A27,IF(A27='Données projet'!$A$88,'Données projet'!$B$88,BD26+BC27-BL26)))</f>
        <v>67.199999999999989</v>
      </c>
      <c r="BE27" s="14">
        <f>BD27*VLOOKUP('Données projet'!$B$11,Paramètres!$A$1:$I$89,3,0)*VLOOKUP('Données projet'!$B$11,Paramètres!$A$1:$I$89,5,0)</f>
        <v>57.657599999999995</v>
      </c>
      <c r="BF27" s="14">
        <f t="shared" si="37"/>
        <v>16.574671209026025</v>
      </c>
      <c r="BG27" s="22">
        <f t="shared" si="7"/>
        <v>129.28787235572034</v>
      </c>
      <c r="BH27" s="60">
        <f t="shared" si="8"/>
        <v>415.28787235572031</v>
      </c>
      <c r="BI27" s="60">
        <f ca="1">AVERAGE(OFFSET($BH$3,0,0,'Données projet'!$E$11+1,1))-AVERAGE(OFFSET($H$3,0,0,'Données projet'!$E$11+1,1))</f>
        <v>556.75475431848258</v>
      </c>
      <c r="BJ27" s="60">
        <f t="shared" si="38"/>
        <v>256.77417912163997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12.500000000000002</v>
      </c>
      <c r="BY27" s="13">
        <f>IF('Données projet'!$A$114&gt;35,BY26+BX27-CG26,IF(A27&lt;'Données projet'!$A$114,$BV$205^A27,IF(A27='Données projet'!$A$114,'Données projet'!$B$114,BY26+BX27-CG26)))</f>
        <v>102</v>
      </c>
      <c r="BZ27" s="14">
        <f>BY27*VLOOKUP('Données projet'!$B$12,Paramètres!$A$1:$I$89,3,0)*VLOOKUP('Données projet'!$B$12,Paramètres!$A$1:$I$89,5,0)</f>
        <v>74.7864</v>
      </c>
      <c r="CA27" s="14">
        <f t="shared" si="39"/>
        <v>20.857475351088969</v>
      </c>
      <c r="CB27" s="22">
        <f t="shared" si="10"/>
        <v>166.57974956981329</v>
      </c>
      <c r="CC27" s="60">
        <f t="shared" si="11"/>
        <v>452.57974956981332</v>
      </c>
      <c r="CD27" s="60">
        <f ca="1">AVERAGE(OFFSET($CC$3,0,0,'Données projet'!$E$12+1,1))-AVERAGE(OFFSET($H$3,0,0,'Données projet'!$E$12+1,1))</f>
        <v>290.68086183422963</v>
      </c>
      <c r="CE27" s="60">
        <f t="shared" si="40"/>
        <v>317.88330630101785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8.1999999999999993</v>
      </c>
      <c r="CT27" s="13">
        <f>IF('Données projet'!$A$140&gt;35,CT26+CS27-DB26,IF(A27&lt;'Données projet'!$A$140,$CQ$205^A27,IF(A27='Données projet'!$A$140,'Données projet'!$B$140,CT26+CS27-DB26)))</f>
        <v>120.80000000000003</v>
      </c>
      <c r="CU27" s="18">
        <f>CT27*VLOOKUP('Données projet'!$B$13,Paramètres!$A$1:$I$89,3,0)*VLOOKUP('Données projet'!$B$13,Paramètres!$A$1:$I$89,5,0)</f>
        <v>79.148160000000018</v>
      </c>
      <c r="CV27" s="14">
        <f t="shared" si="41"/>
        <v>21.928775232328398</v>
      </c>
      <c r="CW27" s="22">
        <f t="shared" si="13"/>
        <v>176.042328862972</v>
      </c>
      <c r="CX27" s="60">
        <f t="shared" si="14"/>
        <v>462.042328862972</v>
      </c>
      <c r="CY27" s="60">
        <f ca="1">AVERAGE(OFFSET($CX$3,0,0,'Données projet'!$E$13+1,1))-AVERAGE(OFFSET($H$3,0,0,'Données projet'!$E$13+1,1))</f>
        <v>243.04319555814601</v>
      </c>
      <c r="CZ27" s="60">
        <f t="shared" si="42"/>
        <v>235.68746142880792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16.428571428571427</v>
      </c>
      <c r="DO27" s="13">
        <f>IF('Données projet'!$A$166&gt;35,DO26+DN27-DW26,IF(A27&lt;'Données projet'!$A$166,$DL$205^A27,IF(A27='Données projet'!$A$166,'Données projet'!$B$166,DO26+DN27-DW26)))</f>
        <v>222.57142857142856</v>
      </c>
      <c r="DP27" s="18">
        <f>DO27*VLOOKUP('Données projet'!$B$14,Paramètres!$A$1:$I$89,3,0)*VLOOKUP('Données projet'!$B$14,Paramètres!$A$1:$I$89,5,0)</f>
        <v>121.52399999999999</v>
      </c>
      <c r="DQ27" s="14">
        <f t="shared" si="43"/>
        <v>32.030185774775809</v>
      </c>
      <c r="DR27" s="22">
        <f t="shared" si="16"/>
        <v>267.44020689106782</v>
      </c>
      <c r="DS27" s="60">
        <f t="shared" si="17"/>
        <v>553.44020689106787</v>
      </c>
      <c r="DT27" s="60">
        <f ca="1">AVERAGE(OFFSET($DS$3,0,0,'Données projet'!$E$14+1,1))-AVERAGE(OFFSET($H$3,0,0,'Données projet'!$E$14+1,1))</f>
        <v>201.4732637505823</v>
      </c>
      <c r="DU27" s="60">
        <f t="shared" si="44"/>
        <v>342.06887933351783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4.4716882974761178</v>
      </c>
      <c r="EC27" s="23">
        <f>EXP(-LN(2)/2)*EC26+(1-EXP(-LN(2)/2))/(LN(2)/2)*DW27*DZ27*VLOOKUP('Données projet'!$B$14,Paramètres!$A$1:$I$89,3,0)*0.475*44/12</f>
        <v>2.6289681799151512</v>
      </c>
      <c r="ED27" s="24">
        <f t="shared" si="18"/>
        <v>7.1006564773912686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15.061538461538461</v>
      </c>
      <c r="EJ27" s="13">
        <f>IF('Données projet'!$A$192&gt;35,EJ26+EI27-ER26,IF(A27&lt;'Données projet'!$A$192,$EG$205^A27,IF(A27='Données projet'!$A$192,'Données projet'!$B$192,EJ26+EI27-ER26)))</f>
        <v>134.76923076923075</v>
      </c>
      <c r="EK27" s="18">
        <f>EJ27*VLOOKUP('Données projet'!$B$15,Paramètres!$A$1:$I$89,3,0)*VLOOKUP('Données projet'!$B$15,Paramètres!$A$1:$I$89,5,0)</f>
        <v>80.591999999999985</v>
      </c>
      <c r="EL27" s="14">
        <f t="shared" si="45"/>
        <v>22.281869037622069</v>
      </c>
      <c r="EM27" s="22">
        <f t="shared" si="19"/>
        <v>179.17198857385839</v>
      </c>
      <c r="EN27" s="60">
        <f t="shared" si="20"/>
        <v>465.17198857385836</v>
      </c>
      <c r="EO27" s="60">
        <f ca="1">AVERAGE(OFFSET($EN$3,0,0,'Données projet'!$E$15+1,1))-AVERAGE(OFFSET($H$3,0,0,'Données projet'!$E$15+1,1))</f>
        <v>260.01925143568263</v>
      </c>
      <c r="EP27" s="60">
        <f t="shared" si="46"/>
        <v>269.95358755269427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4.7334573786184828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4.7334573786184828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8.6</v>
      </c>
      <c r="FE27" s="13">
        <f>IF('Données projet'!$A$218&gt;35,FE26+FD27-FM26,IF(A27&lt;'Données projet'!$A$218,$FB$205^A27,IF(A27='Données projet'!$A$218,'Données projet'!$B$218,FE26+FD27-FM26)))</f>
        <v>93.399999999999977</v>
      </c>
      <c r="FF27" s="18">
        <f>FE27*VLOOKUP('Données projet'!$B$16,Paramètres!$A$1:$I$89,3,0)*VLOOKUP('Données projet'!$B$16,Paramètres!$A$1:$I$89,5,0)</f>
        <v>75.766079999999988</v>
      </c>
      <c r="FG27" s="14">
        <f t="shared" si="47"/>
        <v>21.09871541273251</v>
      </c>
      <c r="FH27" s="22">
        <f t="shared" si="22"/>
        <v>168.70618534384241</v>
      </c>
      <c r="FI27" s="60">
        <f t="shared" si="23"/>
        <v>454.70618534384244</v>
      </c>
      <c r="FJ27" s="60">
        <f ca="1">AVERAGE(OFFSET($FI$3,0,0,'Données projet'!$E$16+1,1))-AVERAGE(OFFSET($H$3,0,0,'Données projet'!$E$16+1,1))</f>
        <v>256.19915261735281</v>
      </c>
      <c r="FK27" s="60">
        <f t="shared" si="48"/>
        <v>297.47246687305056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10.190109890109893</v>
      </c>
      <c r="FZ27" s="13">
        <f>IF('Données projet'!$A$244&gt;35,FZ26+FY27-GH26,IF(A27&lt;'Données projet'!$A$244,$FW$205^A27,IF(A27='Données projet'!$A$244,'Données projet'!$B$244,FZ26+FY27-GH26)))</f>
        <v>98.903296703296675</v>
      </c>
      <c r="GA27" s="18">
        <f>FZ27*VLOOKUP('Données projet'!$B$17,Paramètres!$A$1:$I$89,3,0)*VLOOKUP('Données projet'!$B$17,Paramètres!$A$1:$I$89,5,0)</f>
        <v>56.572685714285697</v>
      </c>
      <c r="GB27" s="14">
        <f t="shared" si="49"/>
        <v>16.298792489935416</v>
      </c>
      <c r="GC27" s="22">
        <f t="shared" si="25"/>
        <v>126.91782453901844</v>
      </c>
      <c r="GD27" s="60">
        <f t="shared" si="26"/>
        <v>412.91782453901845</v>
      </c>
      <c r="GE27" s="60">
        <f ca="1">AVERAGE(OFFSET($GD$3,0,0,'Données projet'!$E$17+1,1))-AVERAGE(OFFSET($H$3,0,0,'Données projet'!$E$17+1,1))</f>
        <v>268.71641789629319</v>
      </c>
      <c r="GF27" s="60">
        <f t="shared" si="50"/>
        <v>199.94048514486104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9.2973255111385757</v>
      </c>
      <c r="GO27" s="23">
        <f t="shared" si="27"/>
        <v>9.2973255111385757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>
        <f>VLOOKUP(A27,'Données projet'!$A$269:$I$289,2,0)</f>
        <v>99.723076923076903</v>
      </c>
      <c r="GS27" s="13">
        <f>VLOOKUP(A27,'Données projet'!$A$269:$I$289,9,0)</f>
        <v>11.242307692307683</v>
      </c>
      <c r="GT27" s="13">
        <f t="array" ref="GT27">INDEX(GS:GS,MIN(IF(ISNUMBER(GS27:GS223),ROW(GS27:GS223),"")))</f>
        <v>11.242307692307683</v>
      </c>
      <c r="GU27" s="13">
        <f>IF('Données projet'!$A$270&gt;35,GU26+GT27-HC26,IF(A27&lt;'Données projet'!$A$270,$GR$205^A27,IF(A27='Données projet'!$A$270,'Données projet'!$B$270,GU26+GT27-HC26)))</f>
        <v>99.723076923076917</v>
      </c>
      <c r="GV27" s="18">
        <f>GU27*VLOOKUP('Données projet'!$B$18,Paramètres!$A$1:$I$89,3,0)*VLOOKUP('Données projet'!$B$18,Paramètres!$A$1:$I$89,5,0)</f>
        <v>59.634400000000007</v>
      </c>
      <c r="GW27" s="14">
        <f t="shared" si="51"/>
        <v>17.075801006767037</v>
      </c>
      <c r="GX27" s="22">
        <f t="shared" si="28"/>
        <v>133.60360008678595</v>
      </c>
      <c r="GY27" s="60">
        <f t="shared" si="29"/>
        <v>419.60360008678595</v>
      </c>
      <c r="GZ27" s="60">
        <f ca="1">AVERAGE(OFFSET($GY$3,0,0,'Données projet'!$E$18+1,1))-AVERAGE(OFFSET($H$3,0,0,'Données projet'!$E$18+1,1))</f>
        <v>289.12367833861299</v>
      </c>
      <c r="HA27" s="60">
        <f t="shared" si="52"/>
        <v>229.06617320689003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428.89816692885358</v>
      </c>
      <c r="S28" s="60">
        <f ca="1">AVERAGE(OFFSET($R$3,0,0,'Données projet'!$E$9+1,1))-AVERAGE(OFFSET($H$3,0,0,'Données projet'!$E$9+1,1))</f>
        <v>430.11660085503223</v>
      </c>
      <c r="T28" s="60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16.687912087912085</v>
      </c>
      <c r="AI28" s="14">
        <f>IF('Données projet'!$A$62&gt;35,AI27+AH28-AQ27,IF(A28&lt;'Données projet'!$A$62,$AF$205^A28,IF(A28='Données projet'!$A$62,'Données projet'!$B$62,AI27+AH28-AQ27)))</f>
        <v>185.64395604395605</v>
      </c>
      <c r="AJ28" s="14">
        <f>AI28*VLOOKUP('Données projet'!$B$10,Paramètres!$A$1:$I$89,3,0)*VLOOKUP('Données projet'!$B$10,Paramètres!$A$1:$I$89,5,0)</f>
        <v>103.77497142857143</v>
      </c>
      <c r="AK28" s="14">
        <f t="shared" si="35"/>
        <v>27.859383782043167</v>
      </c>
      <c r="AL28" s="22">
        <f t="shared" si="4"/>
        <v>229.2631686584871</v>
      </c>
      <c r="AM28" s="60">
        <f t="shared" si="5"/>
        <v>516.48539088070936</v>
      </c>
      <c r="AN28" s="60">
        <f ca="1">AVERAGE(OFFSET($AM$3,0,0,'Données projet'!$E$10+1,1))-AVERAGE(OFFSET($H$3,0,0,'Données projet'!$E$10+1,1))</f>
        <v>323.98185264074681</v>
      </c>
      <c r="AO28" s="60">
        <f t="shared" si="36"/>
        <v>301.22207291854005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4.4482348789537474</v>
      </c>
      <c r="AW28" s="23">
        <f>EXP(-LN(2)/2)*AW27+(1-EXP(-LN(2)/2))/(LN(2)/2)*AQ28*AT28*VLOOKUP('Données projet'!$B$10,Paramètres!$A$1:$I$89,3,0)*0.475*44/12</f>
        <v>3.8715098288700975</v>
      </c>
      <c r="AX28" s="23">
        <f t="shared" si="6"/>
        <v>8.319744707823844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76</v>
      </c>
      <c r="BB28" s="13">
        <f>VLOOKUP(A28,'Données projet'!$A$87:$I$107,9,0)</f>
        <v>8.8000000000000007</v>
      </c>
      <c r="BC28" s="13">
        <f t="array" ref="BC28">INDEX(BB:BB,MIN(IF(ISNUMBER(BB28:BB224),ROW(BB28:BB224),"")))</f>
        <v>8.8000000000000007</v>
      </c>
      <c r="BD28" s="13">
        <f>IF('Données projet'!$A$88&gt;35,BD27+BC28-BL27,IF(A28&lt;'Données projet'!$A$88,$BA$205^A28,IF(A28='Données projet'!$A$88,'Données projet'!$B$88,BD27+BC28-BL27)))</f>
        <v>75.999999999999986</v>
      </c>
      <c r="BE28" s="14">
        <f>BD28*VLOOKUP('Données projet'!$B$11,Paramètres!$A$1:$I$89,3,0)*VLOOKUP('Données projet'!$B$11,Paramètres!$A$1:$I$89,5,0)</f>
        <v>65.207999999999998</v>
      </c>
      <c r="BF28" s="14">
        <f t="shared" si="37"/>
        <v>18.478568429485204</v>
      </c>
      <c r="BG28" s="22">
        <f t="shared" si="7"/>
        <v>145.75410668135339</v>
      </c>
      <c r="BH28" s="60">
        <f t="shared" si="8"/>
        <v>432.97632890357562</v>
      </c>
      <c r="BI28" s="60">
        <f ca="1">AVERAGE(OFFSET($BH$3,0,0,'Données projet'!$E$11+1,1))-AVERAGE(OFFSET($H$3,0,0,'Données projet'!$E$11+1,1))</f>
        <v>556.75475431848258</v>
      </c>
      <c r="BJ28" s="60">
        <f t="shared" si="38"/>
        <v>256.77417912163997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114.5</v>
      </c>
      <c r="BW28" s="13">
        <f>VLOOKUP(A28,'Données projet'!$A$113:$I$133,9,0)</f>
        <v>12.500000000000002</v>
      </c>
      <c r="BX28" s="13">
        <f t="array" ref="BX28">INDEX(BW:BW,MIN(IF(ISNUMBER(BW28:BW224),ROW(BW28:BW224),"")))</f>
        <v>12.500000000000002</v>
      </c>
      <c r="BY28" s="13">
        <f>IF('Données projet'!$A$114&gt;35,BY27+BX28-CG27,IF(A28&lt;'Données projet'!$A$114,$BV$205^A28,IF(A28='Données projet'!$A$114,'Données projet'!$B$114,BY27+BX28-CG27)))</f>
        <v>114.5</v>
      </c>
      <c r="BZ28" s="14">
        <f>BY28*VLOOKUP('Données projet'!$B$12,Paramètres!$A$1:$I$89,3,0)*VLOOKUP('Données projet'!$B$12,Paramètres!$A$1:$I$89,5,0)</f>
        <v>83.951399999999992</v>
      </c>
      <c r="CA28" s="14">
        <f t="shared" si="39"/>
        <v>23.100594423051504</v>
      </c>
      <c r="CB28" s="22">
        <f t="shared" si="10"/>
        <v>186.44889028681465</v>
      </c>
      <c r="CC28" s="60">
        <f t="shared" si="11"/>
        <v>473.6711125090369</v>
      </c>
      <c r="CD28" s="60">
        <f ca="1">AVERAGE(OFFSET($CC$3,0,0,'Données projet'!$E$12+1,1))-AVERAGE(OFFSET($H$3,0,0,'Données projet'!$E$12+1,1))</f>
        <v>290.68086183422963</v>
      </c>
      <c r="CE28" s="60">
        <f t="shared" si="40"/>
        <v>317.88330630101785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129</v>
      </c>
      <c r="CR28" s="13">
        <f>VLOOKUP(A28,'Données projet'!$A$139:$I$159,9,0)</f>
        <v>8.1999999999999993</v>
      </c>
      <c r="CS28" s="13">
        <f t="array" ref="CS28">INDEX(CR:CR,MIN(IF(ISNUMBER(CR28:CR224),ROW(CR28:CR224),"")))</f>
        <v>8.1999999999999993</v>
      </c>
      <c r="CT28" s="13">
        <f>IF('Données projet'!$A$140&gt;35,CT27+CS28-DB27,IF(A28&lt;'Données projet'!$A$140,$CQ$205^A28,IF(A28='Données projet'!$A$140,'Données projet'!$B$140,CT27+CS28-DB27)))</f>
        <v>129.00000000000003</v>
      </c>
      <c r="CU28" s="18">
        <f>CT28*VLOOKUP('Données projet'!$B$13,Paramètres!$A$1:$I$89,3,0)*VLOOKUP('Données projet'!$B$13,Paramètres!$A$1:$I$89,5,0)</f>
        <v>84.520800000000008</v>
      </c>
      <c r="CV28" s="14">
        <f t="shared" si="41"/>
        <v>23.238982076664762</v>
      </c>
      <c r="CW28" s="22">
        <f t="shared" si="13"/>
        <v>187.68162045019116</v>
      </c>
      <c r="CX28" s="60">
        <f t="shared" si="14"/>
        <v>474.90384267241336</v>
      </c>
      <c r="CY28" s="60">
        <f ca="1">AVERAGE(OFFSET($CX$3,0,0,'Données projet'!$E$13+1,1))-AVERAGE(OFFSET($H$3,0,0,'Données projet'!$E$13+1,1))</f>
        <v>243.04319555814601</v>
      </c>
      <c r="CZ28" s="60">
        <f t="shared" si="42"/>
        <v>235.68746142880792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239</v>
      </c>
      <c r="DM28" s="13">
        <f>VLOOKUP(A28,'Données projet'!$A$165:$I$185,9,0)</f>
        <v>16.428571428571427</v>
      </c>
      <c r="DN28" s="13">
        <f t="array" ref="DN28">INDEX(DM:DM,MIN(IF(ISNUMBER(DM28:DM224),ROW(DM28:DM224),"")))</f>
        <v>16.428571428571427</v>
      </c>
      <c r="DO28" s="13">
        <f>IF('Données projet'!$A$166&gt;35,DO27+DN28-DW27,IF(A28&lt;'Données projet'!$A$166,$DL$205^A28,IF(A28='Données projet'!$A$166,'Données projet'!$B$166,DO27+DN28-DW27)))</f>
        <v>238.99999999999997</v>
      </c>
      <c r="DP28" s="18">
        <f>DO28*VLOOKUP('Données projet'!$B$14,Paramètres!$A$1:$I$89,3,0)*VLOOKUP('Données projet'!$B$14,Paramètres!$A$1:$I$89,5,0)</f>
        <v>130.49399999999997</v>
      </c>
      <c r="DQ28" s="14">
        <f t="shared" si="43"/>
        <v>34.110483018610772</v>
      </c>
      <c r="DR28" s="22">
        <f t="shared" si="16"/>
        <v>286.68614125741368</v>
      </c>
      <c r="DS28" s="60">
        <f t="shared" si="17"/>
        <v>573.90836347963591</v>
      </c>
      <c r="DT28" s="60">
        <f ca="1">AVERAGE(OFFSET($DS$3,0,0,'Données projet'!$E$14+1,1))-AVERAGE(OFFSET($H$3,0,0,'Données projet'!$E$14+1,1))</f>
        <v>201.4732637505823</v>
      </c>
      <c r="DU28" s="60">
        <f t="shared" si="44"/>
        <v>342.06887933351783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84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0.18</v>
      </c>
      <c r="DZ28" s="17">
        <f>IF(ISNA(VLOOKUP(A28,'Données projet'!$A$165:$I$185,7,0)),0%,VLOOKUP(A28,'Données projet'!$A$165:$I$185,7,0))</f>
        <v>0.4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15.257768991784292</v>
      </c>
      <c r="EC28" s="23">
        <f>EXP(-LN(2)/2)*EC27+(1-EXP(-LN(2)/2))/(LN(2)/2)*DW28*DZ28*VLOOKUP('Données projet'!$B$14,Paramètres!$A$1:$I$89,3,0)*0.475*44/12</f>
        <v>22.630442065043191</v>
      </c>
      <c r="ED28" s="24">
        <f t="shared" si="18"/>
        <v>37.888211056827487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149.83076923076922</v>
      </c>
      <c r="EH28" s="13">
        <f>VLOOKUP(A28,'Données projet'!$A$191:$I$211,9,0)</f>
        <v>15.061538461538461</v>
      </c>
      <c r="EI28" s="13">
        <f t="array" ref="EI28">INDEX(EH:EH,MIN(IF(ISNUMBER(EH28:EH224),ROW(EH28:EH224),"")))</f>
        <v>15.061538461538461</v>
      </c>
      <c r="EJ28" s="13">
        <f>IF('Données projet'!$A$192&gt;35,EJ27+EI28-ER27,IF(A28&lt;'Données projet'!$A$192,$EG$205^A28,IF(A28='Données projet'!$A$192,'Données projet'!$B$192,EJ27+EI28-ER27)))</f>
        <v>149.83076923076919</v>
      </c>
      <c r="EK28" s="18">
        <f>EJ28*VLOOKUP('Données projet'!$B$15,Paramètres!$A$1:$I$89,3,0)*VLOOKUP('Données projet'!$B$15,Paramètres!$A$1:$I$89,5,0)</f>
        <v>89.598799999999983</v>
      </c>
      <c r="EL28" s="14">
        <f t="shared" si="45"/>
        <v>24.468440069427142</v>
      </c>
      <c r="EM28" s="22">
        <f t="shared" si="19"/>
        <v>198.66710978758559</v>
      </c>
      <c r="EN28" s="60">
        <f t="shared" si="20"/>
        <v>485.88933200980784</v>
      </c>
      <c r="EO28" s="60">
        <f ca="1">AVERAGE(OFFSET($EN$3,0,0,'Données projet'!$E$15+1,1))-AVERAGE(OFFSET($H$3,0,0,'Données projet'!$E$15+1,1))</f>
        <v>260.01925143568263</v>
      </c>
      <c r="EP28" s="60">
        <f t="shared" si="46"/>
        <v>269.95358755269427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4.6406371665476955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4.6406371665476955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102</v>
      </c>
      <c r="FC28" s="13">
        <f>VLOOKUP(A28,'Données projet'!$A$217:$I$237,9,0)</f>
        <v>8.6</v>
      </c>
      <c r="FD28" s="13">
        <f t="array" ref="FD28">INDEX(FC:FC,MIN(IF(ISNUMBER(FC28:FC224),ROW(FC28:FC224),"")))</f>
        <v>8.6</v>
      </c>
      <c r="FE28" s="13">
        <f>IF('Données projet'!$A$218&gt;35,FE27+FD28-FM27,IF(A28&lt;'Données projet'!$A$218,$FB$205^A28,IF(A28='Données projet'!$A$218,'Données projet'!$B$218,FE27+FD28-FM27)))</f>
        <v>101.99999999999997</v>
      </c>
      <c r="FF28" s="18">
        <f>FE28*VLOOKUP('Données projet'!$B$16,Paramètres!$A$1:$I$89,3,0)*VLOOKUP('Données projet'!$B$16,Paramètres!$A$1:$I$89,5,0)</f>
        <v>82.742399999999975</v>
      </c>
      <c r="FG28" s="14">
        <f t="shared" si="47"/>
        <v>22.806394174303183</v>
      </c>
      <c r="FH28" s="22">
        <f t="shared" si="22"/>
        <v>183.83081652024464</v>
      </c>
      <c r="FI28" s="60">
        <f t="shared" si="23"/>
        <v>471.05303874246687</v>
      </c>
      <c r="FJ28" s="60">
        <f ca="1">AVERAGE(OFFSET($FI$3,0,0,'Données projet'!$E$16+1,1))-AVERAGE(OFFSET($H$3,0,0,'Données projet'!$E$16+1,1))</f>
        <v>256.19915261735281</v>
      </c>
      <c r="FK28" s="60">
        <f t="shared" si="48"/>
        <v>297.47246687305056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10.190109890109893</v>
      </c>
      <c r="FZ28" s="13">
        <f>IF('Données projet'!$A$244&gt;35,FZ27+FY28-GH27,IF(A28&lt;'Données projet'!$A$244,$FW$205^A28,IF(A28='Données projet'!$A$244,'Données projet'!$B$244,FZ27+FY28-GH27)))</f>
        <v>109.09340659340657</v>
      </c>
      <c r="GA28" s="18">
        <f>FZ28*VLOOKUP('Données projet'!$B$17,Paramètres!$A$1:$I$89,3,0)*VLOOKUP('Données projet'!$B$17,Paramètres!$A$1:$I$89,5,0)</f>
        <v>62.401428571428561</v>
      </c>
      <c r="GB28" s="14">
        <f t="shared" si="49"/>
        <v>17.774031828136089</v>
      </c>
      <c r="GC28" s="22">
        <f t="shared" si="25"/>
        <v>139.63892686257512</v>
      </c>
      <c r="GD28" s="60">
        <f t="shared" si="26"/>
        <v>426.86114908479738</v>
      </c>
      <c r="GE28" s="60">
        <f ca="1">AVERAGE(OFFSET($GD$3,0,0,'Données projet'!$E$17+1,1))-AVERAGE(OFFSET($H$3,0,0,'Données projet'!$E$17+1,1))</f>
        <v>268.71641789629319</v>
      </c>
      <c r="GF28" s="60">
        <f t="shared" si="50"/>
        <v>199.94048514486104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6.5742019158247711</v>
      </c>
      <c r="GO28" s="23">
        <f t="shared" si="27"/>
        <v>6.5742019158247711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13.664102564102569</v>
      </c>
      <c r="GU28" s="13">
        <f>IF('Données projet'!$A$270&gt;35,GU27+GT28-HC27,IF(A28&lt;'Données projet'!$A$270,$GR$205^A28,IF(A28='Données projet'!$A$270,'Données projet'!$B$270,GU27+GT28-HC27)))</f>
        <v>113.38717948717948</v>
      </c>
      <c r="GV28" s="18">
        <f>GU28*VLOOKUP('Données projet'!$B$18,Paramètres!$A$1:$I$89,3,0)*VLOOKUP('Données projet'!$B$18,Paramètres!$A$1:$I$89,5,0)</f>
        <v>67.805533333333329</v>
      </c>
      <c r="GW28" s="14">
        <f t="shared" si="51"/>
        <v>19.12748805046628</v>
      </c>
      <c r="GX28" s="22">
        <f t="shared" si="28"/>
        <v>151.40834557678431</v>
      </c>
      <c r="GY28" s="60">
        <f t="shared" si="29"/>
        <v>438.63056779900654</v>
      </c>
      <c r="GZ28" s="60">
        <f ca="1">AVERAGE(OFFSET($GY$3,0,0,'Données projet'!$E$18+1,1))-AVERAGE(OFFSET($H$3,0,0,'Données projet'!$E$18+1,1))</f>
        <v>289.12367833861299</v>
      </c>
      <c r="HA28" s="60">
        <f t="shared" si="52"/>
        <v>229.06617320689003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0">
        <f t="shared" si="0"/>
        <v>428.14827288949664</v>
      </c>
      <c r="S29" s="60">
        <f ca="1">AVERAGE(OFFSET($R$3,0,0,'Données projet'!$E$9+1,1))-AVERAGE(OFFSET($H$3,0,0,'Données projet'!$E$9+1,1))</f>
        <v>430.11660085503223</v>
      </c>
      <c r="T29" s="60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16.687912087912085</v>
      </c>
      <c r="AI29" s="14">
        <f>IF('Données projet'!$A$62&gt;35,AI28+AH29-AQ28,IF(A29&lt;'Données projet'!$A$62,$AF$205^A29,IF(A29='Données projet'!$A$62,'Données projet'!$B$62,AI28+AH29-AQ28)))</f>
        <v>202.33186813186813</v>
      </c>
      <c r="AJ29" s="14">
        <f>AI29*VLOOKUP('Données projet'!$B$10,Paramètres!$A$1:$I$89,3,0)*VLOOKUP('Données projet'!$B$10,Paramètres!$A$1:$I$89,5,0)</f>
        <v>113.1035142857143</v>
      </c>
      <c r="AK29" s="14">
        <f t="shared" si="35"/>
        <v>30.061008485627202</v>
      </c>
      <c r="AL29" s="22">
        <f t="shared" si="4"/>
        <v>249.34487716008644</v>
      </c>
      <c r="AM29" s="60">
        <f t="shared" si="5"/>
        <v>537.78932160453087</v>
      </c>
      <c r="AN29" s="60">
        <f ca="1">AVERAGE(OFFSET($AM$3,0,0,'Données projet'!$E$10+1,1))-AVERAGE(OFFSET($H$3,0,0,'Données projet'!$E$10+1,1))</f>
        <v>323.98185264074681</v>
      </c>
      <c r="AO29" s="60">
        <f t="shared" si="36"/>
        <v>301.22207291854005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4.3265976622662512</v>
      </c>
      <c r="AW29" s="23">
        <f>EXP(-LN(2)/2)*AW28+(1-EXP(-LN(2)/2))/(LN(2)/2)*AQ29*AT29*VLOOKUP('Données projet'!$B$10,Paramètres!$A$1:$I$89,3,0)*0.475*44/12</f>
        <v>2.7375708534244163</v>
      </c>
      <c r="AX29" s="23">
        <f t="shared" si="6"/>
        <v>7.0641685156906675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9.4</v>
      </c>
      <c r="BD29" s="13">
        <f>IF('Données projet'!$A$88&gt;35,BD28+BC29-BL28,IF(A29&lt;'Données projet'!$A$88,$BA$205^A29,IF(A29='Données projet'!$A$88,'Données projet'!$B$88,BD28+BC29-BL28)))</f>
        <v>78.399999999999991</v>
      </c>
      <c r="BE29" s="14">
        <f>BD29*VLOOKUP('Données projet'!$B$11,Paramètres!$A$1:$I$89,3,0)*VLOOKUP('Données projet'!$B$11,Paramètres!$A$1:$I$89,5,0)</f>
        <v>67.267200000000003</v>
      </c>
      <c r="BF29" s="14">
        <f t="shared" si="37"/>
        <v>18.993242158132926</v>
      </c>
      <c r="BG29" s="22">
        <f t="shared" si="7"/>
        <v>150.23693675874819</v>
      </c>
      <c r="BH29" s="60">
        <f t="shared" si="8"/>
        <v>438.68138120319264</v>
      </c>
      <c r="BI29" s="60">
        <f ca="1">AVERAGE(OFFSET($BH$3,0,0,'Données projet'!$E$11+1,1))-AVERAGE(OFFSET($H$3,0,0,'Données projet'!$E$11+1,1))</f>
        <v>556.75475431848258</v>
      </c>
      <c r="BJ29" s="60">
        <f t="shared" si="38"/>
        <v>256.77417912163997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126.5</v>
      </c>
      <c r="BZ29" s="14">
        <f>BY29*VLOOKUP('Données projet'!$B$12,Paramètres!$A$1:$I$89,3,0)*VLOOKUP('Données projet'!$B$12,Paramètres!$A$1:$I$89,5,0)</f>
        <v>92.749800000000008</v>
      </c>
      <c r="CA29" s="14">
        <f t="shared" si="39"/>
        <v>25.227244455268032</v>
      </c>
      <c r="CB29" s="22">
        <f t="shared" si="10"/>
        <v>205.47668575959185</v>
      </c>
      <c r="CC29" s="60">
        <f t="shared" si="11"/>
        <v>493.92113020403633</v>
      </c>
      <c r="CD29" s="60">
        <f ca="1">AVERAGE(OFFSET($CC$3,0,0,'Données projet'!$E$12+1,1))-AVERAGE(OFFSET($H$3,0,0,'Données projet'!$E$12+1,1))</f>
        <v>290.68086183422963</v>
      </c>
      <c r="CE29" s="60">
        <f t="shared" si="40"/>
        <v>317.88330630101785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7.8</v>
      </c>
      <c r="CT29" s="13">
        <f>IF('Données projet'!$A$140&gt;35,CT28+CS29-DB28,IF(A29&lt;'Données projet'!$A$140,$CQ$205^A29,IF(A29='Données projet'!$A$140,'Données projet'!$B$140,CT28+CS29-DB28)))</f>
        <v>105.80000000000004</v>
      </c>
      <c r="CU29" s="18">
        <f>CT29*VLOOKUP('Données projet'!$B$13,Paramètres!$A$1:$I$89,3,0)*VLOOKUP('Données projet'!$B$13,Paramètres!$A$1:$I$89,5,0)</f>
        <v>69.32016000000003</v>
      </c>
      <c r="CV29" s="14">
        <f t="shared" si="41"/>
        <v>19.50453356393022</v>
      </c>
      <c r="CW29" s="22">
        <f t="shared" si="13"/>
        <v>154.7030079571785</v>
      </c>
      <c r="CX29" s="60">
        <f t="shared" si="14"/>
        <v>443.14745240162296</v>
      </c>
      <c r="CY29" s="60">
        <f ca="1">AVERAGE(OFFSET($CX$3,0,0,'Données projet'!$E$13+1,1))-AVERAGE(OFFSET($H$3,0,0,'Données projet'!$E$13+1,1))</f>
        <v>243.04319555814601</v>
      </c>
      <c r="CZ29" s="60">
        <f t="shared" si="42"/>
        <v>235.68746142880792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20</v>
      </c>
      <c r="DO29" s="13">
        <f>IF('Données projet'!$A$166&gt;35,DO28+DN29-DW28,IF(A29&lt;'Données projet'!$A$166,$DL$205^A29,IF(A29='Données projet'!$A$166,'Données projet'!$B$166,DO28+DN29-DW28)))</f>
        <v>175</v>
      </c>
      <c r="DP29" s="18">
        <f>DO29*VLOOKUP('Données projet'!$B$14,Paramètres!$A$1:$I$89,3,0)*VLOOKUP('Données projet'!$B$14,Paramètres!$A$1:$I$89,5,0)</f>
        <v>95.55</v>
      </c>
      <c r="DQ29" s="14">
        <f t="shared" si="43"/>
        <v>25.899054157375318</v>
      </c>
      <c r="DR29" s="22">
        <f t="shared" si="16"/>
        <v>211.5237693240953</v>
      </c>
      <c r="DS29" s="60">
        <f t="shared" si="17"/>
        <v>499.96821376853973</v>
      </c>
      <c r="DT29" s="60">
        <f ca="1">AVERAGE(OFFSET($DS$3,0,0,'Données projet'!$E$14+1,1))-AVERAGE(OFFSET($H$3,0,0,'Données projet'!$E$14+1,1))</f>
        <v>201.4732637505823</v>
      </c>
      <c r="DU29" s="60">
        <f t="shared" si="44"/>
        <v>342.06887933351783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14.840544496332752</v>
      </c>
      <c r="EC29" s="23">
        <f>EXP(-LN(2)/2)*EC28+(1-EXP(-LN(2)/2))/(LN(2)/2)*DW29*DZ29*VLOOKUP('Données projet'!$B$14,Paramètres!$A$1:$I$89,3,0)*0.475*44/12</f>
        <v>16.002139045441336</v>
      </c>
      <c r="ED29" s="24">
        <f t="shared" si="18"/>
        <v>30.842683541774086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15.078846153846158</v>
      </c>
      <c r="EJ29" s="13">
        <f>IF('Données projet'!$A$192&gt;35,EJ28+EI29-ER28,IF(A29&lt;'Données projet'!$A$192,$EG$205^A29,IF(A29='Données projet'!$A$192,'Données projet'!$B$192,EJ28+EI29-ER28)))</f>
        <v>164.90961538461534</v>
      </c>
      <c r="EK29" s="18">
        <f>EJ29*VLOOKUP('Données projet'!$B$15,Paramètres!$A$1:$I$89,3,0)*VLOOKUP('Données projet'!$B$15,Paramètres!$A$1:$I$89,5,0)</f>
        <v>98.615949999999984</v>
      </c>
      <c r="EL29" s="14">
        <f t="shared" si="45"/>
        <v>26.631999739513677</v>
      </c>
      <c r="EM29" s="22">
        <f t="shared" si="19"/>
        <v>218.14017912965292</v>
      </c>
      <c r="EN29" s="60">
        <f t="shared" si="20"/>
        <v>506.58462357409735</v>
      </c>
      <c r="EO29" s="60">
        <f ca="1">AVERAGE(OFFSET($EN$3,0,0,'Données projet'!$E$15+1,1))-AVERAGE(OFFSET($H$3,0,0,'Données projet'!$E$15+1,1))</f>
        <v>260.01925143568263</v>
      </c>
      <c r="EP29" s="60">
        <f t="shared" si="46"/>
        <v>269.95358755269427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4.5496371022208777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4.5496371022208777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8.8000000000000007</v>
      </c>
      <c r="FE29" s="13">
        <f>IF('Données projet'!$A$218&gt;35,FE28+FD29-FM28,IF(A29&lt;'Données projet'!$A$218,$FB$205^A29,IF(A29='Données projet'!$A$218,'Données projet'!$B$218,FE28+FD29-FM28)))</f>
        <v>110.79999999999997</v>
      </c>
      <c r="FF29" s="18">
        <f>FE29*VLOOKUP('Données projet'!$B$16,Paramètres!$A$1:$I$89,3,0)*VLOOKUP('Données projet'!$B$16,Paramètres!$A$1:$I$89,5,0)</f>
        <v>89.880959999999973</v>
      </c>
      <c r="FG29" s="14">
        <f t="shared" si="47"/>
        <v>24.536513201257339</v>
      </c>
      <c r="FH29" s="22">
        <f t="shared" si="22"/>
        <v>199.27709915885649</v>
      </c>
      <c r="FI29" s="60">
        <f t="shared" si="23"/>
        <v>487.72154360330092</v>
      </c>
      <c r="FJ29" s="60">
        <f ca="1">AVERAGE(OFFSET($FI$3,0,0,'Données projet'!$E$16+1,1))-AVERAGE(OFFSET($H$3,0,0,'Données projet'!$E$16+1,1))</f>
        <v>256.19915261735281</v>
      </c>
      <c r="FK29" s="60">
        <f t="shared" si="48"/>
        <v>297.47246687305056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10.190109890109893</v>
      </c>
      <c r="FZ29" s="13">
        <f>IF('Données projet'!$A$244&gt;35,FZ28+FY29-GH28,IF(A29&lt;'Données projet'!$A$244,$FW$205^A29,IF(A29='Données projet'!$A$244,'Données projet'!$B$244,FZ28+FY29-GH28)))</f>
        <v>119.28351648351646</v>
      </c>
      <c r="GA29" s="18">
        <f>FZ29*VLOOKUP('Données projet'!$B$17,Paramètres!$A$1:$I$89,3,0)*VLOOKUP('Données projet'!$B$17,Paramètres!$A$1:$I$89,5,0)</f>
        <v>68.230171428571424</v>
      </c>
      <c r="GB29" s="14">
        <f t="shared" si="49"/>
        <v>19.23329385880966</v>
      </c>
      <c r="GC29" s="22">
        <f t="shared" si="25"/>
        <v>152.3322020421887</v>
      </c>
      <c r="GD29" s="60">
        <f t="shared" si="26"/>
        <v>440.77664648663313</v>
      </c>
      <c r="GE29" s="60">
        <f ca="1">AVERAGE(OFFSET($GD$3,0,0,'Données projet'!$E$17+1,1))-AVERAGE(OFFSET($H$3,0,0,'Données projet'!$E$17+1,1))</f>
        <v>268.71641789629319</v>
      </c>
      <c r="GF29" s="60">
        <f t="shared" si="50"/>
        <v>199.94048514486104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4.6486627555692879</v>
      </c>
      <c r="GO29" s="23">
        <f t="shared" si="27"/>
        <v>4.6486627555692879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13.664102564102569</v>
      </c>
      <c r="GU29" s="13">
        <f>IF('Données projet'!$A$270&gt;35,GU28+GT29-HC28,IF(A29&lt;'Données projet'!$A$270,$GR$205^A29,IF(A29='Données projet'!$A$270,'Données projet'!$B$270,GU28+GT29-HC28)))</f>
        <v>127.05128205128204</v>
      </c>
      <c r="GV29" s="18">
        <f>GU29*VLOOKUP('Données projet'!$B$18,Paramètres!$A$1:$I$89,3,0)*VLOOKUP('Données projet'!$B$18,Paramètres!$A$1:$I$89,5,0)</f>
        <v>75.976666666666659</v>
      </c>
      <c r="GW29" s="14">
        <f t="shared" si="51"/>
        <v>21.150523503463145</v>
      </c>
      <c r="GX29" s="22">
        <f t="shared" si="28"/>
        <v>169.16318954630938</v>
      </c>
      <c r="GY29" s="60">
        <f t="shared" si="29"/>
        <v>457.60763399075381</v>
      </c>
      <c r="GZ29" s="60">
        <f ca="1">AVERAGE(OFFSET($GY$3,0,0,'Données projet'!$E$18+1,1))-AVERAGE(OFFSET($H$3,0,0,'Données projet'!$E$18+1,1))</f>
        <v>289.12367833861299</v>
      </c>
      <c r="HA29" s="60">
        <f t="shared" si="52"/>
        <v>229.06617320689003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0">
        <f t="shared" si="0"/>
        <v>443.16183437358302</v>
      </c>
      <c r="S30" s="60">
        <f ca="1">AVERAGE(OFFSET($R$3,0,0,'Données projet'!$E$9+1,1))-AVERAGE(OFFSET($H$3,0,0,'Données projet'!$E$9+1,1))</f>
        <v>430.11660085503223</v>
      </c>
      <c r="T30" s="60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16.687912087912085</v>
      </c>
      <c r="AI30" s="14">
        <f>IF('Données projet'!$A$62&gt;35,AI29+AH30-AQ29,IF(A30&lt;'Données projet'!$A$62,$AF$205^A30,IF(A30='Données projet'!$A$62,'Données projet'!$B$62,AI29+AH30-AQ29)))</f>
        <v>219.01978021978022</v>
      </c>
      <c r="AJ30" s="14">
        <f>AI30*VLOOKUP('Données projet'!$B$10,Paramètres!$A$1:$I$89,3,0)*VLOOKUP('Données projet'!$B$10,Paramètres!$A$1:$I$89,5,0)</f>
        <v>122.43205714285713</v>
      </c>
      <c r="AK30" s="14">
        <f t="shared" si="35"/>
        <v>32.241572593058322</v>
      </c>
      <c r="AL30" s="22">
        <f t="shared" si="4"/>
        <v>269.38990512338609</v>
      </c>
      <c r="AM30" s="60">
        <f t="shared" si="5"/>
        <v>559.05657179005277</v>
      </c>
      <c r="AN30" s="60">
        <f ca="1">AVERAGE(OFFSET($AM$3,0,0,'Données projet'!$E$10+1,1))-AVERAGE(OFFSET($H$3,0,0,'Données projet'!$E$10+1,1))</f>
        <v>323.98185264074681</v>
      </c>
      <c r="AO30" s="60">
        <f t="shared" si="36"/>
        <v>301.22207291854005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4.2082866216656978</v>
      </c>
      <c r="AW30" s="23">
        <f>EXP(-LN(2)/2)*AW29+(1-EXP(-LN(2)/2))/(LN(2)/2)*AQ30*AT30*VLOOKUP('Données projet'!$B$10,Paramètres!$A$1:$I$89,3,0)*0.475*44/12</f>
        <v>1.935754914435049</v>
      </c>
      <c r="AX30" s="23">
        <f t="shared" si="6"/>
        <v>6.1440415361007465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9.4</v>
      </c>
      <c r="BD30" s="13">
        <f>IF('Données projet'!$A$88&gt;35,BD29+BC30-BL29,IF(A30&lt;'Données projet'!$A$88,$BA$205^A30,IF(A30='Données projet'!$A$88,'Données projet'!$B$88,BD29+BC30-BL29)))</f>
        <v>87.8</v>
      </c>
      <c r="BE30" s="14">
        <f>BD30*VLOOKUP('Données projet'!$B$11,Paramètres!$A$1:$I$89,3,0)*VLOOKUP('Données projet'!$B$11,Paramètres!$A$1:$I$89,5,0)</f>
        <v>75.332400000000007</v>
      </c>
      <c r="BF30" s="14">
        <f t="shared" si="37"/>
        <v>20.991969498724234</v>
      </c>
      <c r="BG30" s="22">
        <f t="shared" si="7"/>
        <v>167.76494354361137</v>
      </c>
      <c r="BH30" s="60">
        <f t="shared" si="8"/>
        <v>457.43161021027805</v>
      </c>
      <c r="BI30" s="60">
        <f ca="1">AVERAGE(OFFSET($BH$3,0,0,'Données projet'!$E$11+1,1))-AVERAGE(OFFSET($H$3,0,0,'Données projet'!$E$11+1,1))</f>
        <v>556.75475431848258</v>
      </c>
      <c r="BJ30" s="60">
        <f t="shared" si="38"/>
        <v>256.77417912163997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138.5</v>
      </c>
      <c r="BZ30" s="14">
        <f>BY30*VLOOKUP('Données projet'!$B$12,Paramètres!$A$1:$I$89,3,0)*VLOOKUP('Données projet'!$B$12,Paramètres!$A$1:$I$89,5,0)</f>
        <v>101.54820000000001</v>
      </c>
      <c r="CA30" s="14">
        <f t="shared" si="39"/>
        <v>27.330504406668176</v>
      </c>
      <c r="CB30" s="22">
        <f t="shared" si="10"/>
        <v>224.46374350828043</v>
      </c>
      <c r="CC30" s="60">
        <f t="shared" si="11"/>
        <v>514.13041017494709</v>
      </c>
      <c r="CD30" s="60">
        <f ca="1">AVERAGE(OFFSET($CC$3,0,0,'Données projet'!$E$12+1,1))-AVERAGE(OFFSET($H$3,0,0,'Données projet'!$E$12+1,1))</f>
        <v>290.68086183422963</v>
      </c>
      <c r="CE30" s="60">
        <f t="shared" si="40"/>
        <v>317.88330630101785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7.8</v>
      </c>
      <c r="CT30" s="13">
        <f>IF('Données projet'!$A$140&gt;35,CT29+CS30-DB29,IF(A30&lt;'Données projet'!$A$140,$CQ$205^A30,IF(A30='Données projet'!$A$140,'Données projet'!$B$140,CT29+CS30-DB29)))</f>
        <v>113.60000000000004</v>
      </c>
      <c r="CU30" s="18">
        <f>CT30*VLOOKUP('Données projet'!$B$13,Paramètres!$A$1:$I$89,3,0)*VLOOKUP('Données projet'!$B$13,Paramètres!$A$1:$I$89,5,0)</f>
        <v>74.430720000000022</v>
      </c>
      <c r="CV30" s="14">
        <f t="shared" si="41"/>
        <v>20.76980057385482</v>
      </c>
      <c r="CW30" s="22">
        <f t="shared" si="13"/>
        <v>165.80757333279718</v>
      </c>
      <c r="CX30" s="60">
        <f t="shared" si="14"/>
        <v>455.47423999946386</v>
      </c>
      <c r="CY30" s="60">
        <f ca="1">AVERAGE(OFFSET($CX$3,0,0,'Données projet'!$E$13+1,1))-AVERAGE(OFFSET($H$3,0,0,'Données projet'!$E$13+1,1))</f>
        <v>243.04319555814601</v>
      </c>
      <c r="CZ30" s="60">
        <f t="shared" si="42"/>
        <v>235.68746142880792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20</v>
      </c>
      <c r="DO30" s="13">
        <f>IF('Données projet'!$A$166&gt;35,DO29+DN30-DW29,IF(A30&lt;'Données projet'!$A$166,$DL$205^A30,IF(A30='Données projet'!$A$166,'Données projet'!$B$166,DO29+DN30-DW29)))</f>
        <v>195</v>
      </c>
      <c r="DP30" s="18">
        <f>DO30*VLOOKUP('Données projet'!$B$14,Paramètres!$A$1:$I$89,3,0)*VLOOKUP('Données projet'!$B$14,Paramètres!$A$1:$I$89,5,0)</f>
        <v>106.47</v>
      </c>
      <c r="DQ30" s="14">
        <f t="shared" si="43"/>
        <v>28.49771681771891</v>
      </c>
      <c r="DR30" s="22">
        <f t="shared" si="16"/>
        <v>235.06877345752704</v>
      </c>
      <c r="DS30" s="60">
        <f t="shared" si="17"/>
        <v>524.7354401241937</v>
      </c>
      <c r="DT30" s="60">
        <f ca="1">AVERAGE(OFFSET($DS$3,0,0,'Données projet'!$E$14+1,1))-AVERAGE(OFFSET($H$3,0,0,'Données projet'!$E$14+1,1))</f>
        <v>201.4732637505823</v>
      </c>
      <c r="DU30" s="60">
        <f t="shared" si="44"/>
        <v>342.06887933351783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14.434729026650217</v>
      </c>
      <c r="EC30" s="23">
        <f>EXP(-LN(2)/2)*EC29+(1-EXP(-LN(2)/2))/(LN(2)/2)*DW30*DZ30*VLOOKUP('Données projet'!$B$14,Paramètres!$A$1:$I$89,3,0)*0.475*44/12</f>
        <v>11.315221032521595</v>
      </c>
      <c r="ED30" s="24">
        <f t="shared" si="18"/>
        <v>25.749950059171812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15.078846153846158</v>
      </c>
      <c r="EJ30" s="13">
        <f>IF('Données projet'!$A$192&gt;35,EJ29+EI30-ER29,IF(A30&lt;'Données projet'!$A$192,$EG$205^A30,IF(A30='Données projet'!$A$192,'Données projet'!$B$192,EJ29+EI30-ER29)))</f>
        <v>179.98846153846148</v>
      </c>
      <c r="EK30" s="18">
        <f>EJ30*VLOOKUP('Données projet'!$B$15,Paramètres!$A$1:$I$89,3,0)*VLOOKUP('Données projet'!$B$15,Paramètres!$A$1:$I$89,5,0)</f>
        <v>107.63309999999997</v>
      </c>
      <c r="EL30" s="14">
        <f t="shared" si="45"/>
        <v>28.772620454226065</v>
      </c>
      <c r="EM30" s="22">
        <f t="shared" si="19"/>
        <v>237.57329645777699</v>
      </c>
      <c r="EN30" s="60">
        <f t="shared" si="20"/>
        <v>527.23996312444365</v>
      </c>
      <c r="EO30" s="60">
        <f ca="1">AVERAGE(OFFSET($EN$3,0,0,'Données projet'!$E$15+1,1))-AVERAGE(OFFSET($H$3,0,0,'Données projet'!$E$15+1,1))</f>
        <v>260.01925143568263</v>
      </c>
      <c r="EP30" s="60">
        <f t="shared" si="46"/>
        <v>269.95358755269427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4.4604214936509496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4.4604214936509496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8.8000000000000007</v>
      </c>
      <c r="FE30" s="13">
        <f>IF('Données projet'!$A$218&gt;35,FE29+FD30-FM29,IF(A30&lt;'Données projet'!$A$218,$FB$205^A30,IF(A30='Données projet'!$A$218,'Données projet'!$B$218,FE29+FD30-FM29)))</f>
        <v>119.59999999999997</v>
      </c>
      <c r="FF30" s="18">
        <f>FE30*VLOOKUP('Données projet'!$B$16,Paramètres!$A$1:$I$89,3,0)*VLOOKUP('Données projet'!$B$16,Paramètres!$A$1:$I$89,5,0)</f>
        <v>97.019519999999986</v>
      </c>
      <c r="FG30" s="14">
        <f t="shared" si="47"/>
        <v>26.250693712468323</v>
      </c>
      <c r="FH30" s="22">
        <f t="shared" si="22"/>
        <v>214.69562221588228</v>
      </c>
      <c r="FI30" s="60">
        <f t="shared" si="23"/>
        <v>504.36228888254897</v>
      </c>
      <c r="FJ30" s="60">
        <f ca="1">AVERAGE(OFFSET($FI$3,0,0,'Données projet'!$E$16+1,1))-AVERAGE(OFFSET($H$3,0,0,'Données projet'!$E$16+1,1))</f>
        <v>256.19915261735281</v>
      </c>
      <c r="FK30" s="60">
        <f t="shared" si="48"/>
        <v>297.47246687305056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10.190109890109893</v>
      </c>
      <c r="FZ30" s="13">
        <f>IF('Données projet'!$A$244&gt;35,FZ29+FY30-GH29,IF(A30&lt;'Données projet'!$A$244,$FW$205^A30,IF(A30='Données projet'!$A$244,'Données projet'!$B$244,FZ29+FY30-GH29)))</f>
        <v>129.47362637362636</v>
      </c>
      <c r="GA30" s="18">
        <f>FZ30*VLOOKUP('Données projet'!$B$17,Paramètres!$A$1:$I$89,3,0)*VLOOKUP('Données projet'!$B$17,Paramètres!$A$1:$I$89,5,0)</f>
        <v>74.05891428571428</v>
      </c>
      <c r="GB30" s="14">
        <f t="shared" si="49"/>
        <v>20.678098670004484</v>
      </c>
      <c r="GC30" s="22">
        <f t="shared" si="25"/>
        <v>165.0002975645435</v>
      </c>
      <c r="GD30" s="60">
        <f t="shared" si="26"/>
        <v>454.66696423121016</v>
      </c>
      <c r="GE30" s="60">
        <f ca="1">AVERAGE(OFFSET($GD$3,0,0,'Données projet'!$E$17+1,1))-AVERAGE(OFFSET($H$3,0,0,'Données projet'!$E$17+1,1))</f>
        <v>268.71641789629319</v>
      </c>
      <c r="GF30" s="60">
        <f t="shared" si="50"/>
        <v>199.94048514486104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3.2871009579123855</v>
      </c>
      <c r="GO30" s="23">
        <f t="shared" si="27"/>
        <v>3.2871009579123855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>
        <f>VLOOKUP(A30,'Données projet'!$A$269:$I$289,2,0)</f>
        <v>140.71538461538461</v>
      </c>
      <c r="GS30" s="13">
        <f>VLOOKUP(A30,'Données projet'!$A$269:$I$289,9,0)</f>
        <v>13.664102564102569</v>
      </c>
      <c r="GT30" s="13">
        <f t="array" ref="GT30">INDEX(GS:GS,MIN(IF(ISNUMBER(GS30:GS226),ROW(GS30:GS226),"")))</f>
        <v>13.664102564102569</v>
      </c>
      <c r="GU30" s="13">
        <f>IF('Données projet'!$A$270&gt;35,GU29+GT30-HC29,IF(A30&lt;'Données projet'!$A$270,$GR$205^A30,IF(A30='Données projet'!$A$270,'Données projet'!$B$270,GU29+GT30-HC29)))</f>
        <v>140.71538461538461</v>
      </c>
      <c r="GV30" s="18">
        <f>GU30*VLOOKUP('Données projet'!$B$18,Paramètres!$A$1:$I$89,3,0)*VLOOKUP('Données projet'!$B$18,Paramètres!$A$1:$I$89,5,0)</f>
        <v>84.147799999999989</v>
      </c>
      <c r="GW30" s="14">
        <f t="shared" si="51"/>
        <v>23.148340019013887</v>
      </c>
      <c r="GX30" s="22">
        <f t="shared" si="28"/>
        <v>186.87411053311584</v>
      </c>
      <c r="GY30" s="60">
        <f t="shared" si="29"/>
        <v>476.5407771997825</v>
      </c>
      <c r="GZ30" s="60">
        <f ca="1">AVERAGE(OFFSET($GY$3,0,0,'Données projet'!$E$18+1,1))-AVERAGE(OFFSET($H$3,0,0,'Données projet'!$E$18+1,1))</f>
        <v>289.12367833861299</v>
      </c>
      <c r="HA30" s="60">
        <f t="shared" si="52"/>
        <v>229.06617320689003</v>
      </c>
      <c r="HB30" s="16">
        <f>IF(ISNA(VLOOKUP(A30,'Données projet'!$A$269:$I$289,3,0)),0,VLOOKUP(A30,'Données projet'!$A$269:$I$289,3,0))</f>
        <v>2</v>
      </c>
      <c r="HC30" s="16">
        <f>IF(ISNA(VLOOKUP(A30,'Données projet'!$A$269:$I$289,4,0)),0,VLOOKUP(A30,'Données projet'!$A$269:$I$289,4,0))</f>
        <v>34.646153846153844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0.5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11.729020816536163</v>
      </c>
      <c r="HJ30" s="24">
        <f t="shared" si="30"/>
        <v>11.729020816536163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0">
        <f t="shared" si="0"/>
        <v>458.14591643983221</v>
      </c>
      <c r="S31" s="60">
        <f ca="1">AVERAGE(OFFSET($R$3,0,0,'Données projet'!$E$9+1,1))-AVERAGE(OFFSET($H$3,0,0,'Données projet'!$E$9+1,1))</f>
        <v>430.11660085503223</v>
      </c>
      <c r="T31" s="60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235.7076923076923</v>
      </c>
      <c r="AG31" s="13">
        <f>VLOOKUP(A31,'Données projet'!$A$61:$I$81,9,0)</f>
        <v>16.687912087912085</v>
      </c>
      <c r="AH31" s="13">
        <f t="array" ref="AH31">INDEX(AG:AG,MIN(IF(ISNUMBER(AG31:AG227),ROW(AG31:AG227),"")))</f>
        <v>16.687912087912085</v>
      </c>
      <c r="AI31" s="14">
        <f>IF('Données projet'!$A$62&gt;35,AI30+AH31-AQ30,IF(A31&lt;'Données projet'!$A$62,$AF$205^A31,IF(A31='Données projet'!$A$62,'Données projet'!$B$62,AI30+AH31-AQ30)))</f>
        <v>235.7076923076923</v>
      </c>
      <c r="AJ31" s="14">
        <f>AI31*VLOOKUP('Données projet'!$B$10,Paramètres!$A$1:$I$89,3,0)*VLOOKUP('Données projet'!$B$10,Paramètres!$A$1:$I$89,5,0)</f>
        <v>131.76059999999998</v>
      </c>
      <c r="AK31" s="14">
        <f t="shared" si="35"/>
        <v>34.402863243711892</v>
      </c>
      <c r="AL31" s="22">
        <f t="shared" si="4"/>
        <v>289.40136514946488</v>
      </c>
      <c r="AM31" s="60">
        <f t="shared" si="5"/>
        <v>580.29025403835374</v>
      </c>
      <c r="AN31" s="60">
        <f ca="1">AVERAGE(OFFSET($AM$3,0,0,'Données projet'!$E$10+1,1))-AVERAGE(OFFSET($H$3,0,0,'Données projet'!$E$10+1,1))</f>
        <v>323.98185264074681</v>
      </c>
      <c r="AO31" s="60">
        <f t="shared" si="36"/>
        <v>301.22207291854005</v>
      </c>
      <c r="AP31" s="16">
        <f>IF(ISNA(VLOOKUP(A31,'Données projet'!$A$61:$I$81,3,0)),0,VLOOKUP(A31,'Données projet'!$A$61:$I$81,3,0))</f>
        <v>2</v>
      </c>
      <c r="AQ31" s="16">
        <f>IF(ISNA(VLOOKUP(A31,'Données projet'!$A$61:$I$81,4,0)),0,VLOOKUP(A31,'Données projet'!$A$61:$I$81,4,0))</f>
        <v>56.91538461538461</v>
      </c>
      <c r="AR31" s="17">
        <f>IF(ISNA(VLOOKUP(A31,'Données projet'!$A$61:$I$81,5,0)),0%,VLOOKUP(A31,'Données projet'!$A$61:$I$81,5,0)*VLOOKUP('Données projet'!$B$10,Paramètres!$A$1:$I$89,7,0))</f>
        <v>0.11000000000000001</v>
      </c>
      <c r="AS31" s="17">
        <f>IF(ISNA(VLOOKUP(A31,'Données projet'!$A$61:$I$81,6,0)),0%,VLOOKUP(A31,'Données projet'!$A$61:$I$81,6,0)*VLOOKUP('Données projet'!$B$10,Paramètres!$A$1:$I$89,7,0))</f>
        <v>0.11000000000000001</v>
      </c>
      <c r="AT31" s="17">
        <f>IF(ISNA(VLOOKUP(A31,'Données projet'!$A$61:$I$81,7,0)),0%,VLOOKUP(A31,'Données projet'!$A$61:$I$81,7,0))</f>
        <v>0.3</v>
      </c>
      <c r="AU31" s="23">
        <f>EXP(-LN(2)/35)*AU30+(1-EXP(-LN(2)/35))/(LN(2)/35)*AQ31*AR31*VLOOKUP('Données projet'!$B$10,Paramètres!$A$1:$I$89,3,0)*0.475*44/12</f>
        <v>4.6426134419420562</v>
      </c>
      <c r="AV31" s="23">
        <f>EXP(-LN(2)/25)*AV30+(1-EXP(-LN(2)/25))/(LN(2)/25)*Calculateur!AQ31*Calculateur!AS31*VLOOKUP('Données projet'!$B$10,Paramètres!$A$1:$I$89,3,0)*0.475*44/12</f>
        <v>8.7175445065387969</v>
      </c>
      <c r="AW31" s="23">
        <f>EXP(-LN(2)/2)*AW30+(1-EXP(-LN(2)/2))/(LN(2)/2)*AQ31*AT31*VLOOKUP('Données projet'!$B$10,Paramètres!$A$1:$I$89,3,0)*0.475*44/12</f>
        <v>12.175614359236038</v>
      </c>
      <c r="AX31" s="23">
        <f t="shared" si="6"/>
        <v>25.53577230771689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9.4</v>
      </c>
      <c r="BD31" s="13">
        <f>IF('Données projet'!$A$88&gt;35,BD30+BC31-BL30,IF(A31&lt;'Données projet'!$A$88,$BA$205^A31,IF(A31='Données projet'!$A$88,'Données projet'!$B$88,BD30+BC31-BL30)))</f>
        <v>97.2</v>
      </c>
      <c r="BE31" s="14">
        <f>BD31*VLOOKUP('Données projet'!$B$11,Paramètres!$A$1:$I$89,3,0)*VLOOKUP('Données projet'!$B$11,Paramètres!$A$1:$I$89,5,0)</f>
        <v>83.397600000000011</v>
      </c>
      <c r="BF31" s="14">
        <f t="shared" si="37"/>
        <v>22.965893371329315</v>
      </c>
      <c r="BG31" s="22">
        <f t="shared" si="7"/>
        <v>185.24975095506522</v>
      </c>
      <c r="BH31" s="60">
        <f t="shared" si="8"/>
        <v>476.13863984395408</v>
      </c>
      <c r="BI31" s="60">
        <f ca="1">AVERAGE(OFFSET($BH$3,0,0,'Données projet'!$E$11+1,1))-AVERAGE(OFFSET($H$3,0,0,'Données projet'!$E$11+1,1))</f>
        <v>556.75475431848258</v>
      </c>
      <c r="BJ31" s="60">
        <f t="shared" si="38"/>
        <v>256.77417912163997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150.5</v>
      </c>
      <c r="BZ31" s="14">
        <f>BY31*VLOOKUP('Données projet'!$B$12,Paramètres!$A$1:$I$89,3,0)*VLOOKUP('Données projet'!$B$12,Paramètres!$A$1:$I$89,5,0)</f>
        <v>110.34660000000001</v>
      </c>
      <c r="CA31" s="14">
        <f t="shared" si="39"/>
        <v>29.412631278116066</v>
      </c>
      <c r="CB31" s="22">
        <f t="shared" si="10"/>
        <v>243.41399447605218</v>
      </c>
      <c r="CC31" s="60">
        <f t="shared" si="11"/>
        <v>534.30288336494107</v>
      </c>
      <c r="CD31" s="60">
        <f ca="1">AVERAGE(OFFSET($CC$3,0,0,'Données projet'!$E$12+1,1))-AVERAGE(OFFSET($H$3,0,0,'Données projet'!$E$12+1,1))</f>
        <v>290.68086183422963</v>
      </c>
      <c r="CE31" s="60">
        <f t="shared" si="40"/>
        <v>317.88330630101785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7.8</v>
      </c>
      <c r="CT31" s="13">
        <f>IF('Données projet'!$A$140&gt;35,CT30+CS31-DB30,IF(A31&lt;'Données projet'!$A$140,$CQ$205^A31,IF(A31='Données projet'!$A$140,'Données projet'!$B$140,CT30+CS31-DB30)))</f>
        <v>121.40000000000003</v>
      </c>
      <c r="CU31" s="18">
        <f>CT31*VLOOKUP('Données projet'!$B$13,Paramètres!$A$1:$I$89,3,0)*VLOOKUP('Données projet'!$B$13,Paramètres!$A$1:$I$89,5,0)</f>
        <v>79.541280000000029</v>
      </c>
      <c r="CV31" s="14">
        <f t="shared" si="41"/>
        <v>22.024987194093406</v>
      </c>
      <c r="CW31" s="22">
        <f t="shared" si="13"/>
        <v>176.89458202971272</v>
      </c>
      <c r="CX31" s="60">
        <f t="shared" si="14"/>
        <v>467.78347091860155</v>
      </c>
      <c r="CY31" s="60">
        <f ca="1">AVERAGE(OFFSET($CX$3,0,0,'Données projet'!$E$13+1,1))-AVERAGE(OFFSET($H$3,0,0,'Données projet'!$E$13+1,1))</f>
        <v>243.04319555814601</v>
      </c>
      <c r="CZ31" s="60">
        <f t="shared" si="42"/>
        <v>235.68746142880792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20</v>
      </c>
      <c r="DO31" s="13">
        <f>IF('Données projet'!$A$166&gt;35,DO30+DN31-DW30,IF(A31&lt;'Données projet'!$A$166,$DL$205^A31,IF(A31='Données projet'!$A$166,'Données projet'!$B$166,DO30+DN31-DW30)))</f>
        <v>215</v>
      </c>
      <c r="DP31" s="18">
        <f>DO31*VLOOKUP('Données projet'!$B$14,Paramètres!$A$1:$I$89,3,0)*VLOOKUP('Données projet'!$B$14,Paramètres!$A$1:$I$89,5,0)</f>
        <v>117.39</v>
      </c>
      <c r="DQ31" s="14">
        <f t="shared" si="43"/>
        <v>31.065482772413461</v>
      </c>
      <c r="DR31" s="22">
        <f t="shared" si="16"/>
        <v>258.55996582862014</v>
      </c>
      <c r="DS31" s="60">
        <f t="shared" si="17"/>
        <v>549.44885471750899</v>
      </c>
      <c r="DT31" s="60">
        <f ca="1">AVERAGE(OFFSET($DS$3,0,0,'Données projet'!$E$14+1,1))-AVERAGE(OFFSET($H$3,0,0,'Données projet'!$E$14+1,1))</f>
        <v>201.4732637505823</v>
      </c>
      <c r="DU31" s="60">
        <f t="shared" si="44"/>
        <v>342.06887933351783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14.040010602327058</v>
      </c>
      <c r="EC31" s="23">
        <f>EXP(-LN(2)/2)*EC30+(1-EXP(-LN(2)/2))/(LN(2)/2)*DW31*DZ31*VLOOKUP('Données projet'!$B$14,Paramètres!$A$1:$I$89,3,0)*0.475*44/12</f>
        <v>8.0010695227206678</v>
      </c>
      <c r="ED31" s="24">
        <f t="shared" si="18"/>
        <v>22.041080125047728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15.078846153846158</v>
      </c>
      <c r="EJ31" s="13">
        <f>IF('Données projet'!$A$192&gt;35,EJ30+EI31-ER30,IF(A31&lt;'Données projet'!$A$192,$EG$205^A31,IF(A31='Données projet'!$A$192,'Données projet'!$B$192,EJ30+EI31-ER30)))</f>
        <v>195.06730769230762</v>
      </c>
      <c r="EK31" s="18">
        <f>EJ31*VLOOKUP('Données projet'!$B$15,Paramètres!$A$1:$I$89,3,0)*VLOOKUP('Données projet'!$B$15,Paramètres!$A$1:$I$89,5,0)</f>
        <v>116.65024999999997</v>
      </c>
      <c r="EL31" s="14">
        <f t="shared" si="45"/>
        <v>30.892442451857754</v>
      </c>
      <c r="EM31" s="22">
        <f t="shared" si="19"/>
        <v>256.97018935365219</v>
      </c>
      <c r="EN31" s="60">
        <f t="shared" si="20"/>
        <v>547.85907824254105</v>
      </c>
      <c r="EO31" s="60">
        <f ca="1">AVERAGE(OFFSET($EN$3,0,0,'Données projet'!$E$15+1,1))-AVERAGE(OFFSET($H$3,0,0,'Données projet'!$E$15+1,1))</f>
        <v>260.01925143568263</v>
      </c>
      <c r="EP31" s="60">
        <f t="shared" si="46"/>
        <v>269.95358755269427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4.3729553487489294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4.3729553487489294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8.8000000000000007</v>
      </c>
      <c r="FE31" s="13">
        <f>IF('Données projet'!$A$218&gt;35,FE30+FD31-FM30,IF(A31&lt;'Données projet'!$A$218,$FB$205^A31,IF(A31='Données projet'!$A$218,'Données projet'!$B$218,FE30+FD31-FM30)))</f>
        <v>128.39999999999998</v>
      </c>
      <c r="FF31" s="18">
        <f>FE31*VLOOKUP('Données projet'!$B$16,Paramètres!$A$1:$I$89,3,0)*VLOOKUP('Données projet'!$B$16,Paramètres!$A$1:$I$89,5,0)</f>
        <v>104.15807999999998</v>
      </c>
      <c r="FG31" s="14">
        <f t="shared" si="47"/>
        <v>27.950241801489337</v>
      </c>
      <c r="FH31" s="22">
        <f t="shared" si="22"/>
        <v>230.08866047092724</v>
      </c>
      <c r="FI31" s="60">
        <f t="shared" si="23"/>
        <v>520.97754935981607</v>
      </c>
      <c r="FJ31" s="60">
        <f ca="1">AVERAGE(OFFSET($FI$3,0,0,'Données projet'!$E$16+1,1))-AVERAGE(OFFSET($H$3,0,0,'Données projet'!$E$16+1,1))</f>
        <v>256.19915261735281</v>
      </c>
      <c r="FK31" s="60">
        <f t="shared" si="48"/>
        <v>297.47246687305056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10.190109890109893</v>
      </c>
      <c r="FZ31" s="13">
        <f>IF('Données projet'!$A$244&gt;35,FZ30+FY31-GH30,IF(A31&lt;'Données projet'!$A$244,$FW$205^A31,IF(A31='Données projet'!$A$244,'Données projet'!$B$244,FZ30+FY31-GH30)))</f>
        <v>139.66373626373624</v>
      </c>
      <c r="GA31" s="18">
        <f>FZ31*VLOOKUP('Données projet'!$B$17,Paramètres!$A$1:$I$89,3,0)*VLOOKUP('Données projet'!$B$17,Paramètres!$A$1:$I$89,5,0)</f>
        <v>79.887657142857137</v>
      </c>
      <c r="GB31" s="14">
        <f t="shared" si="49"/>
        <v>22.109713469901262</v>
      </c>
      <c r="GC31" s="22">
        <f t="shared" si="25"/>
        <v>177.64542048388753</v>
      </c>
      <c r="GD31" s="60">
        <f t="shared" si="26"/>
        <v>468.53430937277642</v>
      </c>
      <c r="GE31" s="60">
        <f ca="1">AVERAGE(OFFSET($GD$3,0,0,'Données projet'!$E$17+1,1))-AVERAGE(OFFSET($H$3,0,0,'Données projet'!$E$17+1,1))</f>
        <v>268.71641789629319</v>
      </c>
      <c r="GF31" s="60">
        <f t="shared" si="50"/>
        <v>199.94048514486104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2.3243313777846439</v>
      </c>
      <c r="GO31" s="23">
        <f t="shared" si="27"/>
        <v>2.3243313777846439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12.971794871794875</v>
      </c>
      <c r="GU31" s="13">
        <f>IF('Données projet'!$A$270&gt;35,GU30+GT31-HC30,IF(A31&lt;'Données projet'!$A$270,$GR$205^A31,IF(A31='Données projet'!$A$270,'Données projet'!$B$270,GU30+GT31-HC30)))</f>
        <v>119.04102564102564</v>
      </c>
      <c r="GV31" s="18">
        <f>GU31*VLOOKUP('Données projet'!$B$18,Paramètres!$A$1:$I$89,3,0)*VLOOKUP('Données projet'!$B$18,Paramètres!$A$1:$I$89,5,0)</f>
        <v>71.18653333333333</v>
      </c>
      <c r="GW31" s="14">
        <f t="shared" si="51"/>
        <v>19.967826748678</v>
      </c>
      <c r="GX31" s="22">
        <f t="shared" si="28"/>
        <v>158.76051047616974</v>
      </c>
      <c r="GY31" s="60">
        <f t="shared" si="29"/>
        <v>449.64939936505857</v>
      </c>
      <c r="GZ31" s="60">
        <f ca="1">AVERAGE(OFFSET($GY$3,0,0,'Données projet'!$E$18+1,1))-AVERAGE(OFFSET($H$3,0,0,'Données projet'!$E$18+1,1))</f>
        <v>289.12367833861299</v>
      </c>
      <c r="HA31" s="60">
        <f t="shared" si="52"/>
        <v>229.06617320689003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8.293670156050899</v>
      </c>
      <c r="HJ31" s="24">
        <f t="shared" si="30"/>
        <v>8.293670156050899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0">
        <f t="shared" si="0"/>
        <v>473.10328796969736</v>
      </c>
      <c r="S32" s="60">
        <f ca="1">AVERAGE(OFFSET($R$3,0,0,'Données projet'!$E$9+1,1))-AVERAGE(OFFSET($H$3,0,0,'Données projet'!$E$9+1,1))</f>
        <v>430.11660085503223</v>
      </c>
      <c r="T32" s="60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18.099999999999994</v>
      </c>
      <c r="AI32" s="14">
        <f>IF('Données projet'!$A$62&gt;35,AI31+AH32-AQ31,IF(A32&lt;'Données projet'!$A$62,$AF$205^A32,IF(A32='Données projet'!$A$62,'Données projet'!$B$62,AI31+AH32-AQ31)))</f>
        <v>196.89230769230767</v>
      </c>
      <c r="AJ32" s="14">
        <f>AI32*VLOOKUP('Données projet'!$B$10,Paramètres!$A$1:$I$89,3,0)*VLOOKUP('Données projet'!$B$10,Paramètres!$A$1:$I$89,5,0)</f>
        <v>110.0628</v>
      </c>
      <c r="AK32" s="14">
        <f t="shared" si="35"/>
        <v>29.345780250854382</v>
      </c>
      <c r="AL32" s="22">
        <f t="shared" si="4"/>
        <v>242.80327727023806</v>
      </c>
      <c r="AM32" s="60">
        <f t="shared" si="5"/>
        <v>534.91438838134923</v>
      </c>
      <c r="AN32" s="60">
        <f ca="1">AVERAGE(OFFSET($AM$3,0,0,'Données projet'!$E$10+1,1))-AVERAGE(OFFSET($H$3,0,0,'Données projet'!$E$10+1,1))</f>
        <v>323.98185264074681</v>
      </c>
      <c r="AO32" s="60">
        <f t="shared" si="36"/>
        <v>301.22207291854005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4.5515746240601631</v>
      </c>
      <c r="AV32" s="23">
        <f>EXP(-LN(2)/25)*AV31+(1-EXP(-LN(2)/25))/(LN(2)/25)*Calculateur!AQ32*Calculateur!AS32*VLOOKUP('Données projet'!$B$10,Paramètres!$A$1:$I$89,3,0)*0.475*44/12</f>
        <v>8.4791627935717528</v>
      </c>
      <c r="AW32" s="23">
        <f>EXP(-LN(2)/2)*AW31+(1-EXP(-LN(2)/2))/(LN(2)/2)*AQ32*AT32*VLOOKUP('Données projet'!$B$10,Paramètres!$A$1:$I$89,3,0)*0.475*44/12</f>
        <v>8.6094594785281036</v>
      </c>
      <c r="AX32" s="23">
        <f t="shared" si="6"/>
        <v>21.64019689616002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9.4</v>
      </c>
      <c r="BD32" s="13">
        <f>IF('Données projet'!$A$88&gt;35,BD31+BC32-BL31,IF(A32&lt;'Données projet'!$A$88,$BA$205^A32,IF(A32='Données projet'!$A$88,'Données projet'!$B$88,BD31+BC32-BL31)))</f>
        <v>106.60000000000001</v>
      </c>
      <c r="BE32" s="14">
        <f>BD32*VLOOKUP('Données projet'!$B$11,Paramètres!$A$1:$I$89,3,0)*VLOOKUP('Données projet'!$B$11,Paramètres!$A$1:$I$89,5,0)</f>
        <v>91.462800000000016</v>
      </c>
      <c r="BF32" s="14">
        <f t="shared" si="37"/>
        <v>24.917685409456144</v>
      </c>
      <c r="BG32" s="22">
        <f t="shared" si="7"/>
        <v>202.69601208813614</v>
      </c>
      <c r="BH32" s="60">
        <f t="shared" si="8"/>
        <v>494.80712319924726</v>
      </c>
      <c r="BI32" s="60">
        <f ca="1">AVERAGE(OFFSET($BH$3,0,0,'Données projet'!$E$11+1,1))-AVERAGE(OFFSET($H$3,0,0,'Données projet'!$E$11+1,1))</f>
        <v>556.75475431848258</v>
      </c>
      <c r="BJ32" s="60">
        <f t="shared" si="38"/>
        <v>256.77417912163997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162.5</v>
      </c>
      <c r="BZ32" s="14">
        <f>BY32*VLOOKUP('Données projet'!$B$12,Paramètres!$A$1:$I$89,3,0)*VLOOKUP('Données projet'!$B$12,Paramètres!$A$1:$I$89,5,0)</f>
        <v>119.14500000000001</v>
      </c>
      <c r="CA32" s="14">
        <f t="shared" si="39"/>
        <v>31.475501672437705</v>
      </c>
      <c r="CB32" s="22">
        <f t="shared" si="10"/>
        <v>262.33070707949565</v>
      </c>
      <c r="CC32" s="60">
        <f t="shared" si="11"/>
        <v>554.4418181906068</v>
      </c>
      <c r="CD32" s="60">
        <f ca="1">AVERAGE(OFFSET($CC$3,0,0,'Données projet'!$E$12+1,1))-AVERAGE(OFFSET($H$3,0,0,'Données projet'!$E$12+1,1))</f>
        <v>290.68086183422963</v>
      </c>
      <c r="CE32" s="60">
        <f t="shared" si="40"/>
        <v>317.88330630101785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7.8</v>
      </c>
      <c r="CT32" s="13">
        <f>IF('Données projet'!$A$140&gt;35,CT31+CS32-DB31,IF(A32&lt;'Données projet'!$A$140,$CQ$205^A32,IF(A32='Données projet'!$A$140,'Données projet'!$B$140,CT31+CS32-DB31)))</f>
        <v>129.20000000000005</v>
      </c>
      <c r="CU32" s="18">
        <f>CT32*VLOOKUP('Données projet'!$B$13,Paramètres!$A$1:$I$89,3,0)*VLOOKUP('Données projet'!$B$13,Paramètres!$A$1:$I$89,5,0)</f>
        <v>84.651840000000036</v>
      </c>
      <c r="CV32" s="14">
        <f t="shared" si="41"/>
        <v>23.270814809686321</v>
      </c>
      <c r="CW32" s="22">
        <f t="shared" si="13"/>
        <v>187.96529046020373</v>
      </c>
      <c r="CX32" s="60">
        <f t="shared" si="14"/>
        <v>480.07640157131488</v>
      </c>
      <c r="CY32" s="60">
        <f ca="1">AVERAGE(OFFSET($CX$3,0,0,'Données projet'!$E$13+1,1))-AVERAGE(OFFSET($H$3,0,0,'Données projet'!$E$13+1,1))</f>
        <v>243.04319555814601</v>
      </c>
      <c r="CZ32" s="60">
        <f t="shared" si="42"/>
        <v>235.68746142880792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20</v>
      </c>
      <c r="DO32" s="13">
        <f>IF('Données projet'!$A$166&gt;35,DO31+DN32-DW31,IF(A32&lt;'Données projet'!$A$166,$DL$205^A32,IF(A32='Données projet'!$A$166,'Données projet'!$B$166,DO31+DN32-DW31)))</f>
        <v>235</v>
      </c>
      <c r="DP32" s="18">
        <f>DO32*VLOOKUP('Données projet'!$B$14,Paramètres!$A$1:$I$89,3,0)*VLOOKUP('Données projet'!$B$14,Paramètres!$A$1:$I$89,5,0)</f>
        <v>128.31</v>
      </c>
      <c r="DQ32" s="14">
        <f t="shared" si="43"/>
        <v>33.605553053308078</v>
      </c>
      <c r="DR32" s="22">
        <f t="shared" si="16"/>
        <v>282.00292156784491</v>
      </c>
      <c r="DS32" s="60">
        <f t="shared" si="17"/>
        <v>574.11403267895605</v>
      </c>
      <c r="DT32" s="60">
        <f ca="1">AVERAGE(OFFSET($DS$3,0,0,'Données projet'!$E$14+1,1))-AVERAGE(OFFSET($H$3,0,0,'Données projet'!$E$14+1,1))</f>
        <v>201.4732637505823</v>
      </c>
      <c r="DU32" s="60">
        <f t="shared" si="44"/>
        <v>342.06887933351783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13.656085774074356</v>
      </c>
      <c r="EC32" s="23">
        <f>EXP(-LN(2)/2)*EC31+(1-EXP(-LN(2)/2))/(LN(2)/2)*DW32*DZ32*VLOOKUP('Données projet'!$B$14,Paramètres!$A$1:$I$89,3,0)*0.475*44/12</f>
        <v>5.6576105162607977</v>
      </c>
      <c r="ED32" s="24">
        <f t="shared" si="18"/>
        <v>19.313696290335152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>
        <f>VLOOKUP(A32,'Données projet'!$A$191:$I$211,2,0)</f>
        <v>210.14615384615385</v>
      </c>
      <c r="EH32" s="13">
        <f>VLOOKUP(A32,'Données projet'!$A$191:$I$211,9,0)</f>
        <v>15.078846153846158</v>
      </c>
      <c r="EI32" s="13">
        <f t="array" ref="EI32">INDEX(EH:EH,MIN(IF(ISNUMBER(EH32:EH228),ROW(EH32:EH228),"")))</f>
        <v>15.078846153846158</v>
      </c>
      <c r="EJ32" s="13">
        <f>IF('Données projet'!$A$192&gt;35,EJ31+EI32-ER31,IF(A32&lt;'Données projet'!$A$192,$EG$205^A32,IF(A32='Données projet'!$A$192,'Données projet'!$B$192,EJ31+EI32-ER31)))</f>
        <v>210.14615384615377</v>
      </c>
      <c r="EK32" s="18">
        <f>EJ32*VLOOKUP('Données projet'!$B$15,Paramètres!$A$1:$I$89,3,0)*VLOOKUP('Données projet'!$B$15,Paramètres!$A$1:$I$89,5,0)</f>
        <v>125.66739999999997</v>
      </c>
      <c r="EL32" s="14">
        <f t="shared" si="45"/>
        <v>32.993256286656127</v>
      </c>
      <c r="EM32" s="22">
        <f t="shared" si="19"/>
        <v>276.33397636592599</v>
      </c>
      <c r="EN32" s="60">
        <f t="shared" si="20"/>
        <v>568.44508747703708</v>
      </c>
      <c r="EO32" s="60">
        <f ca="1">AVERAGE(OFFSET($EN$3,0,0,'Données projet'!$E$15+1,1))-AVERAGE(OFFSET($H$3,0,0,'Données projet'!$E$15+1,1))</f>
        <v>260.01925143568263</v>
      </c>
      <c r="EP32" s="60">
        <f t="shared" si="46"/>
        <v>269.95358755269427</v>
      </c>
      <c r="EQ32" s="16">
        <f>IF(ISNA(VLOOKUP(A32,'Données projet'!$A$191:$I$211,3,0)),0,VLOOKUP(A32,'Données projet'!$A$191:$I$211,3,0))</f>
        <v>3</v>
      </c>
      <c r="ER32" s="16">
        <f>IF(ISNA(VLOOKUP(A32,'Données projet'!$A$191:$I$211,4,0)),0,VLOOKUP(A32,'Données projet'!$A$191:$I$211,4,0))</f>
        <v>47.661538461538463</v>
      </c>
      <c r="ES32" s="17">
        <f>IF(ISNA(VLOOKUP(A32,'Données projet'!$A$191:$I$211,5,0)),0%,VLOOKUP(A32,'Données projet'!$A$191:$I$211,5,0)*VLOOKUP('Données projet'!$B$15,Paramètres!$A$1:$I$89,7,0))</f>
        <v>0.27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14.495690922051368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14.495690922051368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8.8000000000000007</v>
      </c>
      <c r="FE32" s="13">
        <f>IF('Données projet'!$A$218&gt;35,FE31+FD32-FM31,IF(A32&lt;'Données projet'!$A$218,$FB$205^A32,IF(A32='Données projet'!$A$218,'Données projet'!$B$218,FE31+FD32-FM31)))</f>
        <v>137.19999999999999</v>
      </c>
      <c r="FF32" s="18">
        <f>FE32*VLOOKUP('Données projet'!$B$16,Paramètres!$A$1:$I$89,3,0)*VLOOKUP('Données projet'!$B$16,Paramètres!$A$1:$I$89,5,0)</f>
        <v>111.29664</v>
      </c>
      <c r="FG32" s="14">
        <f t="shared" si="47"/>
        <v>29.636274399319777</v>
      </c>
      <c r="FH32" s="22">
        <f t="shared" si="22"/>
        <v>245.45815924548194</v>
      </c>
      <c r="FI32" s="60">
        <f t="shared" si="23"/>
        <v>537.56927035659305</v>
      </c>
      <c r="FJ32" s="60">
        <f ca="1">AVERAGE(OFFSET($FI$3,0,0,'Données projet'!$E$16+1,1))-AVERAGE(OFFSET($H$3,0,0,'Données projet'!$E$16+1,1))</f>
        <v>256.19915261735281</v>
      </c>
      <c r="FK32" s="60">
        <f t="shared" si="48"/>
        <v>297.47246687305056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>
        <f>VLOOKUP(A32,'Données projet'!$A$243:$I$263,2,0)</f>
        <v>149.85384615384615</v>
      </c>
      <c r="FX32" s="13">
        <f>VLOOKUP(A32,'Données projet'!$A$243:$I$263,9,0)</f>
        <v>10.190109890109893</v>
      </c>
      <c r="FY32" s="13">
        <f t="array" ref="FY32">INDEX(FX:FX,MIN(IF(ISNUMBER(FX32:FX228),ROW(FX32:FX228),"")))</f>
        <v>10.190109890109893</v>
      </c>
      <c r="FZ32" s="13">
        <f>IF('Données projet'!$A$244&gt;35,FZ31+FY32-GH31,IF(A32&lt;'Données projet'!$A$244,$FW$205^A32,IF(A32='Données projet'!$A$244,'Données projet'!$B$244,FZ31+FY32-GH31)))</f>
        <v>149.85384615384612</v>
      </c>
      <c r="GA32" s="18">
        <f>FZ32*VLOOKUP('Données projet'!$B$17,Paramètres!$A$1:$I$89,3,0)*VLOOKUP('Données projet'!$B$17,Paramètres!$A$1:$I$89,5,0)</f>
        <v>85.716399999999979</v>
      </c>
      <c r="GB32" s="14">
        <f t="shared" si="49"/>
        <v>23.529210066507005</v>
      </c>
      <c r="GC32" s="22">
        <f t="shared" si="25"/>
        <v>190.26943753249964</v>
      </c>
      <c r="GD32" s="60">
        <f t="shared" si="26"/>
        <v>482.38054864361078</v>
      </c>
      <c r="GE32" s="60">
        <f ca="1">AVERAGE(OFFSET($GD$3,0,0,'Données projet'!$E$17+1,1))-AVERAGE(OFFSET($H$3,0,0,'Données projet'!$E$17+1,1))</f>
        <v>268.71641789629319</v>
      </c>
      <c r="GF32" s="60">
        <f t="shared" si="50"/>
        <v>199.94048514486104</v>
      </c>
      <c r="GG32" s="16">
        <f>IF(ISNA(VLOOKUP(A32,'Données projet'!$A$243:$I$263,3,0)),0,VLOOKUP(A32,'Données projet'!$A$243:$I$263,3,0))</f>
        <v>2</v>
      </c>
      <c r="GH32" s="16">
        <f>IF(ISNA(VLOOKUP(A32,'Données projet'!$A$243:$I$263,4,0)),0,VLOOKUP(A32,'Données projet'!$A$243:$I$263,4,0))</f>
        <v>31.736923076923077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9.0000000000000011E-2</v>
      </c>
      <c r="GK32" s="17">
        <f>IF(ISNA(VLOOKUP(A32,'Données projet'!$A$243:$I$263,7,0)),0%,VLOOKUP(A32,'Données projet'!$A$243:$I$263,7,0))</f>
        <v>0.4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2.1588295584629891</v>
      </c>
      <c r="GN32" s="23">
        <f>EXP(-LN(2)/2)*GN31+(1-EXP(-LN(2)/2))/(LN(2)/2)*GH32*GK32*VLOOKUP('Données projet'!$B$17,Paramètres!$A$1:$I$89,3,0)*0.475*44/12</f>
        <v>9.8651511420732536</v>
      </c>
      <c r="GO32" s="23">
        <f t="shared" si="27"/>
        <v>12.023980700536242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12.971794871794875</v>
      </c>
      <c r="GU32" s="13">
        <f>IF('Données projet'!$A$270&gt;35,GU31+GT32-HC31,IF(A32&lt;'Données projet'!$A$270,$GR$205^A32,IF(A32='Données projet'!$A$270,'Données projet'!$B$270,GU31+GT32-HC31)))</f>
        <v>132.01282051282053</v>
      </c>
      <c r="GV32" s="18">
        <f>GU32*VLOOKUP('Données projet'!$B$18,Paramètres!$A$1:$I$89,3,0)*VLOOKUP('Données projet'!$B$18,Paramètres!$A$1:$I$89,5,0)</f>
        <v>78.943666666666687</v>
      </c>
      <c r="GW32" s="14">
        <f t="shared" si="51"/>
        <v>21.878705672057283</v>
      </c>
      <c r="GX32" s="22">
        <f t="shared" si="28"/>
        <v>175.59896515661092</v>
      </c>
      <c r="GY32" s="60">
        <f t="shared" si="29"/>
        <v>467.71007626772206</v>
      </c>
      <c r="GZ32" s="60">
        <f ca="1">AVERAGE(OFFSET($GY$3,0,0,'Données projet'!$E$18+1,1))-AVERAGE(OFFSET($H$3,0,0,'Données projet'!$E$18+1,1))</f>
        <v>289.12367833861299</v>
      </c>
      <c r="HA32" s="60">
        <f t="shared" si="52"/>
        <v>229.06617320689003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5.8645104082680826</v>
      </c>
      <c r="HJ32" s="24">
        <f t="shared" si="30"/>
        <v>5.8645104082680826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0">
        <f t="shared" si="0"/>
        <v>488.03626265127355</v>
      </c>
      <c r="S33" s="60">
        <f ca="1">AVERAGE(OFFSET($R$3,0,0,'Données projet'!$E$9+1,1))-AVERAGE(OFFSET($H$3,0,0,'Données projet'!$E$9+1,1))</f>
        <v>430.11660085503223</v>
      </c>
      <c r="T33" s="60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214.99230769230769</v>
      </c>
      <c r="AG33" s="13">
        <f>VLOOKUP(A33,'Données projet'!$A$61:$I$81,9,0)</f>
        <v>18.099999999999994</v>
      </c>
      <c r="AH33" s="13">
        <f t="array" ref="AH33">INDEX(AG:AG,MIN(IF(ISNUMBER(AG33:AG229),ROW(AG33:AG229),"")))</f>
        <v>18.099999999999994</v>
      </c>
      <c r="AI33" s="14">
        <f>IF('Données projet'!$A$62&gt;35,AI32+AH33-AQ32,IF(A33&lt;'Données projet'!$A$62,$AF$205^A33,IF(A33='Données projet'!$A$62,'Données projet'!$B$62,AI32+AH33-AQ32)))</f>
        <v>214.99230769230766</v>
      </c>
      <c r="AJ33" s="14">
        <f>AI33*VLOOKUP('Données projet'!$B$10,Paramètres!$A$1:$I$89,3,0)*VLOOKUP('Données projet'!$B$10,Paramètres!$A$1:$I$89,5,0)</f>
        <v>120.18069999999997</v>
      </c>
      <c r="AK33" s="14">
        <f t="shared" si="35"/>
        <v>31.717140910166616</v>
      </c>
      <c r="AL33" s="22">
        <f t="shared" si="4"/>
        <v>264.55540625187342</v>
      </c>
      <c r="AM33" s="60">
        <f t="shared" si="5"/>
        <v>557.88873958520674</v>
      </c>
      <c r="AN33" s="60">
        <f ca="1">AVERAGE(OFFSET($AM$3,0,0,'Données projet'!$E$10+1,1))-AVERAGE(OFFSET($H$3,0,0,'Données projet'!$E$10+1,1))</f>
        <v>323.98185264074681</v>
      </c>
      <c r="AO33" s="60">
        <f t="shared" si="36"/>
        <v>301.22207291854005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4.4623210218687381</v>
      </c>
      <c r="AV33" s="23">
        <f>EXP(-LN(2)/25)*AV32+(1-EXP(-LN(2)/25))/(LN(2)/25)*Calculateur!AQ33*Calculateur!AS33*VLOOKUP('Données projet'!$B$10,Paramètres!$A$1:$I$89,3,0)*0.475*44/12</f>
        <v>8.2472996410817405</v>
      </c>
      <c r="AW33" s="23">
        <f>EXP(-LN(2)/2)*AW32+(1-EXP(-LN(2)/2))/(LN(2)/2)*AQ33*AT33*VLOOKUP('Données projet'!$B$10,Paramètres!$A$1:$I$89,3,0)*0.475*44/12</f>
        <v>6.0878071796180198</v>
      </c>
      <c r="AX33" s="23">
        <f t="shared" si="6"/>
        <v>18.797427842568496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116</v>
      </c>
      <c r="BB33" s="13">
        <f>VLOOKUP(A33,'Données projet'!$A$87:$I$107,9,0)</f>
        <v>9.4</v>
      </c>
      <c r="BC33" s="13">
        <f t="array" ref="BC33">INDEX(BB:BB,MIN(IF(ISNUMBER(BB33:BB229),ROW(BB33:BB229),"")))</f>
        <v>9.4</v>
      </c>
      <c r="BD33" s="13">
        <f>IF('Données projet'!$A$88&gt;35,BD32+BC33-BL32,IF(A33&lt;'Données projet'!$A$88,$BA$205^A33,IF(A33='Données projet'!$A$88,'Données projet'!$B$88,BD32+BC33-BL32)))</f>
        <v>116.00000000000001</v>
      </c>
      <c r="BE33" s="14">
        <f>BD33*VLOOKUP('Données projet'!$B$11,Paramètres!$A$1:$I$89,3,0)*VLOOKUP('Données projet'!$B$11,Paramètres!$A$1:$I$89,5,0)</f>
        <v>99.52800000000002</v>
      </c>
      <c r="BF33" s="14">
        <f t="shared" si="37"/>
        <v>26.849519112903323</v>
      </c>
      <c r="BG33" s="22">
        <f t="shared" si="7"/>
        <v>220.10751245497332</v>
      </c>
      <c r="BH33" s="60">
        <f t="shared" si="8"/>
        <v>513.44084578830666</v>
      </c>
      <c r="BI33" s="60">
        <f ca="1">AVERAGE(OFFSET($BH$3,0,0,'Données projet'!$E$11+1,1))-AVERAGE(OFFSET($H$3,0,0,'Données projet'!$E$11+1,1))</f>
        <v>556.75475431848258</v>
      </c>
      <c r="BJ33" s="60">
        <f t="shared" si="38"/>
        <v>256.77417912163997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174.5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174.5</v>
      </c>
      <c r="BZ33" s="14">
        <f>BY33*VLOOKUP('Données projet'!$B$12,Paramètres!$A$1:$I$89,3,0)*VLOOKUP('Données projet'!$B$12,Paramètres!$A$1:$I$89,5,0)</f>
        <v>127.94340000000001</v>
      </c>
      <c r="CA33" s="14">
        <f t="shared" si="39"/>
        <v>33.520699311589198</v>
      </c>
      <c r="CB33" s="22">
        <f t="shared" si="10"/>
        <v>281.21663963435122</v>
      </c>
      <c r="CC33" s="60">
        <f t="shared" si="11"/>
        <v>574.54997296768454</v>
      </c>
      <c r="CD33" s="60">
        <f ca="1">AVERAGE(OFFSET($CC$3,0,0,'Données projet'!$E$12+1,1))-AVERAGE(OFFSET($H$3,0,0,'Données projet'!$E$12+1,1))</f>
        <v>290.68086183422963</v>
      </c>
      <c r="CE33" s="60">
        <f t="shared" si="40"/>
        <v>317.88330630101785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137</v>
      </c>
      <c r="CR33" s="13">
        <f>VLOOKUP(A33,'Données projet'!$A$139:$I$159,9,0)</f>
        <v>7.8</v>
      </c>
      <c r="CS33" s="13">
        <f t="array" ref="CS33">INDEX(CR:CR,MIN(IF(ISNUMBER(CR33:CR229),ROW(CR33:CR229),"")))</f>
        <v>7.8</v>
      </c>
      <c r="CT33" s="13">
        <f>IF('Données projet'!$A$140&gt;35,CT32+CS33-DB32,IF(A33&lt;'Données projet'!$A$140,$CQ$205^A33,IF(A33='Données projet'!$A$140,'Données projet'!$B$140,CT32+CS33-DB32)))</f>
        <v>137.00000000000006</v>
      </c>
      <c r="CU33" s="18">
        <f>CT33*VLOOKUP('Données projet'!$B$13,Paramètres!$A$1:$I$89,3,0)*VLOOKUP('Données projet'!$B$13,Paramètres!$A$1:$I$89,5,0)</f>
        <v>89.762400000000028</v>
      </c>
      <c r="CV33" s="14">
        <f t="shared" si="41"/>
        <v>24.507912782090678</v>
      </c>
      <c r="CW33" s="22">
        <f t="shared" si="13"/>
        <v>199.02079476214132</v>
      </c>
      <c r="CX33" s="60">
        <f t="shared" si="14"/>
        <v>492.35412809547461</v>
      </c>
      <c r="CY33" s="60">
        <f ca="1">AVERAGE(OFFSET($CX$3,0,0,'Données projet'!$E$13+1,1))-AVERAGE(OFFSET($H$3,0,0,'Données projet'!$E$13+1,1))</f>
        <v>243.04319555814601</v>
      </c>
      <c r="CZ33" s="60">
        <f t="shared" si="42"/>
        <v>235.68746142880792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255</v>
      </c>
      <c r="DM33" s="13">
        <f>VLOOKUP(A33,'Données projet'!$A$165:$I$185,9,0)</f>
        <v>20</v>
      </c>
      <c r="DN33" s="13">
        <f t="array" ref="DN33">INDEX(DM:DM,MIN(IF(ISNUMBER(DM33:DM229),ROW(DM33:DM229),"")))</f>
        <v>20</v>
      </c>
      <c r="DO33" s="13">
        <f>IF('Données projet'!$A$166&gt;35,DO32+DN33-DW32,IF(A33&lt;'Données projet'!$A$166,$DL$205^A33,IF(A33='Données projet'!$A$166,'Données projet'!$B$166,DO32+DN33-DW32)))</f>
        <v>255</v>
      </c>
      <c r="DP33" s="18">
        <f>DO33*VLOOKUP('Données projet'!$B$14,Paramètres!$A$1:$I$89,3,0)*VLOOKUP('Données projet'!$B$14,Paramètres!$A$1:$I$89,5,0)</f>
        <v>139.22999999999999</v>
      </c>
      <c r="DQ33" s="14">
        <f t="shared" si="43"/>
        <v>36.120552727378737</v>
      </c>
      <c r="DR33" s="22">
        <f t="shared" si="16"/>
        <v>305.40221266685126</v>
      </c>
      <c r="DS33" s="60">
        <f t="shared" si="17"/>
        <v>598.73554600018451</v>
      </c>
      <c r="DT33" s="60">
        <f ca="1">AVERAGE(OFFSET($DS$3,0,0,'Données projet'!$E$14+1,1))-AVERAGE(OFFSET($H$3,0,0,'Données projet'!$E$14+1,1))</f>
        <v>201.4732637505823</v>
      </c>
      <c r="DU33" s="60">
        <f t="shared" si="44"/>
        <v>342.06887933351783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76</v>
      </c>
      <c r="DX33" s="17">
        <f>IF(ISNA(VLOOKUP(A33,'Données projet'!$A$165:$I$185,5,0)),0%,VLOOKUP(A33,'Données projet'!$A$165:$I$185,5,0)*VLOOKUP('Données projet'!$B$14,Paramètres!$A$1:$I$89,7,0))</f>
        <v>0.12</v>
      </c>
      <c r="DY33" s="17">
        <f>IF(ISNA(VLOOKUP(A33,'Données projet'!$A$165:$I$185,6,0)),0%,VLOOKUP(A33,'Données projet'!$A$165:$I$185,6,0)*VLOOKUP('Données projet'!$B$14,Paramètres!$A$1:$I$89,7,0))</f>
        <v>0.24</v>
      </c>
      <c r="DZ33" s="17">
        <f>IF(ISNA(VLOOKUP(A33,'Données projet'!$A$165:$I$185,7,0)),0%,VLOOKUP(A33,'Données projet'!$A$165:$I$185,7,0))</f>
        <v>0.2</v>
      </c>
      <c r="EA33" s="23">
        <f>EXP(-LN(2)/35)*EA32+(1-EXP(-LN(2)/35))/(LN(2)/35)*DW33*DX33*VLOOKUP('Données projet'!$B$14,Paramètres!$A$1:$I$89,3,0)*0.475*44/12</f>
        <v>6.605654237150298</v>
      </c>
      <c r="EB33" s="23">
        <f>EXP(-LN(2)/25)*EB32+(1-EXP(-LN(2)/25))/(LN(2)/25)*Calculateur!DW33*Calculateur!DY33*VLOOKUP('Données projet'!$B$14,Paramètres!$A$1:$I$89,3,0)*0.475*44/12</f>
        <v>26.441949909374046</v>
      </c>
      <c r="EC33" s="23">
        <f>EXP(-LN(2)/2)*EC32+(1-EXP(-LN(2)/2))/(LN(2)/2)*DW33*DZ33*VLOOKUP('Données projet'!$B$14,Paramètres!$A$1:$I$89,3,0)*0.475*44/12</f>
        <v>13.397157044991978</v>
      </c>
      <c r="ED33" s="24">
        <f t="shared" si="18"/>
        <v>46.444761191516321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14.175384615384615</v>
      </c>
      <c r="EJ33" s="13">
        <f>IF('Données projet'!$A$192&gt;35,EJ32+EI33-ER32,IF(A33&lt;'Données projet'!$A$192,$EG$205^A33,IF(A33='Données projet'!$A$192,'Données projet'!$B$192,EJ32+EI33-ER32)))</f>
        <v>176.65999999999991</v>
      </c>
      <c r="EK33" s="18">
        <f>EJ33*VLOOKUP('Données projet'!$B$15,Paramètres!$A$1:$I$89,3,0)*VLOOKUP('Données projet'!$B$15,Paramètres!$A$1:$I$89,5,0)</f>
        <v>105.64267999999996</v>
      </c>
      <c r="EL33" s="14">
        <f t="shared" si="45"/>
        <v>28.301963570925022</v>
      </c>
      <c r="EM33" s="22">
        <f t="shared" si="19"/>
        <v>233.28692088602762</v>
      </c>
      <c r="EN33" s="60">
        <f t="shared" si="20"/>
        <v>526.62025421936096</v>
      </c>
      <c r="EO33" s="60">
        <f ca="1">AVERAGE(OFFSET($EN$3,0,0,'Données projet'!$E$15+1,1))-AVERAGE(OFFSET($H$3,0,0,'Données projet'!$E$15+1,1))</f>
        <v>260.01925143568263</v>
      </c>
      <c r="EP33" s="60">
        <f t="shared" si="46"/>
        <v>269.95358755269427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14.211439264568378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14.211439264568378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146</v>
      </c>
      <c r="FC33" s="13">
        <f>VLOOKUP(A33,'Données projet'!$A$217:$I$237,9,0)</f>
        <v>8.8000000000000007</v>
      </c>
      <c r="FD33" s="13">
        <f t="array" ref="FD33">INDEX(FC:FC,MIN(IF(ISNUMBER(FC33:FC229),ROW(FC33:FC229),"")))</f>
        <v>8.8000000000000007</v>
      </c>
      <c r="FE33" s="13">
        <f>IF('Données projet'!$A$218&gt;35,FE32+FD33-FM32,IF(A33&lt;'Données projet'!$A$218,$FB$205^A33,IF(A33='Données projet'!$A$218,'Données projet'!$B$218,FE32+FD33-FM32)))</f>
        <v>146</v>
      </c>
      <c r="FF33" s="18">
        <f>FE33*VLOOKUP('Données projet'!$B$16,Paramètres!$A$1:$I$89,3,0)*VLOOKUP('Données projet'!$B$16,Paramètres!$A$1:$I$89,5,0)</f>
        <v>118.43520000000001</v>
      </c>
      <c r="FG33" s="14">
        <f t="shared" si="47"/>
        <v>31.309757056296963</v>
      </c>
      <c r="FH33" s="22">
        <f t="shared" si="22"/>
        <v>260.80580020638394</v>
      </c>
      <c r="FI33" s="60">
        <f t="shared" si="23"/>
        <v>554.13913353971725</v>
      </c>
      <c r="FJ33" s="60">
        <f ca="1">AVERAGE(OFFSET($FI$3,0,0,'Données projet'!$E$16+1,1))-AVERAGE(OFFSET($H$3,0,0,'Données projet'!$E$16+1,1))</f>
        <v>256.19915261735281</v>
      </c>
      <c r="FK33" s="60">
        <f t="shared" si="48"/>
        <v>297.47246687305056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9.9668131868131873</v>
      </c>
      <c r="FZ33" s="13">
        <f>IF('Données projet'!$A$244&gt;35,FZ32+FY33-GH32,IF(A33&lt;'Données projet'!$A$244,$FW$205^A33,IF(A33='Données projet'!$A$244,'Données projet'!$B$244,FZ32+FY33-GH32)))</f>
        <v>128.08373626373623</v>
      </c>
      <c r="GA33" s="18">
        <f>FZ33*VLOOKUP('Données projet'!$B$17,Paramètres!$A$1:$I$89,3,0)*VLOOKUP('Données projet'!$B$17,Paramètres!$A$1:$I$89,5,0)</f>
        <v>73.263897142857118</v>
      </c>
      <c r="GB33" s="14">
        <f t="shared" si="49"/>
        <v>20.481835954670792</v>
      </c>
      <c r="GC33" s="22">
        <f t="shared" si="25"/>
        <v>163.27381847819441</v>
      </c>
      <c r="GD33" s="60">
        <f t="shared" si="26"/>
        <v>456.60715181152773</v>
      </c>
      <c r="GE33" s="60">
        <f ca="1">AVERAGE(OFFSET($GD$3,0,0,'Données projet'!$E$17+1,1))-AVERAGE(OFFSET($H$3,0,0,'Données projet'!$E$17+1,1))</f>
        <v>268.71641789629319</v>
      </c>
      <c r="GF33" s="60">
        <f t="shared" si="50"/>
        <v>199.94048514486104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2.0997962506589061</v>
      </c>
      <c r="GN33" s="23">
        <f>EXP(-LN(2)/2)*GN32+(1-EXP(-LN(2)/2))/(LN(2)/2)*GH33*GK33*VLOOKUP('Données projet'!$B$17,Paramètres!$A$1:$I$89,3,0)*0.475*44/12</f>
        <v>6.9757152699902116</v>
      </c>
      <c r="GO33" s="23">
        <f t="shared" si="27"/>
        <v>9.0755115206491173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144.98461538461538</v>
      </c>
      <c r="GS33" s="13">
        <f>VLOOKUP(A33,'Données projet'!$A$269:$I$289,9,0)</f>
        <v>12.971794871794875</v>
      </c>
      <c r="GT33" s="13">
        <f t="array" ref="GT33">INDEX(GS:GS,MIN(IF(ISNUMBER(GS33:GS229),ROW(GS33:GS229),"")))</f>
        <v>12.971794871794875</v>
      </c>
      <c r="GU33" s="13">
        <f>IF('Données projet'!$A$270&gt;35,GU32+GT33-HC32,IF(A33&lt;'Données projet'!$A$270,$GR$205^A33,IF(A33='Données projet'!$A$270,'Données projet'!$B$270,GU32+GT33-HC32)))</f>
        <v>144.98461538461541</v>
      </c>
      <c r="GV33" s="18">
        <f>GU33*VLOOKUP('Données projet'!$B$18,Paramètres!$A$1:$I$89,3,0)*VLOOKUP('Données projet'!$B$18,Paramètres!$A$1:$I$89,5,0)</f>
        <v>86.700800000000029</v>
      </c>
      <c r="GW33" s="14">
        <f t="shared" si="51"/>
        <v>23.767816195343574</v>
      </c>
      <c r="GX33" s="22">
        <f t="shared" si="28"/>
        <v>192.39950654022343</v>
      </c>
      <c r="GY33" s="60">
        <f t="shared" si="29"/>
        <v>485.73283987355671</v>
      </c>
      <c r="GZ33" s="60">
        <f ca="1">AVERAGE(OFFSET($GY$3,0,0,'Données projet'!$E$18+1,1))-AVERAGE(OFFSET($H$3,0,0,'Données projet'!$E$18+1,1))</f>
        <v>289.12367833861299</v>
      </c>
      <c r="HA33" s="60">
        <f t="shared" si="52"/>
        <v>229.06617320689003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4.1468350780254495</v>
      </c>
      <c r="HJ33" s="24">
        <f t="shared" si="30"/>
        <v>4.1468350780254495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0">
        <f t="shared" si="0"/>
        <v>503.67832244229635</v>
      </c>
      <c r="S34" s="60">
        <f ca="1">AVERAGE(OFFSET($R$3,0,0,'Données projet'!$E$9+1,1))-AVERAGE(OFFSET($H$3,0,0,'Données projet'!$E$9+1,1))</f>
        <v>430.11660085503223</v>
      </c>
      <c r="T34" s="60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18.100000000000001</v>
      </c>
      <c r="AI34" s="14">
        <f>IF('Données projet'!$A$62&gt;35,AI33+AH34-AQ33,IF(A34&lt;'Données projet'!$A$62,$AF$205^A34,IF(A34='Données projet'!$A$62,'Données projet'!$B$62,AI33+AH34-AQ33)))</f>
        <v>233.09230769230766</v>
      </c>
      <c r="AJ34" s="14">
        <f>AI34*VLOOKUP('Données projet'!$B$10,Paramètres!$A$1:$I$89,3,0)*VLOOKUP('Données projet'!$B$10,Paramètres!$A$1:$I$89,5,0)</f>
        <v>130.29859999999999</v>
      </c>
      <c r="AK34" s="14">
        <f t="shared" si="35"/>
        <v>34.065347809437199</v>
      </c>
      <c r="AL34" s="22">
        <f t="shared" si="4"/>
        <v>286.26720910143649</v>
      </c>
      <c r="AM34" s="60">
        <f t="shared" si="5"/>
        <v>579.60054243476975</v>
      </c>
      <c r="AN34" s="60">
        <f ca="1">AVERAGE(OFFSET($AM$3,0,0,'Données projet'!$E$10+1,1))-AVERAGE(OFFSET($H$3,0,0,'Données projet'!$E$10+1,1))</f>
        <v>323.98185264074681</v>
      </c>
      <c r="AO34" s="60">
        <f t="shared" si="36"/>
        <v>301.22207291854005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4.3748176283769658</v>
      </c>
      <c r="AV34" s="23">
        <f>EXP(-LN(2)/25)*AV33+(1-EXP(-LN(2)/25))/(LN(2)/25)*Calculateur!AQ34*Calculateur!AS34*VLOOKUP('Données projet'!$B$10,Paramètres!$A$1:$I$89,3,0)*0.475*44/12</f>
        <v>8.0217767986897215</v>
      </c>
      <c r="AW34" s="23">
        <f>EXP(-LN(2)/2)*AW33+(1-EXP(-LN(2)/2))/(LN(2)/2)*AQ34*AT34*VLOOKUP('Données projet'!$B$10,Paramètres!$A$1:$I$89,3,0)*0.475*44/12</f>
        <v>4.3047297392640527</v>
      </c>
      <c r="AX34" s="23">
        <f t="shared" si="6"/>
        <v>16.701324166330743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10.199999999999999</v>
      </c>
      <c r="BD34" s="13">
        <f>IF('Données projet'!$A$88&gt;35,BD33+BC34-BL33,IF(A34&lt;'Données projet'!$A$88,$BA$205^A34,IF(A34='Données projet'!$A$88,'Données projet'!$B$88,BD33+BC34-BL33)))</f>
        <v>126.20000000000002</v>
      </c>
      <c r="BE34" s="14">
        <f>BD34*VLOOKUP('Données projet'!$B$11,Paramètres!$A$1:$I$89,3,0)*VLOOKUP('Données projet'!$B$11,Paramètres!$A$1:$I$89,5,0)</f>
        <v>108.27960000000002</v>
      </c>
      <c r="BF34" s="14">
        <f t="shared" si="37"/>
        <v>28.925273788969925</v>
      </c>
      <c r="BG34" s="22">
        <f t="shared" si="7"/>
        <v>238.96515518245596</v>
      </c>
      <c r="BH34" s="60">
        <f t="shared" si="8"/>
        <v>532.29848851578924</v>
      </c>
      <c r="BI34" s="60">
        <f ca="1">AVERAGE(OFFSET($BH$3,0,0,'Données projet'!$E$11+1,1))-AVERAGE(OFFSET($H$3,0,0,'Données projet'!$E$11+1,1))</f>
        <v>556.75475431848258</v>
      </c>
      <c r="BJ34" s="60">
        <f t="shared" si="38"/>
        <v>256.77417912163997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10.780000000000001</v>
      </c>
      <c r="BY34" s="13">
        <f>IF('Données projet'!$A$114&gt;35,BY33+BX34-CG33,IF(A34&lt;'Données projet'!$A$114,$BV$205^A34,IF(A34='Données projet'!$A$114,'Données projet'!$B$114,BY33+BX34-CG33)))</f>
        <v>129.28</v>
      </c>
      <c r="BZ34" s="14">
        <f>BY34*VLOOKUP('Données projet'!$B$12,Paramètres!$A$1:$I$89,3,0)*VLOOKUP('Données projet'!$B$12,Paramètres!$A$1:$I$89,5,0)</f>
        <v>94.788095999999996</v>
      </c>
      <c r="CA34" s="14">
        <f t="shared" si="39"/>
        <v>25.716491783608316</v>
      </c>
      <c r="CB34" s="22">
        <f t="shared" si="10"/>
        <v>209.87882372311779</v>
      </c>
      <c r="CC34" s="60">
        <f t="shared" si="11"/>
        <v>503.21215705645113</v>
      </c>
      <c r="CD34" s="60">
        <f ca="1">AVERAGE(OFFSET($CC$3,0,0,'Données projet'!$E$12+1,1))-AVERAGE(OFFSET($H$3,0,0,'Données projet'!$E$12+1,1))</f>
        <v>290.68086183422963</v>
      </c>
      <c r="CE34" s="60">
        <f t="shared" si="40"/>
        <v>317.88330630101785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7.2</v>
      </c>
      <c r="CT34" s="13">
        <f>IF('Données projet'!$A$140&gt;35,CT33+CS34-DB33,IF(A34&lt;'Données projet'!$A$140,$CQ$205^A34,IF(A34='Données projet'!$A$140,'Données projet'!$B$140,CT33+CS34-DB33)))</f>
        <v>144.20000000000005</v>
      </c>
      <c r="CU34" s="18">
        <f>CT34*VLOOKUP('Données projet'!$B$13,Paramètres!$A$1:$I$89,3,0)*VLOOKUP('Données projet'!$B$13,Paramètres!$A$1:$I$89,5,0)</f>
        <v>94.479840000000024</v>
      </c>
      <c r="CV34" s="14">
        <f t="shared" si="41"/>
        <v>25.642581059186206</v>
      </c>
      <c r="CW34" s="22">
        <f t="shared" si="13"/>
        <v>209.21321667808266</v>
      </c>
      <c r="CX34" s="60">
        <f t="shared" si="14"/>
        <v>502.546550011416</v>
      </c>
      <c r="CY34" s="60">
        <f ca="1">AVERAGE(OFFSET($CX$3,0,0,'Données projet'!$E$13+1,1))-AVERAGE(OFFSET($H$3,0,0,'Données projet'!$E$13+1,1))</f>
        <v>243.04319555814601</v>
      </c>
      <c r="CZ34" s="60">
        <f t="shared" si="42"/>
        <v>235.68746142880792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</v>
      </c>
      <c r="DO34" s="13">
        <f>IF('Données projet'!$A$166&gt;35,DO33+DN34-DW33,IF(A34&lt;'Données projet'!$A$166,$DL$205^A34,IF(A34='Données projet'!$A$166,'Données projet'!$B$166,DO33+DN34-DW33)))</f>
        <v>189</v>
      </c>
      <c r="DP34" s="18">
        <f>DO34*VLOOKUP('Données projet'!$B$14,Paramètres!$A$1:$I$89,3,0)*VLOOKUP('Données projet'!$B$14,Paramètres!$A$1:$I$89,5,0)</f>
        <v>103.194</v>
      </c>
      <c r="DQ34" s="14">
        <f t="shared" si="43"/>
        <v>27.721526045872263</v>
      </c>
      <c r="DR34" s="22">
        <f t="shared" si="16"/>
        <v>228.01120786322755</v>
      </c>
      <c r="DS34" s="60">
        <f t="shared" si="17"/>
        <v>521.34454119656084</v>
      </c>
      <c r="DT34" s="60">
        <f ca="1">AVERAGE(OFFSET($DS$3,0,0,'Données projet'!$E$14+1,1))-AVERAGE(OFFSET($H$3,0,0,'Données projet'!$E$14+1,1))</f>
        <v>201.4732637505823</v>
      </c>
      <c r="DU34" s="60">
        <f t="shared" si="44"/>
        <v>342.06887933351783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6.4761213866110294</v>
      </c>
      <c r="EB34" s="23">
        <f>EXP(-LN(2)/25)*EB33+(1-EXP(-LN(2)/25))/(LN(2)/25)*Calculateur!DW34*Calculateur!DY34*VLOOKUP('Données projet'!$B$14,Paramètres!$A$1:$I$89,3,0)*0.475*44/12</f>
        <v>25.718893398580501</v>
      </c>
      <c r="EC34" s="23">
        <f>EXP(-LN(2)/2)*EC33+(1-EXP(-LN(2)/2))/(LN(2)/2)*DW34*DZ34*VLOOKUP('Données projet'!$B$14,Paramètres!$A$1:$I$89,3,0)*0.475*44/12</f>
        <v>9.4732205951349577</v>
      </c>
      <c r="ED34" s="24">
        <f t="shared" si="18"/>
        <v>41.668235380326493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14.175384615384615</v>
      </c>
      <c r="EJ34" s="13">
        <f>IF('Données projet'!$A$192&gt;35,EJ33+EI34-ER33,IF(A34&lt;'Données projet'!$A$192,$EG$205^A34,IF(A34='Données projet'!$A$192,'Données projet'!$B$192,EJ33+EI34-ER33)))</f>
        <v>190.83538461538453</v>
      </c>
      <c r="EK34" s="18">
        <f>EJ34*VLOOKUP('Données projet'!$B$15,Paramètres!$A$1:$I$89,3,0)*VLOOKUP('Données projet'!$B$15,Paramètres!$A$1:$I$89,5,0)</f>
        <v>114.11955999999996</v>
      </c>
      <c r="EL34" s="14">
        <f t="shared" si="45"/>
        <v>30.299498410587454</v>
      </c>
      <c r="EM34" s="22">
        <f t="shared" si="19"/>
        <v>251.52986006510639</v>
      </c>
      <c r="EN34" s="60">
        <f t="shared" si="20"/>
        <v>544.86319339843976</v>
      </c>
      <c r="EO34" s="60">
        <f ca="1">AVERAGE(OFFSET($EN$3,0,0,'Données projet'!$E$15+1,1))-AVERAGE(OFFSET($H$3,0,0,'Données projet'!$E$15+1,1))</f>
        <v>260.01925143568263</v>
      </c>
      <c r="EP34" s="60">
        <f t="shared" si="46"/>
        <v>269.95358755269427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13.932761608712237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13.932761608712237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8.8000000000000007</v>
      </c>
      <c r="FE34" s="13">
        <f>IF('Données projet'!$A$218&gt;35,FE33+FD34-FM33,IF(A34&lt;'Données projet'!$A$218,$FB$205^A34,IF(A34='Données projet'!$A$218,'Données projet'!$B$218,FE33+FD34-FM33)))</f>
        <v>154.80000000000001</v>
      </c>
      <c r="FF34" s="18">
        <f>FE34*VLOOKUP('Données projet'!$B$16,Paramètres!$A$1:$I$89,3,0)*VLOOKUP('Données projet'!$B$16,Paramètres!$A$1:$I$89,5,0)</f>
        <v>125.57376000000002</v>
      </c>
      <c r="FG34" s="14">
        <f t="shared" si="47"/>
        <v>32.97153235129214</v>
      </c>
      <c r="FH34" s="22">
        <f t="shared" si="22"/>
        <v>276.13305084516719</v>
      </c>
      <c r="FI34" s="60">
        <f t="shared" si="23"/>
        <v>569.46638417850045</v>
      </c>
      <c r="FJ34" s="60">
        <f ca="1">AVERAGE(OFFSET($FI$3,0,0,'Données projet'!$E$16+1,1))-AVERAGE(OFFSET($H$3,0,0,'Données projet'!$E$16+1,1))</f>
        <v>256.19915261735281</v>
      </c>
      <c r="FK34" s="60">
        <f t="shared" si="48"/>
        <v>297.47246687305056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9.9668131868131873</v>
      </c>
      <c r="FZ34" s="13">
        <f>IF('Données projet'!$A$244&gt;35,FZ33+FY34-GH33,IF(A34&lt;'Données projet'!$A$244,$FW$205^A34,IF(A34='Données projet'!$A$244,'Données projet'!$B$244,FZ33+FY34-GH33)))</f>
        <v>138.05054945054943</v>
      </c>
      <c r="GA34" s="18">
        <f>FZ34*VLOOKUP('Données projet'!$B$17,Paramètres!$A$1:$I$89,3,0)*VLOOKUP('Données projet'!$B$17,Paramètres!$A$1:$I$89,5,0)</f>
        <v>78.964914285714272</v>
      </c>
      <c r="GB34" s="14">
        <f t="shared" si="49"/>
        <v>21.883908788052214</v>
      </c>
      <c r="GC34" s="22">
        <f t="shared" si="25"/>
        <v>175.6450335201433</v>
      </c>
      <c r="GD34" s="60">
        <f t="shared" si="26"/>
        <v>468.97836685347659</v>
      </c>
      <c r="GE34" s="60">
        <f ca="1">AVERAGE(OFFSET($GD$3,0,0,'Données projet'!$E$17+1,1))-AVERAGE(OFFSET($H$3,0,0,'Données projet'!$E$17+1,1))</f>
        <v>268.71641789629319</v>
      </c>
      <c r="GF34" s="60">
        <f t="shared" si="50"/>
        <v>199.94048514486104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2.0423772117611527</v>
      </c>
      <c r="GN34" s="23">
        <f>EXP(-LN(2)/2)*GN33+(1-EXP(-LN(2)/2))/(LN(2)/2)*GH34*GK34*VLOOKUP('Données projet'!$B$17,Paramètres!$A$1:$I$89,3,0)*0.475*44/12</f>
        <v>4.9325755710366268</v>
      </c>
      <c r="GO34" s="23">
        <f t="shared" si="27"/>
        <v>6.9749527827977795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12.971794871794865</v>
      </c>
      <c r="GU34" s="13">
        <f>IF('Données projet'!$A$270&gt;35,GU33+GT34-HC33,IF(A34&lt;'Données projet'!$A$270,$GR$205^A34,IF(A34='Données projet'!$A$270,'Données projet'!$B$270,GU33+GT34-HC33)))</f>
        <v>157.95641025641027</v>
      </c>
      <c r="GV34" s="18">
        <f>GU34*VLOOKUP('Données projet'!$B$18,Paramètres!$A$1:$I$89,3,0)*VLOOKUP('Données projet'!$B$18,Paramètres!$A$1:$I$89,5,0)</f>
        <v>94.457933333333344</v>
      </c>
      <c r="GW34" s="14">
        <f t="shared" si="51"/>
        <v>25.637327417415943</v>
      </c>
      <c r="GX34" s="22">
        <f t="shared" si="28"/>
        <v>209.16591247422164</v>
      </c>
      <c r="GY34" s="60">
        <f t="shared" si="29"/>
        <v>502.49924580755498</v>
      </c>
      <c r="GZ34" s="60">
        <f ca="1">AVERAGE(OFFSET($GY$3,0,0,'Données projet'!$E$18+1,1))-AVERAGE(OFFSET($H$3,0,0,'Données projet'!$E$18+1,1))</f>
        <v>289.12367833861299</v>
      </c>
      <c r="HA34" s="60">
        <f t="shared" si="52"/>
        <v>229.06617320689003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2.9322552041340413</v>
      </c>
      <c r="HJ34" s="24">
        <f t="shared" si="30"/>
        <v>2.9322552041340413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0">
        <f t="shared" si="0"/>
        <v>519.29355615159352</v>
      </c>
      <c r="S35" s="60">
        <f ca="1">AVERAGE(OFFSET($R$3,0,0,'Données projet'!$E$9+1,1))-AVERAGE(OFFSET($H$3,0,0,'Données projet'!$E$9+1,1))</f>
        <v>430.11660085503223</v>
      </c>
      <c r="T35" s="60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18.100000000000001</v>
      </c>
      <c r="AI35" s="14">
        <f>IF('Données projet'!$A$62&gt;35,AI34+AH35-AQ34,IF(A35&lt;'Données projet'!$A$62,$AF$205^A35,IF(A35='Données projet'!$A$62,'Données projet'!$B$62,AI34+AH35-AQ34)))</f>
        <v>251.19230769230765</v>
      </c>
      <c r="AJ35" s="14">
        <f>AI35*VLOOKUP('Données projet'!$B$10,Paramètres!$A$1:$I$89,3,0)*VLOOKUP('Données projet'!$B$10,Paramètres!$A$1:$I$89,5,0)</f>
        <v>140.41649999999998</v>
      </c>
      <c r="AK35" s="14">
        <f t="shared" si="35"/>
        <v>36.392403294074647</v>
      </c>
      <c r="AL35" s="22">
        <f t="shared" si="4"/>
        <v>307.94217323717999</v>
      </c>
      <c r="AM35" s="60">
        <f t="shared" si="5"/>
        <v>601.27550657051324</v>
      </c>
      <c r="AN35" s="60">
        <f ca="1">AVERAGE(OFFSET($AM$3,0,0,'Données projet'!$E$10+1,1))-AVERAGE(OFFSET($H$3,0,0,'Données projet'!$E$10+1,1))</f>
        <v>323.98185264074681</v>
      </c>
      <c r="AO35" s="60">
        <f t="shared" si="36"/>
        <v>301.22207291854005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4.2890301230597663</v>
      </c>
      <c r="AV35" s="23">
        <f>EXP(-LN(2)/25)*AV34+(1-EXP(-LN(2)/25))/(LN(2)/25)*Calculateur!AQ35*Calculateur!AS35*VLOOKUP('Données projet'!$B$10,Paramètres!$A$1:$I$89,3,0)*0.475*44/12</f>
        <v>7.8024208902826429</v>
      </c>
      <c r="AW35" s="23">
        <f>EXP(-LN(2)/2)*AW34+(1-EXP(-LN(2)/2))/(LN(2)/2)*AQ35*AT35*VLOOKUP('Données projet'!$B$10,Paramètres!$A$1:$I$89,3,0)*0.475*44/12</f>
        <v>3.0439035898090103</v>
      </c>
      <c r="AX35" s="23">
        <f t="shared" si="6"/>
        <v>15.13535460315142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10.199999999999999</v>
      </c>
      <c r="BD35" s="13">
        <f>IF('Données projet'!$A$88&gt;35,BD34+BC35-BL34,IF(A35&lt;'Données projet'!$A$88,$BA$205^A35,IF(A35='Données projet'!$A$88,'Données projet'!$B$88,BD34+BC35-BL34)))</f>
        <v>136.4</v>
      </c>
      <c r="BE35" s="14">
        <f>BD35*VLOOKUP('Données projet'!$B$11,Paramètres!$A$1:$I$89,3,0)*VLOOKUP('Données projet'!$B$11,Paramètres!$A$1:$I$89,5,0)</f>
        <v>117.03120000000003</v>
      </c>
      <c r="BF35" s="14">
        <f t="shared" si="37"/>
        <v>30.981569147428555</v>
      </c>
      <c r="BG35" s="22">
        <f t="shared" si="7"/>
        <v>257.78890626510474</v>
      </c>
      <c r="BH35" s="60">
        <f t="shared" si="8"/>
        <v>551.122239598438</v>
      </c>
      <c r="BI35" s="60">
        <f ca="1">AVERAGE(OFFSET($BH$3,0,0,'Données projet'!$E$11+1,1))-AVERAGE(OFFSET($H$3,0,0,'Données projet'!$E$11+1,1))</f>
        <v>556.75475431848258</v>
      </c>
      <c r="BJ35" s="60">
        <f t="shared" si="38"/>
        <v>256.77417912163997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10.780000000000001</v>
      </c>
      <c r="BY35" s="13">
        <f>IF('Données projet'!$A$114&gt;35,BY34+BX35-CG34,IF(A35&lt;'Données projet'!$A$114,$BV$205^A35,IF(A35='Données projet'!$A$114,'Données projet'!$B$114,BY34+BX35-CG34)))</f>
        <v>140.06</v>
      </c>
      <c r="BZ35" s="14">
        <f>BY35*VLOOKUP('Données projet'!$B$12,Paramètres!$A$1:$I$89,3,0)*VLOOKUP('Données projet'!$B$12,Paramètres!$A$1:$I$89,5,0)</f>
        <v>102.691992</v>
      </c>
      <c r="CA35" s="14">
        <f t="shared" si="39"/>
        <v>27.602332648633649</v>
      </c>
      <c r="CB35" s="22">
        <f t="shared" si="10"/>
        <v>226.92928209637023</v>
      </c>
      <c r="CC35" s="60">
        <f t="shared" si="11"/>
        <v>520.2626154297036</v>
      </c>
      <c r="CD35" s="60">
        <f ca="1">AVERAGE(OFFSET($CC$3,0,0,'Données projet'!$E$12+1,1))-AVERAGE(OFFSET($H$3,0,0,'Données projet'!$E$12+1,1))</f>
        <v>290.68086183422963</v>
      </c>
      <c r="CE35" s="60">
        <f t="shared" si="40"/>
        <v>317.88330630101785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7.2</v>
      </c>
      <c r="CT35" s="13">
        <f>IF('Données projet'!$A$140&gt;35,CT34+CS35-DB34,IF(A35&lt;'Données projet'!$A$140,$CQ$205^A35,IF(A35='Données projet'!$A$140,'Données projet'!$B$140,CT34+CS35-DB34)))</f>
        <v>151.40000000000003</v>
      </c>
      <c r="CU35" s="18">
        <f>CT35*VLOOKUP('Données projet'!$B$13,Paramètres!$A$1:$I$89,3,0)*VLOOKUP('Données projet'!$B$13,Paramètres!$A$1:$I$89,5,0)</f>
        <v>99.197280000000021</v>
      </c>
      <c r="CV35" s="14">
        <f t="shared" si="41"/>
        <v>26.770670966897111</v>
      </c>
      <c r="CW35" s="22">
        <f t="shared" si="13"/>
        <v>219.39418126734583</v>
      </c>
      <c r="CX35" s="60">
        <f t="shared" si="14"/>
        <v>512.72751460067911</v>
      </c>
      <c r="CY35" s="60">
        <f ca="1">AVERAGE(OFFSET($CX$3,0,0,'Données projet'!$E$13+1,1))-AVERAGE(OFFSET($H$3,0,0,'Données projet'!$E$13+1,1))</f>
        <v>243.04319555814601</v>
      </c>
      <c r="CZ35" s="60">
        <f t="shared" si="42"/>
        <v>235.68746142880792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</v>
      </c>
      <c r="DO35" s="13">
        <f>IF('Données projet'!$A$166&gt;35,DO34+DN35-DW34,IF(A35&lt;'Données projet'!$A$166,$DL$205^A35,IF(A35='Données projet'!$A$166,'Données projet'!$B$166,DO34+DN35-DW34)))</f>
        <v>199</v>
      </c>
      <c r="DP35" s="18">
        <f>DO35*VLOOKUP('Données projet'!$B$14,Paramètres!$A$1:$I$89,3,0)*VLOOKUP('Données projet'!$B$14,Paramètres!$A$1:$I$89,5,0)</f>
        <v>108.654</v>
      </c>
      <c r="DQ35" s="14">
        <f t="shared" si="43"/>
        <v>29.013629594246538</v>
      </c>
      <c r="DR35" s="22">
        <f t="shared" si="16"/>
        <v>239.77112154331269</v>
      </c>
      <c r="DS35" s="60">
        <f t="shared" si="17"/>
        <v>533.10445487664606</v>
      </c>
      <c r="DT35" s="60">
        <f ca="1">AVERAGE(OFFSET($DS$3,0,0,'Données projet'!$E$14+1,1))-AVERAGE(OFFSET($H$3,0,0,'Données projet'!$E$14+1,1))</f>
        <v>201.4732637505823</v>
      </c>
      <c r="DU35" s="60">
        <f t="shared" si="44"/>
        <v>342.06887933351783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6.3491285962635988</v>
      </c>
      <c r="EB35" s="23">
        <f>EXP(-LN(2)/25)*EB34+(1-EXP(-LN(2)/25))/(LN(2)/25)*Calculateur!DW35*Calculateur!DY35*VLOOKUP('Données projet'!$B$14,Paramètres!$A$1:$I$89,3,0)*0.475*44/12</f>
        <v>25.015608906098496</v>
      </c>
      <c r="EC35" s="23">
        <f>EXP(-LN(2)/2)*EC34+(1-EXP(-LN(2)/2))/(LN(2)/2)*DW35*DZ35*VLOOKUP('Données projet'!$B$14,Paramètres!$A$1:$I$89,3,0)*0.475*44/12</f>
        <v>6.6985785224959908</v>
      </c>
      <c r="ED35" s="24">
        <f t="shared" si="18"/>
        <v>38.063316024858089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14.175384615384615</v>
      </c>
      <c r="EJ35" s="13">
        <f>IF('Données projet'!$A$192&gt;35,EJ34+EI35-ER34,IF(A35&lt;'Données projet'!$A$192,$EG$205^A35,IF(A35='Données projet'!$A$192,'Données projet'!$B$192,EJ34+EI35-ER34)))</f>
        <v>205.01076923076914</v>
      </c>
      <c r="EK35" s="18">
        <f>EJ35*VLOOKUP('Données projet'!$B$15,Paramètres!$A$1:$I$89,3,0)*VLOOKUP('Données projet'!$B$15,Paramètres!$A$1:$I$89,5,0)</f>
        <v>122.59643999999996</v>
      </c>
      <c r="EL35" s="14">
        <f t="shared" si="45"/>
        <v>32.279819769615763</v>
      </c>
      <c r="EM35" s="22">
        <f t="shared" si="19"/>
        <v>269.74281909874736</v>
      </c>
      <c r="EN35" s="60">
        <f t="shared" si="20"/>
        <v>563.07615243208068</v>
      </c>
      <c r="EO35" s="60">
        <f ca="1">AVERAGE(OFFSET($EN$3,0,0,'Données projet'!$E$15+1,1))-AVERAGE(OFFSET($H$3,0,0,'Données projet'!$E$15+1,1))</f>
        <v>260.01925143568263</v>
      </c>
      <c r="EP35" s="60">
        <f t="shared" si="46"/>
        <v>269.95358755269427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13.65954865171085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13.65954865171085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8.8000000000000007</v>
      </c>
      <c r="FE35" s="13">
        <f>IF('Données projet'!$A$218&gt;35,FE34+FD35-FM34,IF(A35&lt;'Données projet'!$A$218,$FB$205^A35,IF(A35='Données projet'!$A$218,'Données projet'!$B$218,FE34+FD35-FM34)))</f>
        <v>163.60000000000002</v>
      </c>
      <c r="FF35" s="18">
        <f>FE35*VLOOKUP('Données projet'!$B$16,Paramètres!$A$1:$I$89,3,0)*VLOOKUP('Données projet'!$B$16,Paramètres!$A$1:$I$89,5,0)</f>
        <v>132.71232000000003</v>
      </c>
      <c r="FG35" s="14">
        <f t="shared" si="47"/>
        <v>34.622341655285041</v>
      </c>
      <c r="FH35" s="22">
        <f t="shared" si="22"/>
        <v>291.44120238295483</v>
      </c>
      <c r="FI35" s="60">
        <f t="shared" si="23"/>
        <v>584.77453571628814</v>
      </c>
      <c r="FJ35" s="60">
        <f ca="1">AVERAGE(OFFSET($FI$3,0,0,'Données projet'!$E$16+1,1))-AVERAGE(OFFSET($H$3,0,0,'Données projet'!$E$16+1,1))</f>
        <v>256.19915261735281</v>
      </c>
      <c r="FK35" s="60">
        <f t="shared" si="48"/>
        <v>297.47246687305056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9.9668131868131873</v>
      </c>
      <c r="FZ35" s="13">
        <f>IF('Données projet'!$A$244&gt;35,FZ34+FY35-GH34,IF(A35&lt;'Données projet'!$A$244,$FW$205^A35,IF(A35='Données projet'!$A$244,'Données projet'!$B$244,FZ34+FY35-GH34)))</f>
        <v>148.01736263736262</v>
      </c>
      <c r="GA35" s="18">
        <f>FZ35*VLOOKUP('Données projet'!$B$17,Paramètres!$A$1:$I$89,3,0)*VLOOKUP('Données projet'!$B$17,Paramètres!$A$1:$I$89,5,0)</f>
        <v>84.66593142857144</v>
      </c>
      <c r="GB35" s="14">
        <f t="shared" si="49"/>
        <v>23.27423761116647</v>
      </c>
      <c r="GC35" s="22">
        <f t="shared" si="25"/>
        <v>187.99579441087681</v>
      </c>
      <c r="GD35" s="60">
        <f t="shared" si="26"/>
        <v>481.32912774421015</v>
      </c>
      <c r="GE35" s="60">
        <f ca="1">AVERAGE(OFFSET($GD$3,0,0,'Données projet'!$E$17+1,1))-AVERAGE(OFFSET($H$3,0,0,'Données projet'!$E$17+1,1))</f>
        <v>268.71641789629319</v>
      </c>
      <c r="GF35" s="60">
        <f t="shared" si="50"/>
        <v>199.94048514486104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1.9865282995015943</v>
      </c>
      <c r="GN35" s="23">
        <f>EXP(-LN(2)/2)*GN34+(1-EXP(-LN(2)/2))/(LN(2)/2)*GH35*GK35*VLOOKUP('Données projet'!$B$17,Paramètres!$A$1:$I$89,3,0)*0.475*44/12</f>
        <v>3.4878576349951058</v>
      </c>
      <c r="GO35" s="23">
        <f t="shared" si="27"/>
        <v>5.4743859344967003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12.971794871794865</v>
      </c>
      <c r="GU35" s="13">
        <f>IF('Données projet'!$A$270&gt;35,GU34+GT35-HC34,IF(A35&lt;'Données projet'!$A$270,$GR$205^A35,IF(A35='Données projet'!$A$270,'Données projet'!$B$270,GU34+GT35-HC34)))</f>
        <v>170.92820512820512</v>
      </c>
      <c r="GV35" s="18">
        <f>GU35*VLOOKUP('Données projet'!$B$18,Paramètres!$A$1:$I$89,3,0)*VLOOKUP('Données projet'!$B$18,Paramètres!$A$1:$I$89,5,0)</f>
        <v>102.21506666666667</v>
      </c>
      <c r="GW35" s="14">
        <f t="shared" si="51"/>
        <v>27.489031873505194</v>
      </c>
      <c r="GX35" s="22">
        <f t="shared" si="28"/>
        <v>225.90130495746598</v>
      </c>
      <c r="GY35" s="60">
        <f t="shared" si="29"/>
        <v>519.23463829079924</v>
      </c>
      <c r="GZ35" s="60">
        <f ca="1">AVERAGE(OFFSET($GY$3,0,0,'Données projet'!$E$18+1,1))-AVERAGE(OFFSET($H$3,0,0,'Données projet'!$E$18+1,1))</f>
        <v>289.12367833861299</v>
      </c>
      <c r="HA35" s="60">
        <f t="shared" si="52"/>
        <v>229.06617320689003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2.0734175390127247</v>
      </c>
      <c r="HJ35" s="24">
        <f t="shared" si="30"/>
        <v>2.0734175390127247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0">
        <f t="shared" si="0"/>
        <v>534.88407898366586</v>
      </c>
      <c r="S36" s="60">
        <f ca="1">AVERAGE(OFFSET($R$3,0,0,'Données projet'!$E$9+1,1))-AVERAGE(OFFSET($H$3,0,0,'Données projet'!$E$9+1,1))</f>
        <v>430.11660085503223</v>
      </c>
      <c r="T36" s="60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18.100000000000001</v>
      </c>
      <c r="AI36" s="14">
        <f>IF('Données projet'!$A$62&gt;35,AI35+AH36-AQ35,IF(A36&lt;'Données projet'!$A$62,$AF$205^A36,IF(A36='Données projet'!$A$62,'Données projet'!$B$62,AI35+AH36-AQ35)))</f>
        <v>269.29230769230765</v>
      </c>
      <c r="AJ36" s="14">
        <f>AI36*VLOOKUP('Données projet'!$B$10,Paramètres!$A$1:$I$89,3,0)*VLOOKUP('Données projet'!$B$10,Paramètres!$A$1:$I$89,5,0)</f>
        <v>150.53439999999998</v>
      </c>
      <c r="AK36" s="14">
        <f t="shared" si="35"/>
        <v>38.700004790658191</v>
      </c>
      <c r="AL36" s="22">
        <f t="shared" si="4"/>
        <v>329.58325501039627</v>
      </c>
      <c r="AM36" s="60">
        <f t="shared" si="5"/>
        <v>622.91658834372959</v>
      </c>
      <c r="AN36" s="60">
        <f ca="1">AVERAGE(OFFSET($AM$3,0,0,'Données projet'!$E$10+1,1))-AVERAGE(OFFSET($H$3,0,0,'Données projet'!$E$10+1,1))</f>
        <v>323.98185264074681</v>
      </c>
      <c r="AO36" s="60">
        <f t="shared" si="36"/>
        <v>301.22207291854005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4.2049248583966259</v>
      </c>
      <c r="AV36" s="23">
        <f>EXP(-LN(2)/25)*AV35+(1-EXP(-LN(2)/25))/(LN(2)/25)*Calculateur!AQ36*Calculateur!AS36*VLOOKUP('Données projet'!$B$10,Paramètres!$A$1:$I$89,3,0)*0.475*44/12</f>
        <v>7.589063280726382</v>
      </c>
      <c r="AW36" s="23">
        <f>EXP(-LN(2)/2)*AW35+(1-EXP(-LN(2)/2))/(LN(2)/2)*AQ36*AT36*VLOOKUP('Données projet'!$B$10,Paramètres!$A$1:$I$89,3,0)*0.475*44/12</f>
        <v>2.1523648696320263</v>
      </c>
      <c r="AX36" s="23">
        <f t="shared" si="6"/>
        <v>13.946353008755036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10.199999999999999</v>
      </c>
      <c r="BD36" s="13">
        <f>IF('Données projet'!$A$88&gt;35,BD35+BC36-BL35,IF(A36&lt;'Données projet'!$A$88,$BA$205^A36,IF(A36='Données projet'!$A$88,'Données projet'!$B$88,BD35+BC36-BL35)))</f>
        <v>146.6</v>
      </c>
      <c r="BE36" s="14">
        <f>BD36*VLOOKUP('Données projet'!$B$11,Paramètres!$A$1:$I$89,3,0)*VLOOKUP('Données projet'!$B$11,Paramètres!$A$1:$I$89,5,0)</f>
        <v>125.78280000000002</v>
      </c>
      <c r="BF36" s="14">
        <f t="shared" si="37"/>
        <v>33.020025823870341</v>
      </c>
      <c r="BG36" s="22">
        <f t="shared" si="7"/>
        <v>276.58158830990754</v>
      </c>
      <c r="BH36" s="60">
        <f t="shared" si="8"/>
        <v>569.91492164324086</v>
      </c>
      <c r="BI36" s="60">
        <f ca="1">AVERAGE(OFFSET($BH$3,0,0,'Données projet'!$E$11+1,1))-AVERAGE(OFFSET($H$3,0,0,'Données projet'!$E$11+1,1))</f>
        <v>556.75475431848258</v>
      </c>
      <c r="BJ36" s="60">
        <f t="shared" si="38"/>
        <v>256.77417912163997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10.780000000000001</v>
      </c>
      <c r="BY36" s="13">
        <f>IF('Données projet'!$A$114&gt;35,BY35+BX36-CG35,IF(A36&lt;'Données projet'!$A$114,$BV$205^A36,IF(A36='Données projet'!$A$114,'Données projet'!$B$114,BY35+BX36-CG35)))</f>
        <v>150.84</v>
      </c>
      <c r="BZ36" s="14">
        <f>BY36*VLOOKUP('Données projet'!$B$12,Paramètres!$A$1:$I$89,3,0)*VLOOKUP('Données projet'!$B$12,Paramètres!$A$1:$I$89,5,0)</f>
        <v>110.59588800000002</v>
      </c>
      <c r="CA36" s="14">
        <f t="shared" si="39"/>
        <v>29.471336258234906</v>
      </c>
      <c r="CB36" s="22">
        <f t="shared" si="10"/>
        <v>243.95041558309245</v>
      </c>
      <c r="CC36" s="60">
        <f t="shared" si="11"/>
        <v>537.28374891642579</v>
      </c>
      <c r="CD36" s="60">
        <f ca="1">AVERAGE(OFFSET($CC$3,0,0,'Données projet'!$E$12+1,1))-AVERAGE(OFFSET($H$3,0,0,'Données projet'!$E$12+1,1))</f>
        <v>290.68086183422963</v>
      </c>
      <c r="CE36" s="60">
        <f t="shared" si="40"/>
        <v>317.88330630101785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7.2</v>
      </c>
      <c r="CT36" s="13">
        <f>IF('Données projet'!$A$140&gt;35,CT35+CS36-DB35,IF(A36&lt;'Données projet'!$A$140,$CQ$205^A36,IF(A36='Données projet'!$A$140,'Données projet'!$B$140,CT35+CS36-DB35)))</f>
        <v>158.60000000000002</v>
      </c>
      <c r="CU36" s="18">
        <f>CT36*VLOOKUP('Données projet'!$B$13,Paramètres!$A$1:$I$89,3,0)*VLOOKUP('Données projet'!$B$13,Paramètres!$A$1:$I$89,5,0)</f>
        <v>103.91472000000002</v>
      </c>
      <c r="CV36" s="14">
        <f t="shared" si="41"/>
        <v>27.892531065771813</v>
      </c>
      <c r="CW36" s="22">
        <f t="shared" si="13"/>
        <v>229.56429560621925</v>
      </c>
      <c r="CX36" s="60">
        <f t="shared" si="14"/>
        <v>522.89762893955253</v>
      </c>
      <c r="CY36" s="60">
        <f ca="1">AVERAGE(OFFSET($CX$3,0,0,'Données projet'!$E$13+1,1))-AVERAGE(OFFSET($H$3,0,0,'Données projet'!$E$13+1,1))</f>
        <v>243.04319555814601</v>
      </c>
      <c r="CZ36" s="60">
        <f t="shared" si="42"/>
        <v>235.68746142880792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</v>
      </c>
      <c r="DO36" s="13">
        <f>IF('Données projet'!$A$166&gt;35,DO35+DN36-DW35,IF(A36&lt;'Données projet'!$A$166,$DL$205^A36,IF(A36='Données projet'!$A$166,'Données projet'!$B$166,DO35+DN36-DW35)))</f>
        <v>209</v>
      </c>
      <c r="DP36" s="18">
        <f>DO36*VLOOKUP('Données projet'!$B$14,Paramètres!$A$1:$I$89,3,0)*VLOOKUP('Données projet'!$B$14,Paramètres!$A$1:$I$89,5,0)</f>
        <v>114.114</v>
      </c>
      <c r="DQ36" s="14">
        <f t="shared" si="43"/>
        <v>30.2981940217283</v>
      </c>
      <c r="DR36" s="22">
        <f t="shared" si="16"/>
        <v>251.51790458784345</v>
      </c>
      <c r="DS36" s="60">
        <f t="shared" si="17"/>
        <v>544.85123792117679</v>
      </c>
      <c r="DT36" s="60">
        <f ca="1">AVERAGE(OFFSET($DS$3,0,0,'Données projet'!$E$14+1,1))-AVERAGE(OFFSET($H$3,0,0,'Données projet'!$E$14+1,1))</f>
        <v>201.4732637505823</v>
      </c>
      <c r="DU36" s="60">
        <f t="shared" si="44"/>
        <v>342.06887933351783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6.224626057076927</v>
      </c>
      <c r="EB36" s="23">
        <f>EXP(-LN(2)/25)*EB35+(1-EXP(-LN(2)/25))/(LN(2)/25)*Calculateur!DW36*Calculateur!DY36*VLOOKUP('Données projet'!$B$14,Paramètres!$A$1:$I$89,3,0)*0.475*44/12</f>
        <v>24.331555765047533</v>
      </c>
      <c r="EC36" s="23">
        <f>EXP(-LN(2)/2)*EC35+(1-EXP(-LN(2)/2))/(LN(2)/2)*DW36*DZ36*VLOOKUP('Données projet'!$B$14,Paramètres!$A$1:$I$89,3,0)*0.475*44/12</f>
        <v>4.7366102975674798</v>
      </c>
      <c r="ED36" s="24">
        <f t="shared" si="18"/>
        <v>35.292792119691939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14.175384615384615</v>
      </c>
      <c r="EJ36" s="13">
        <f>IF('Données projet'!$A$192&gt;35,EJ35+EI36-ER35,IF(A36&lt;'Données projet'!$A$192,$EG$205^A36,IF(A36='Données projet'!$A$192,'Données projet'!$B$192,EJ35+EI36-ER35)))</f>
        <v>219.18615384615376</v>
      </c>
      <c r="EK36" s="18">
        <f>EJ36*VLOOKUP('Données projet'!$B$15,Paramètres!$A$1:$I$89,3,0)*VLOOKUP('Données projet'!$B$15,Paramètres!$A$1:$I$89,5,0)</f>
        <v>131.07331999999994</v>
      </c>
      <c r="EL36" s="14">
        <f t="shared" si="45"/>
        <v>34.244253261100795</v>
      </c>
      <c r="EM36" s="22">
        <f t="shared" si="19"/>
        <v>287.92810676308375</v>
      </c>
      <c r="EN36" s="60">
        <f t="shared" si="20"/>
        <v>581.26144009641712</v>
      </c>
      <c r="EO36" s="60">
        <f ca="1">AVERAGE(OFFSET($EN$3,0,0,'Données projet'!$E$15+1,1))-AVERAGE(OFFSET($H$3,0,0,'Données projet'!$E$15+1,1))</f>
        <v>260.01925143568263</v>
      </c>
      <c r="EP36" s="60">
        <f t="shared" si="46"/>
        <v>269.95358755269427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13.391693234152809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13.391693234152809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8.8000000000000007</v>
      </c>
      <c r="FE36" s="13">
        <f>IF('Données projet'!$A$218&gt;35,FE35+FD36-FM35,IF(A36&lt;'Données projet'!$A$218,$FB$205^A36,IF(A36='Données projet'!$A$218,'Données projet'!$B$218,FE35+FD36-FM35)))</f>
        <v>172.40000000000003</v>
      </c>
      <c r="FF36" s="18">
        <f>FE36*VLOOKUP('Données projet'!$B$16,Paramètres!$A$1:$I$89,3,0)*VLOOKUP('Données projet'!$B$16,Paramètres!$A$1:$I$89,5,0)</f>
        <v>139.85088000000005</v>
      </c>
      <c r="FG36" s="14">
        <f t="shared" si="47"/>
        <v>36.262842078476233</v>
      </c>
      <c r="FH36" s="22">
        <f t="shared" si="22"/>
        <v>306.7313992866795</v>
      </c>
      <c r="FI36" s="60">
        <f t="shared" si="23"/>
        <v>600.06473262001282</v>
      </c>
      <c r="FJ36" s="60">
        <f ca="1">AVERAGE(OFFSET($FI$3,0,0,'Données projet'!$E$16+1,1))-AVERAGE(OFFSET($H$3,0,0,'Données projet'!$E$16+1,1))</f>
        <v>256.19915261735281</v>
      </c>
      <c r="FK36" s="60">
        <f t="shared" si="48"/>
        <v>297.47246687305056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9.9668131868131873</v>
      </c>
      <c r="FZ36" s="13">
        <f>IF('Données projet'!$A$244&gt;35,FZ35+FY36-GH35,IF(A36&lt;'Données projet'!$A$244,$FW$205^A36,IF(A36='Données projet'!$A$244,'Données projet'!$B$244,FZ35+FY36-GH35)))</f>
        <v>157.98417582417582</v>
      </c>
      <c r="GA36" s="18">
        <f>FZ36*VLOOKUP('Données projet'!$B$17,Paramètres!$A$1:$I$89,3,0)*VLOOKUP('Données projet'!$B$17,Paramètres!$A$1:$I$89,5,0)</f>
        <v>90.36694857142858</v>
      </c>
      <c r="GB36" s="14">
        <f t="shared" si="49"/>
        <v>24.653703184762389</v>
      </c>
      <c r="GC36" s="22">
        <f t="shared" si="25"/>
        <v>200.32763514203262</v>
      </c>
      <c r="GD36" s="60">
        <f t="shared" si="26"/>
        <v>493.66096847536596</v>
      </c>
      <c r="GE36" s="60">
        <f ca="1">AVERAGE(OFFSET($GD$3,0,0,'Données projet'!$E$17+1,1))-AVERAGE(OFFSET($H$3,0,0,'Données projet'!$E$17+1,1))</f>
        <v>268.71641789629319</v>
      </c>
      <c r="GF36" s="60">
        <f t="shared" si="50"/>
        <v>199.94048514486104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1.9322065786847402</v>
      </c>
      <c r="GN36" s="23">
        <f>EXP(-LN(2)/2)*GN35+(1-EXP(-LN(2)/2))/(LN(2)/2)*GH36*GK36*VLOOKUP('Données projet'!$B$17,Paramètres!$A$1:$I$89,3,0)*0.475*44/12</f>
        <v>2.4662877855183134</v>
      </c>
      <c r="GO36" s="23">
        <f t="shared" si="27"/>
        <v>4.3984943642030538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>
        <f>VLOOKUP(A36,'Données projet'!$A$269:$I$289,2,0)</f>
        <v>183.89999999999998</v>
      </c>
      <c r="GS36" s="13">
        <f>VLOOKUP(A36,'Données projet'!$A$269:$I$289,9,0)</f>
        <v>12.971794871794865</v>
      </c>
      <c r="GT36" s="13">
        <f t="array" ref="GT36">INDEX(GS:GS,MIN(IF(ISNUMBER(GS36:GS232),ROW(GS36:GS232),"")))</f>
        <v>12.971794871794865</v>
      </c>
      <c r="GU36" s="13">
        <f>IF('Données projet'!$A$270&gt;35,GU35+GT36-HC35,IF(A36&lt;'Données projet'!$A$270,$GR$205^A36,IF(A36='Données projet'!$A$270,'Données projet'!$B$270,GU35+GT36-HC35)))</f>
        <v>183.89999999999998</v>
      </c>
      <c r="GV36" s="18">
        <f>GU36*VLOOKUP('Données projet'!$B$18,Paramètres!$A$1:$I$89,3,0)*VLOOKUP('Données projet'!$B$18,Paramètres!$A$1:$I$89,5,0)</f>
        <v>109.9722</v>
      </c>
      <c r="GW36" s="14">
        <f t="shared" si="51"/>
        <v>29.324434579377328</v>
      </c>
      <c r="GX36" s="22">
        <f t="shared" si="28"/>
        <v>242.60830522574884</v>
      </c>
      <c r="GY36" s="60">
        <f t="shared" si="29"/>
        <v>535.94163855908209</v>
      </c>
      <c r="GZ36" s="60">
        <f ca="1">AVERAGE(OFFSET($GY$3,0,0,'Données projet'!$E$18+1,1))-AVERAGE(OFFSET($H$3,0,0,'Données projet'!$E$18+1,1))</f>
        <v>289.12367833861299</v>
      </c>
      <c r="HA36" s="60">
        <f t="shared" si="52"/>
        <v>229.06617320689003</v>
      </c>
      <c r="HB36" s="16">
        <f>IF(ISNA(VLOOKUP(A36,'Données projet'!$A$269:$I$289,3,0)),0,VLOOKUP(A36,'Données projet'!$A$269:$I$289,3,0))</f>
        <v>3</v>
      </c>
      <c r="HC36" s="16">
        <f>IF(ISNA(VLOOKUP(A36,'Données projet'!$A$269:$I$289,4,0)),0,VLOOKUP(A36,'Données projet'!$A$269:$I$289,4,0))</f>
        <v>43.007692307692302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1.4661276020670206</v>
      </c>
      <c r="HJ36" s="24">
        <f t="shared" si="30"/>
        <v>1.4661276020670206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0">
        <f t="shared" si="0"/>
        <v>550.45171062520751</v>
      </c>
      <c r="S37" s="60">
        <f ca="1">AVERAGE(OFFSET($R$3,0,0,'Données projet'!$E$9+1,1))-AVERAGE(OFFSET($H$3,0,0,'Données projet'!$E$9+1,1))</f>
        <v>430.11660085503223</v>
      </c>
      <c r="T37" s="60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18.100000000000001</v>
      </c>
      <c r="AI37" s="14">
        <f>IF('Données projet'!$A$62&gt;35,AI36+AH37-AQ36,IF(A37&lt;'Données projet'!$A$62,$AF$205^A37,IF(A37='Données projet'!$A$62,'Données projet'!$B$62,AI36+AH37-AQ36)))</f>
        <v>287.39230769230767</v>
      </c>
      <c r="AJ37" s="14">
        <f>AI37*VLOOKUP('Données projet'!$B$10,Paramètres!$A$1:$I$89,3,0)*VLOOKUP('Données projet'!$B$10,Paramètres!$A$1:$I$89,5,0)</f>
        <v>160.6523</v>
      </c>
      <c r="AK37" s="14">
        <f t="shared" si="35"/>
        <v>40.989608635643826</v>
      </c>
      <c r="AL37" s="22">
        <f t="shared" si="4"/>
        <v>351.19299087374634</v>
      </c>
      <c r="AM37" s="60">
        <f t="shared" si="5"/>
        <v>644.5263242070796</v>
      </c>
      <c r="AN37" s="60">
        <f ca="1">AVERAGE(OFFSET($AM$3,0,0,'Données projet'!$E$10+1,1))-AVERAGE(OFFSET($H$3,0,0,'Données projet'!$E$10+1,1))</f>
        <v>323.98185264074681</v>
      </c>
      <c r="AO37" s="60">
        <f t="shared" si="36"/>
        <v>301.22207291854005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4.1224688466743835</v>
      </c>
      <c r="AV37" s="23">
        <f>EXP(-LN(2)/25)*AV36+(1-EXP(-LN(2)/25))/(LN(2)/25)*Calculateur!AQ37*Calculateur!AS37*VLOOKUP('Données projet'!$B$10,Paramètres!$A$1:$I$89,3,0)*0.475*44/12</f>
        <v>7.3815399462234259</v>
      </c>
      <c r="AW37" s="23">
        <f>EXP(-LN(2)/2)*AW36+(1-EXP(-LN(2)/2))/(LN(2)/2)*AQ37*AT37*VLOOKUP('Données projet'!$B$10,Paramètres!$A$1:$I$89,3,0)*0.475*44/12</f>
        <v>1.5219517949045052</v>
      </c>
      <c r="AX37" s="23">
        <f t="shared" si="6"/>
        <v>13.025960587802315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10.199999999999999</v>
      </c>
      <c r="BD37" s="13">
        <f>IF('Données projet'!$A$88&gt;35,BD36+BC37-BL36,IF(A37&lt;'Données projet'!$A$88,$BA$205^A37,IF(A37='Données projet'!$A$88,'Données projet'!$B$88,BD36+BC37-BL36)))</f>
        <v>156.79999999999998</v>
      </c>
      <c r="BE37" s="14">
        <f>BD37*VLOOKUP('Données projet'!$B$11,Paramètres!$A$1:$I$89,3,0)*VLOOKUP('Données projet'!$B$11,Paramètres!$A$1:$I$89,5,0)</f>
        <v>134.53440000000001</v>
      </c>
      <c r="BF37" s="14">
        <f t="shared" si="37"/>
        <v>35.042026165482234</v>
      </c>
      <c r="BG37" s="22">
        <f t="shared" si="7"/>
        <v>295.34560890488154</v>
      </c>
      <c r="BH37" s="60">
        <f t="shared" si="8"/>
        <v>588.67894223821486</v>
      </c>
      <c r="BI37" s="60">
        <f ca="1">AVERAGE(OFFSET($BH$3,0,0,'Données projet'!$E$11+1,1))-AVERAGE(OFFSET($H$3,0,0,'Données projet'!$E$11+1,1))</f>
        <v>556.75475431848258</v>
      </c>
      <c r="BJ37" s="60">
        <f t="shared" si="38"/>
        <v>256.77417912163997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10.780000000000001</v>
      </c>
      <c r="BY37" s="13">
        <f>IF('Données projet'!$A$114&gt;35,BY36+BX37-CG36,IF(A37&lt;'Données projet'!$A$114,$BV$205^A37,IF(A37='Données projet'!$A$114,'Données projet'!$B$114,BY36+BX37-CG36)))</f>
        <v>161.62</v>
      </c>
      <c r="BZ37" s="14">
        <f>BY37*VLOOKUP('Données projet'!$B$12,Paramètres!$A$1:$I$89,3,0)*VLOOKUP('Données projet'!$B$12,Paramètres!$A$1:$I$89,5,0)</f>
        <v>118.49978400000001</v>
      </c>
      <c r="CA37" s="14">
        <f t="shared" si="39"/>
        <v>31.324842766686455</v>
      </c>
      <c r="CB37" s="22">
        <f t="shared" si="10"/>
        <v>260.94455828531221</v>
      </c>
      <c r="CC37" s="60">
        <f t="shared" si="11"/>
        <v>554.27789161864553</v>
      </c>
      <c r="CD37" s="60">
        <f ca="1">AVERAGE(OFFSET($CC$3,0,0,'Données projet'!$E$12+1,1))-AVERAGE(OFFSET($H$3,0,0,'Données projet'!$E$12+1,1))</f>
        <v>290.68086183422963</v>
      </c>
      <c r="CE37" s="60">
        <f t="shared" si="40"/>
        <v>317.88330630101785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7.2</v>
      </c>
      <c r="CT37" s="13">
        <f>IF('Données projet'!$A$140&gt;35,CT36+CS37-DB36,IF(A37&lt;'Données projet'!$A$140,$CQ$205^A37,IF(A37='Données projet'!$A$140,'Données projet'!$B$140,CT36+CS37-DB36)))</f>
        <v>165.8</v>
      </c>
      <c r="CU37" s="18">
        <f>CT37*VLOOKUP('Données projet'!$B$13,Paramètres!$A$1:$I$89,3,0)*VLOOKUP('Données projet'!$B$13,Paramètres!$A$1:$I$89,5,0)</f>
        <v>108.63216</v>
      </c>
      <c r="CV37" s="14">
        <f t="shared" si="41"/>
        <v>29.00847648006771</v>
      </c>
      <c r="CW37" s="22">
        <f t="shared" si="13"/>
        <v>239.72410853611791</v>
      </c>
      <c r="CX37" s="60">
        <f t="shared" si="14"/>
        <v>533.05744186945117</v>
      </c>
      <c r="CY37" s="60">
        <f ca="1">AVERAGE(OFFSET($CX$3,0,0,'Données projet'!$E$13+1,1))-AVERAGE(OFFSET($H$3,0,0,'Données projet'!$E$13+1,1))</f>
        <v>243.04319555814601</v>
      </c>
      <c r="CZ37" s="60">
        <f t="shared" si="42"/>
        <v>235.68746142880792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</v>
      </c>
      <c r="DO37" s="13">
        <f>IF('Données projet'!$A$166&gt;35,DO36+DN37-DW36,IF(A37&lt;'Données projet'!$A$166,$DL$205^A37,IF(A37='Données projet'!$A$166,'Données projet'!$B$166,DO36+DN37-DW36)))</f>
        <v>219</v>
      </c>
      <c r="DP37" s="18">
        <f>DO37*VLOOKUP('Données projet'!$B$14,Paramètres!$A$1:$I$89,3,0)*VLOOKUP('Données projet'!$B$14,Paramètres!$A$1:$I$89,5,0)</f>
        <v>119.57399999999998</v>
      </c>
      <c r="DQ37" s="14">
        <f t="shared" si="43"/>
        <v>31.575621234412871</v>
      </c>
      <c r="DR37" s="22">
        <f t="shared" si="16"/>
        <v>263.25225698326904</v>
      </c>
      <c r="DS37" s="60">
        <f t="shared" si="17"/>
        <v>556.58559031660229</v>
      </c>
      <c r="DT37" s="60">
        <f ca="1">AVERAGE(OFFSET($DS$3,0,0,'Données projet'!$E$14+1,1))-AVERAGE(OFFSET($H$3,0,0,'Données projet'!$E$14+1,1))</f>
        <v>201.4732637505823</v>
      </c>
      <c r="DU37" s="60">
        <f t="shared" si="44"/>
        <v>342.06887933351783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6.1025649367446553</v>
      </c>
      <c r="EB37" s="23">
        <f>EXP(-LN(2)/25)*EB36+(1-EXP(-LN(2)/25))/(LN(2)/25)*Calculateur!DW37*Calculateur!DY37*VLOOKUP('Données projet'!$B$14,Paramètres!$A$1:$I$89,3,0)*0.475*44/12</f>
        <v>23.666208093111401</v>
      </c>
      <c r="EC37" s="23">
        <f>EXP(-LN(2)/2)*EC36+(1-EXP(-LN(2)/2))/(LN(2)/2)*DW37*DZ37*VLOOKUP('Données projet'!$B$14,Paramètres!$A$1:$I$89,3,0)*0.475*44/12</f>
        <v>3.3492892612479959</v>
      </c>
      <c r="ED37" s="24">
        <f t="shared" si="18"/>
        <v>33.118062291104053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>
        <f>VLOOKUP(A37,'Données projet'!$A$191:$I$211,2,0)</f>
        <v>233.36153846153846</v>
      </c>
      <c r="EH37" s="13">
        <f>VLOOKUP(A37,'Données projet'!$A$191:$I$211,9,0)</f>
        <v>14.175384615384615</v>
      </c>
      <c r="EI37" s="13">
        <f t="array" ref="EI37">INDEX(EH:EH,MIN(IF(ISNUMBER(EH37:EH233),ROW(EH37:EH233),"")))</f>
        <v>14.175384615384615</v>
      </c>
      <c r="EJ37" s="13">
        <f>IF('Données projet'!$A$192&gt;35,EJ36+EI37-ER36,IF(A37&lt;'Données projet'!$A$192,$EG$205^A37,IF(A37='Données projet'!$A$192,'Données projet'!$B$192,EJ36+EI37-ER36)))</f>
        <v>233.36153846153837</v>
      </c>
      <c r="EK37" s="18">
        <f>EJ37*VLOOKUP('Données projet'!$B$15,Paramètres!$A$1:$I$89,3,0)*VLOOKUP('Données projet'!$B$15,Paramètres!$A$1:$I$89,5,0)</f>
        <v>139.55019999999996</v>
      </c>
      <c r="EL37" s="14">
        <f t="shared" si="45"/>
        <v>36.193943340422692</v>
      </c>
      <c r="EM37" s="22">
        <f t="shared" si="19"/>
        <v>306.08771631790279</v>
      </c>
      <c r="EN37" s="60">
        <f t="shared" si="20"/>
        <v>599.4210496512361</v>
      </c>
      <c r="EO37" s="60">
        <f ca="1">AVERAGE(OFFSET($EN$3,0,0,'Données projet'!$E$15+1,1))-AVERAGE(OFFSET($H$3,0,0,'Données projet'!$E$15+1,1))</f>
        <v>260.01925143568263</v>
      </c>
      <c r="EP37" s="60">
        <f t="shared" si="46"/>
        <v>269.95358755269427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13.12909029795741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13.12909029795741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8.8000000000000007</v>
      </c>
      <c r="FE37" s="13">
        <f>IF('Données projet'!$A$218&gt;35,FE36+FD37-FM36,IF(A37&lt;'Données projet'!$A$218,$FB$205^A37,IF(A37='Données projet'!$A$218,'Données projet'!$B$218,FE36+FD37-FM36)))</f>
        <v>181.20000000000005</v>
      </c>
      <c r="FF37" s="18">
        <f>FE37*VLOOKUP('Données projet'!$B$16,Paramètres!$A$1:$I$89,3,0)*VLOOKUP('Données projet'!$B$16,Paramètres!$A$1:$I$89,5,0)</f>
        <v>146.98944000000006</v>
      </c>
      <c r="FG37" s="14">
        <f t="shared" si="47"/>
        <v>37.893619858723746</v>
      </c>
      <c r="FH37" s="22">
        <f t="shared" si="22"/>
        <v>322.00466258727732</v>
      </c>
      <c r="FI37" s="60">
        <f t="shared" si="23"/>
        <v>615.33799592061064</v>
      </c>
      <c r="FJ37" s="60">
        <f ca="1">AVERAGE(OFFSET($FI$3,0,0,'Données projet'!$E$16+1,1))-AVERAGE(OFFSET($H$3,0,0,'Données projet'!$E$16+1,1))</f>
        <v>256.19915261735281</v>
      </c>
      <c r="FK37" s="60">
        <f t="shared" si="48"/>
        <v>297.47246687305056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9.9668131868131873</v>
      </c>
      <c r="FZ37" s="13">
        <f>IF('Données projet'!$A$244&gt;35,FZ36+FY37-GH36,IF(A37&lt;'Données projet'!$A$244,$FW$205^A37,IF(A37='Données projet'!$A$244,'Données projet'!$B$244,FZ36+FY37-GH36)))</f>
        <v>167.95098901098902</v>
      </c>
      <c r="GA37" s="18">
        <f>FZ37*VLOOKUP('Données projet'!$B$17,Paramètres!$A$1:$I$89,3,0)*VLOOKUP('Données projet'!$B$17,Paramètres!$A$1:$I$89,5,0)</f>
        <v>96.06796571428572</v>
      </c>
      <c r="GB37" s="14">
        <f t="shared" si="49"/>
        <v>26.023068857971857</v>
      </c>
      <c r="GC37" s="22">
        <f t="shared" si="25"/>
        <v>212.64188521334859</v>
      </c>
      <c r="GD37" s="60">
        <f t="shared" si="26"/>
        <v>505.9752185466819</v>
      </c>
      <c r="GE37" s="60">
        <f ca="1">AVERAGE(OFFSET($GD$3,0,0,'Données projet'!$E$17+1,1))-AVERAGE(OFFSET($H$3,0,0,'Données projet'!$E$17+1,1))</f>
        <v>268.71641789629319</v>
      </c>
      <c r="GF37" s="60">
        <f t="shared" si="50"/>
        <v>199.94048514486104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1.8793702881802781</v>
      </c>
      <c r="GN37" s="23">
        <f>EXP(-LN(2)/2)*GN36+(1-EXP(-LN(2)/2))/(LN(2)/2)*GH37*GK37*VLOOKUP('Données projet'!$B$17,Paramètres!$A$1:$I$89,3,0)*0.475*44/12</f>
        <v>1.7439288174975529</v>
      </c>
      <c r="GO37" s="23">
        <f t="shared" si="27"/>
        <v>3.6232991056778312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12.74038461538462</v>
      </c>
      <c r="GU37" s="13">
        <f>IF('Données projet'!$A$270&gt;35,GU36+GT37-HC36,IF(A37&lt;'Données projet'!$A$270,$GR$205^A37,IF(A37='Données projet'!$A$270,'Données projet'!$B$270,GU36+GT37-HC36)))</f>
        <v>153.63269230769228</v>
      </c>
      <c r="GV37" s="18">
        <f>GU37*VLOOKUP('Données projet'!$B$18,Paramètres!$A$1:$I$89,3,0)*VLOOKUP('Données projet'!$B$18,Paramètres!$A$1:$I$89,5,0)</f>
        <v>91.872349999999997</v>
      </c>
      <c r="GW37" s="14">
        <f t="shared" si="51"/>
        <v>25.016248165039102</v>
      </c>
      <c r="GX37" s="22">
        <f t="shared" si="28"/>
        <v>203.58097513744312</v>
      </c>
      <c r="GY37" s="60">
        <f t="shared" si="29"/>
        <v>496.9143084707764</v>
      </c>
      <c r="GZ37" s="60">
        <f ca="1">AVERAGE(OFFSET($GY$3,0,0,'Données projet'!$E$18+1,1))-AVERAGE(OFFSET($H$3,0,0,'Données projet'!$E$18+1,1))</f>
        <v>289.12367833861299</v>
      </c>
      <c r="HA37" s="60">
        <f t="shared" si="52"/>
        <v>229.06617320689003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1.0367087695063624</v>
      </c>
      <c r="HJ37" s="24">
        <f t="shared" si="30"/>
        <v>1.0367087695063624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0">
        <f t="shared" si="0"/>
        <v>565.99803230996918</v>
      </c>
      <c r="S38" s="60">
        <f ca="1">AVERAGE(OFFSET($R$3,0,0,'Données projet'!$E$9+1,1))-AVERAGE(OFFSET($H$3,0,0,'Données projet'!$E$9+1,1))</f>
        <v>430.11660085503223</v>
      </c>
      <c r="T38" s="60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305.49230769230769</v>
      </c>
      <c r="AG38" s="13">
        <f>VLOOKUP(A38,'Données projet'!$A$61:$I$81,9,0)</f>
        <v>18.100000000000001</v>
      </c>
      <c r="AH38" s="13">
        <f t="array" ref="AH38">INDEX(AG:AG,MIN(IF(ISNUMBER(AG38:AG234),ROW(AG38:AG234),"")))</f>
        <v>18.100000000000001</v>
      </c>
      <c r="AI38" s="14">
        <f>IF('Données projet'!$A$62&gt;35,AI37+AH38-AQ37,IF(A38&lt;'Données projet'!$A$62,$AF$205^A38,IF(A38='Données projet'!$A$62,'Données projet'!$B$62,AI37+AH38-AQ37)))</f>
        <v>305.49230769230769</v>
      </c>
      <c r="AJ38" s="14">
        <f>AI38*VLOOKUP('Données projet'!$B$10,Paramètres!$A$1:$I$89,3,0)*VLOOKUP('Données projet'!$B$10,Paramètres!$A$1:$I$89,5,0)</f>
        <v>170.77019999999999</v>
      </c>
      <c r="AK38" s="14">
        <f t="shared" si="35"/>
        <v>43.26247735598961</v>
      </c>
      <c r="AL38" s="22">
        <f t="shared" si="4"/>
        <v>372.77357972834852</v>
      </c>
      <c r="AM38" s="60">
        <f t="shared" si="5"/>
        <v>666.10691306168178</v>
      </c>
      <c r="AN38" s="60">
        <f ca="1">AVERAGE(OFFSET($AM$3,0,0,'Données projet'!$E$10+1,1))-AVERAGE(OFFSET($H$3,0,0,'Données projet'!$E$10+1,1))</f>
        <v>323.98185264074681</v>
      </c>
      <c r="AO38" s="60">
        <f t="shared" si="36"/>
        <v>301.22207291854005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70.5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4.0416297470488134</v>
      </c>
      <c r="AV38" s="23">
        <f>EXP(-LN(2)/25)*AV37+(1-EXP(-LN(2)/25))/(LN(2)/25)*Calculateur!AQ38*Calculateur!AS38*VLOOKUP('Données projet'!$B$10,Paramètres!$A$1:$I$89,3,0)*0.475*44/12</f>
        <v>7.1796913482156315</v>
      </c>
      <c r="AW38" s="23">
        <f>EXP(-LN(2)/2)*AW37+(1-EXP(-LN(2)/2))/(LN(2)/2)*AQ38*AT38*VLOOKUP('Données projet'!$B$10,Paramètres!$A$1:$I$89,3,0)*0.475*44/12</f>
        <v>1.0761824348160132</v>
      </c>
      <c r="AX38" s="23">
        <f t="shared" si="6"/>
        <v>12.297503530080458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167</v>
      </c>
      <c r="BB38" s="13">
        <f>VLOOKUP(A38,'Données projet'!$A$87:$I$107,9,0)</f>
        <v>10.199999999999999</v>
      </c>
      <c r="BC38" s="13">
        <f t="array" ref="BC38">INDEX(BB:BB,MIN(IF(ISNUMBER(BB38:BB234),ROW(BB38:BB234),"")))</f>
        <v>10.199999999999999</v>
      </c>
      <c r="BD38" s="13">
        <f>IF('Données projet'!$A$88&gt;35,BD37+BC38-BL37,IF(A38&lt;'Données projet'!$A$88,$BA$205^A38,IF(A38='Données projet'!$A$88,'Données projet'!$B$88,BD37+BC38-BL37)))</f>
        <v>166.99999999999997</v>
      </c>
      <c r="BE38" s="14">
        <f>BD38*VLOOKUP('Données projet'!$B$11,Paramètres!$A$1:$I$89,3,0)*VLOOKUP('Données projet'!$B$11,Paramètres!$A$1:$I$89,5,0)</f>
        <v>143.286</v>
      </c>
      <c r="BF38" s="14">
        <f t="shared" si="37"/>
        <v>37.048762502809495</v>
      </c>
      <c r="BG38" s="22">
        <f t="shared" si="7"/>
        <v>314.08304469239323</v>
      </c>
      <c r="BH38" s="60">
        <f t="shared" si="8"/>
        <v>607.41637802572654</v>
      </c>
      <c r="BI38" s="60">
        <f ca="1">AVERAGE(OFFSET($BH$3,0,0,'Données projet'!$E$11+1,1))-AVERAGE(OFFSET($H$3,0,0,'Données projet'!$E$11+1,1))</f>
        <v>556.75475431848258</v>
      </c>
      <c r="BJ38" s="60">
        <f t="shared" si="38"/>
        <v>256.77417912163997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172.4</v>
      </c>
      <c r="BW38" s="13">
        <f>VLOOKUP(A38,'Données projet'!$A$113:$I$133,9,0)</f>
        <v>10.780000000000001</v>
      </c>
      <c r="BX38" s="13">
        <f t="array" ref="BX38">INDEX(BW:BW,MIN(IF(ISNUMBER(BW38:BW234),ROW(BW38:BW234),"")))</f>
        <v>10.780000000000001</v>
      </c>
      <c r="BY38" s="13">
        <f>IF('Données projet'!$A$114&gt;35,BY37+BX38-CG37,IF(A38&lt;'Données projet'!$A$114,$BV$205^A38,IF(A38='Données projet'!$A$114,'Données projet'!$B$114,BY37+BX38-CG37)))</f>
        <v>172.4</v>
      </c>
      <c r="BZ38" s="14">
        <f>BY38*VLOOKUP('Données projet'!$B$12,Paramètres!$A$1:$I$89,3,0)*VLOOKUP('Données projet'!$B$12,Paramètres!$A$1:$I$89,5,0)</f>
        <v>126.40367999999999</v>
      </c>
      <c r="CA38" s="14">
        <f t="shared" si="39"/>
        <v>33.164003438318993</v>
      </c>
      <c r="CB38" s="22">
        <f t="shared" si="10"/>
        <v>277.91371532173889</v>
      </c>
      <c r="CC38" s="60">
        <f t="shared" si="11"/>
        <v>571.24704865507215</v>
      </c>
      <c r="CD38" s="60">
        <f ca="1">AVERAGE(OFFSET($CC$3,0,0,'Données projet'!$E$12+1,1))-AVERAGE(OFFSET($H$3,0,0,'Données projet'!$E$12+1,1))</f>
        <v>290.68086183422963</v>
      </c>
      <c r="CE38" s="60">
        <f t="shared" si="40"/>
        <v>317.88330630101785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173</v>
      </c>
      <c r="CR38" s="13">
        <f>VLOOKUP(A38,'Données projet'!$A$139:$I$159,9,0)</f>
        <v>7.2</v>
      </c>
      <c r="CS38" s="13">
        <f t="array" ref="CS38">INDEX(CR:CR,MIN(IF(ISNUMBER(CR38:CR234),ROW(CR38:CR234),"")))</f>
        <v>7.2</v>
      </c>
      <c r="CT38" s="13">
        <f>IF('Données projet'!$A$140&gt;35,CT37+CS38-DB37,IF(A38&lt;'Données projet'!$A$140,$CQ$205^A38,IF(A38='Données projet'!$A$140,'Données projet'!$B$140,CT37+CS38-DB37)))</f>
        <v>173</v>
      </c>
      <c r="CU38" s="18">
        <f>CT38*VLOOKUP('Données projet'!$B$13,Paramètres!$A$1:$I$89,3,0)*VLOOKUP('Données projet'!$B$13,Paramètres!$A$1:$I$89,5,0)</f>
        <v>113.3496</v>
      </c>
      <c r="CV38" s="14">
        <f t="shared" si="41"/>
        <v>30.118793417247076</v>
      </c>
      <c r="CW38" s="22">
        <f t="shared" si="13"/>
        <v>249.87411853503863</v>
      </c>
      <c r="CX38" s="60">
        <f t="shared" si="14"/>
        <v>543.20745186837189</v>
      </c>
      <c r="CY38" s="60">
        <f ca="1">AVERAGE(OFFSET($CX$3,0,0,'Données projet'!$E$13+1,1))-AVERAGE(OFFSET($H$3,0,0,'Données projet'!$E$13+1,1))</f>
        <v>243.04319555814601</v>
      </c>
      <c r="CZ38" s="60">
        <f t="shared" si="42"/>
        <v>235.68746142880792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10</v>
      </c>
      <c r="DO38" s="13">
        <f>IF('Données projet'!$A$166&gt;35,DO37+DN38-DW37,IF(A38&lt;'Données projet'!$A$166,$DL$205^A38,IF(A38='Données projet'!$A$166,'Données projet'!$B$166,DO37+DN38-DW37)))</f>
        <v>229</v>
      </c>
      <c r="DP38" s="18">
        <f>DO38*VLOOKUP('Données projet'!$B$14,Paramètres!$A$1:$I$89,3,0)*VLOOKUP('Données projet'!$B$14,Paramètres!$A$1:$I$89,5,0)</f>
        <v>125.03399999999999</v>
      </c>
      <c r="DQ38" s="14">
        <f t="shared" si="43"/>
        <v>32.846274359997985</v>
      </c>
      <c r="DR38" s="22">
        <f t="shared" si="16"/>
        <v>274.97481117699641</v>
      </c>
      <c r="DS38" s="60">
        <f t="shared" si="17"/>
        <v>568.30814451032973</v>
      </c>
      <c r="DT38" s="60">
        <f ca="1">AVERAGE(OFFSET($DS$3,0,0,'Données projet'!$E$14+1,1))-AVERAGE(OFFSET($H$3,0,0,'Données projet'!$E$14+1,1))</f>
        <v>201.4732637505823</v>
      </c>
      <c r="DU38" s="60">
        <f t="shared" si="44"/>
        <v>342.06887933351783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5.9828973605321671</v>
      </c>
      <c r="EB38" s="23">
        <f>EXP(-LN(2)/25)*EB37+(1-EXP(-LN(2)/25))/(LN(2)/25)*Calculateur!DW38*Calculateur!DY38*VLOOKUP('Données projet'!$B$14,Paramètres!$A$1:$I$89,3,0)*0.475*44/12</f>
        <v>23.019054388253476</v>
      </c>
      <c r="EC38" s="23">
        <f>EXP(-LN(2)/2)*EC37+(1-EXP(-LN(2)/2))/(LN(2)/2)*DW38*DZ38*VLOOKUP('Données projet'!$B$14,Paramètres!$A$1:$I$89,3,0)*0.475*44/12</f>
        <v>2.3683051487837403</v>
      </c>
      <c r="ED38" s="24">
        <f t="shared" si="18"/>
        <v>31.370256897569384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14.607692307692318</v>
      </c>
      <c r="EJ38" s="13">
        <f>IF('Données projet'!$A$192&gt;35,EJ37+EI38-ER37,IF(A38&lt;'Données projet'!$A$192,$EG$205^A38,IF(A38='Données projet'!$A$192,'Données projet'!$B$192,EJ37+EI38-ER37)))</f>
        <v>247.96923076923071</v>
      </c>
      <c r="EK38" s="18">
        <f>EJ38*VLOOKUP('Données projet'!$B$15,Paramètres!$A$1:$I$89,3,0)*VLOOKUP('Données projet'!$B$15,Paramètres!$A$1:$I$89,5,0)</f>
        <v>148.28559999999996</v>
      </c>
      <c r="EL38" s="14">
        <f t="shared" si="45"/>
        <v>38.188721800687638</v>
      </c>
      <c r="EM38" s="22">
        <f t="shared" si="19"/>
        <v>324.77611046953086</v>
      </c>
      <c r="EN38" s="60">
        <f t="shared" si="20"/>
        <v>618.10944380286423</v>
      </c>
      <c r="EO38" s="60">
        <f ca="1">AVERAGE(OFFSET($EN$3,0,0,'Données projet'!$E$15+1,1))-AVERAGE(OFFSET($H$3,0,0,'Données projet'!$E$15+1,1))</f>
        <v>260.01925143568263</v>
      </c>
      <c r="EP38" s="60">
        <f t="shared" si="46"/>
        <v>269.95358755269427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12.871636845168826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12.871636845168826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190</v>
      </c>
      <c r="FC38" s="13">
        <f>VLOOKUP(A38,'Données projet'!$A$217:$I$237,9,0)</f>
        <v>8.8000000000000007</v>
      </c>
      <c r="FD38" s="13">
        <f t="array" ref="FD38">INDEX(FC:FC,MIN(IF(ISNUMBER(FC38:FC234),ROW(FC38:FC234),"")))</f>
        <v>8.8000000000000007</v>
      </c>
      <c r="FE38" s="13">
        <f>IF('Données projet'!$A$218&gt;35,FE37+FD38-FM37,IF(A38&lt;'Données projet'!$A$218,$FB$205^A38,IF(A38='Données projet'!$A$218,'Données projet'!$B$218,FE37+FD38-FM37)))</f>
        <v>190.00000000000006</v>
      </c>
      <c r="FF38" s="18">
        <f>FE38*VLOOKUP('Données projet'!$B$16,Paramètres!$A$1:$I$89,3,0)*VLOOKUP('Données projet'!$B$16,Paramètres!$A$1:$I$89,5,0)</f>
        <v>154.12800000000007</v>
      </c>
      <c r="FG38" s="14">
        <f t="shared" si="47"/>
        <v>39.51520107536119</v>
      </c>
      <c r="FH38" s="22">
        <f t="shared" si="22"/>
        <v>337.26190853958752</v>
      </c>
      <c r="FI38" s="60">
        <f t="shared" si="23"/>
        <v>630.59524187292084</v>
      </c>
      <c r="FJ38" s="60">
        <f ca="1">AVERAGE(OFFSET($FI$3,0,0,'Données projet'!$E$16+1,1))-AVERAGE(OFFSET($H$3,0,0,'Données projet'!$E$16+1,1))</f>
        <v>256.19915261735281</v>
      </c>
      <c r="FK38" s="60">
        <f t="shared" si="48"/>
        <v>297.47246687305056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76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9.9668131868131873</v>
      </c>
      <c r="FZ38" s="13">
        <f>IF('Données projet'!$A$244&gt;35,FZ37+FY38-GH37,IF(A38&lt;'Données projet'!$A$244,$FW$205^A38,IF(A38='Données projet'!$A$244,'Données projet'!$B$244,FZ37+FY38-GH37)))</f>
        <v>177.91780219780222</v>
      </c>
      <c r="GA38" s="18">
        <f>FZ38*VLOOKUP('Données projet'!$B$17,Paramètres!$A$1:$I$89,3,0)*VLOOKUP('Données projet'!$B$17,Paramètres!$A$1:$I$89,5,0)</f>
        <v>101.76898285714287</v>
      </c>
      <c r="GB38" s="14">
        <f t="shared" si="49"/>
        <v>27.38300226185595</v>
      </c>
      <c r="GC38" s="22">
        <f t="shared" si="25"/>
        <v>224.93970741558962</v>
      </c>
      <c r="GD38" s="60">
        <f t="shared" si="26"/>
        <v>518.27304074892299</v>
      </c>
      <c r="GE38" s="60">
        <f ca="1">AVERAGE(OFFSET($GD$3,0,0,'Données projet'!$E$17+1,1))-AVERAGE(OFFSET($H$3,0,0,'Données projet'!$E$17+1,1))</f>
        <v>268.71641789629319</v>
      </c>
      <c r="GF38" s="60">
        <f t="shared" si="50"/>
        <v>199.94048514486104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1.8279788088182003</v>
      </c>
      <c r="GN38" s="23">
        <f>EXP(-LN(2)/2)*GN37+(1-EXP(-LN(2)/2))/(LN(2)/2)*GH38*GK38*VLOOKUP('Données projet'!$B$17,Paramètres!$A$1:$I$89,3,0)*0.475*44/12</f>
        <v>1.2331438927591567</v>
      </c>
      <c r="GO38" s="23">
        <f t="shared" si="27"/>
        <v>3.0611227015773572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12.74038461538462</v>
      </c>
      <c r="GU38" s="13">
        <f>IF('Données projet'!$A$270&gt;35,GU37+GT38-HC37,IF(A38&lt;'Données projet'!$A$270,$GR$205^A38,IF(A38='Données projet'!$A$270,'Données projet'!$B$270,GU37+GT38-HC37)))</f>
        <v>166.37307692307689</v>
      </c>
      <c r="GV38" s="18">
        <f>GU38*VLOOKUP('Données projet'!$B$18,Paramètres!$A$1:$I$89,3,0)*VLOOKUP('Données projet'!$B$18,Paramètres!$A$1:$I$89,5,0)</f>
        <v>99.491099999999989</v>
      </c>
      <c r="GW38" s="14">
        <f t="shared" si="51"/>
        <v>26.84072316435665</v>
      </c>
      <c r="GX38" s="22">
        <f t="shared" si="28"/>
        <v>220.02792534458783</v>
      </c>
      <c r="GY38" s="60">
        <f t="shared" si="29"/>
        <v>513.36125867792111</v>
      </c>
      <c r="GZ38" s="60">
        <f ca="1">AVERAGE(OFFSET($GY$3,0,0,'Données projet'!$E$18+1,1))-AVERAGE(OFFSET($H$3,0,0,'Données projet'!$E$18+1,1))</f>
        <v>289.12367833861299</v>
      </c>
      <c r="HA38" s="60">
        <f t="shared" si="52"/>
        <v>229.06617320689003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0.73306380103351032</v>
      </c>
      <c r="HJ38" s="24">
        <f t="shared" si="30"/>
        <v>0.73306380103351032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0">
        <f t="shared" si="0"/>
        <v>500.55213023987449</v>
      </c>
      <c r="S39" s="60">
        <f ca="1">AVERAGE(OFFSET($R$3,0,0,'Données projet'!$E$9+1,1))-AVERAGE(OFFSET($H$3,0,0,'Données projet'!$E$9+1,1))</f>
        <v>430.11660085503223</v>
      </c>
      <c r="T39" s="60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18.229670329670324</v>
      </c>
      <c r="AI39" s="14">
        <f>IF('Données projet'!$A$62&gt;35,AI38+AH39-AQ38,IF(A39&lt;'Données projet'!$A$62,$AF$205^A39,IF(A39='Données projet'!$A$62,'Données projet'!$B$62,AI38+AH39-AQ38)))</f>
        <v>253.22197802197803</v>
      </c>
      <c r="AJ39" s="14">
        <f>AI39*VLOOKUP('Données projet'!$B$10,Paramètres!$A$1:$I$89,3,0)*VLOOKUP('Données projet'!$B$10,Paramètres!$A$1:$I$89,5,0)</f>
        <v>141.55108571428573</v>
      </c>
      <c r="AK39" s="14">
        <f t="shared" si="35"/>
        <v>36.652109269178766</v>
      </c>
      <c r="AL39" s="22">
        <f t="shared" si="4"/>
        <v>310.37056459620067</v>
      </c>
      <c r="AM39" s="60">
        <f t="shared" si="5"/>
        <v>603.70389792953392</v>
      </c>
      <c r="AN39" s="60">
        <f ca="1">AVERAGE(OFFSET($AM$3,0,0,'Données projet'!$E$10+1,1))-AVERAGE(OFFSET($H$3,0,0,'Données projet'!$E$10+1,1))</f>
        <v>323.98185264074681</v>
      </c>
      <c r="AO39" s="60">
        <f t="shared" si="36"/>
        <v>301.22207291854005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3.9623758528599184</v>
      </c>
      <c r="AV39" s="23">
        <f>EXP(-LN(2)/25)*AV38+(1-EXP(-LN(2)/25))/(LN(2)/25)*Calculateur!AQ39*Calculateur!AS39*VLOOKUP('Données projet'!$B$10,Paramètres!$A$1:$I$89,3,0)*0.475*44/12</f>
        <v>6.9833623107351164</v>
      </c>
      <c r="AW39" s="23">
        <f>EXP(-LN(2)/2)*AW38+(1-EXP(-LN(2)/2))/(LN(2)/2)*AQ39*AT39*VLOOKUP('Données projet'!$B$10,Paramètres!$A$1:$I$89,3,0)*0.475*44/12</f>
        <v>0.76097589745225258</v>
      </c>
      <c r="AX39" s="23">
        <f t="shared" si="6"/>
        <v>11.706714061047288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10.6</v>
      </c>
      <c r="BD39" s="13">
        <f>IF('Données projet'!$A$88&gt;35,BD38+BC39-BL38,IF(A39&lt;'Données projet'!$A$88,$BA$205^A39,IF(A39='Données projet'!$A$88,'Données projet'!$B$88,BD38+BC39-BL38)))</f>
        <v>121.59999999999997</v>
      </c>
      <c r="BE39" s="14">
        <f>BD39*VLOOKUP('Données projet'!$B$11,Paramètres!$A$1:$I$89,3,0)*VLOOKUP('Données projet'!$B$11,Paramètres!$A$1:$I$89,5,0)</f>
        <v>104.33279999999998</v>
      </c>
      <c r="BF39" s="14">
        <f t="shared" si="37"/>
        <v>27.991665469945527</v>
      </c>
      <c r="BG39" s="22">
        <f t="shared" si="7"/>
        <v>230.46511069348841</v>
      </c>
      <c r="BH39" s="60">
        <f t="shared" si="8"/>
        <v>523.7984440268217</v>
      </c>
      <c r="BI39" s="60">
        <f ca="1">AVERAGE(OFFSET($BH$3,0,0,'Données projet'!$E$11+1,1))-AVERAGE(OFFSET($H$3,0,0,'Données projet'!$E$11+1,1))</f>
        <v>556.75475431848258</v>
      </c>
      <c r="BJ39" s="60">
        <f t="shared" si="38"/>
        <v>256.77417912163997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9.4399999999999977</v>
      </c>
      <c r="BY39" s="13">
        <f>IF('Données projet'!$A$114&gt;35,BY38+BX39-CG38,IF(A39&lt;'Données projet'!$A$114,$BV$205^A39,IF(A39='Données projet'!$A$114,'Données projet'!$B$114,BY38+BX39-CG38)))</f>
        <v>181.84</v>
      </c>
      <c r="BZ39" s="14">
        <f>BY39*VLOOKUP('Données projet'!$B$12,Paramètres!$A$1:$I$89,3,0)*VLOOKUP('Données projet'!$B$12,Paramètres!$A$1:$I$89,5,0)</f>
        <v>133.32508799999999</v>
      </c>
      <c r="CA39" s="14">
        <f t="shared" si="39"/>
        <v>34.763556534773144</v>
      </c>
      <c r="CB39" s="22">
        <f t="shared" si="10"/>
        <v>292.75438923139654</v>
      </c>
      <c r="CC39" s="60">
        <f t="shared" si="11"/>
        <v>586.0877225647298</v>
      </c>
      <c r="CD39" s="60">
        <f ca="1">AVERAGE(OFFSET($CC$3,0,0,'Données projet'!$E$12+1,1))-AVERAGE(OFFSET($H$3,0,0,'Données projet'!$E$12+1,1))</f>
        <v>290.68086183422963</v>
      </c>
      <c r="CE39" s="60">
        <f t="shared" si="40"/>
        <v>317.88330630101785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</v>
      </c>
      <c r="CT39" s="13">
        <f>IF('Données projet'!$A$140&gt;35,CT38+CS39-DB38,IF(A39&lt;'Données projet'!$A$140,$CQ$205^A39,IF(A39='Données projet'!$A$140,'Données projet'!$B$140,CT38+CS39-DB38)))</f>
        <v>139</v>
      </c>
      <c r="CU39" s="18">
        <f>CT39*VLOOKUP('Données projet'!$B$13,Paramètres!$A$1:$I$89,3,0)*VLOOKUP('Données projet'!$B$13,Paramètres!$A$1:$I$89,5,0)</f>
        <v>91.072800000000001</v>
      </c>
      <c r="CV39" s="14">
        <f t="shared" si="41"/>
        <v>24.82377981733238</v>
      </c>
      <c r="CW39" s="22">
        <f t="shared" si="13"/>
        <v>201.85320984852058</v>
      </c>
      <c r="CX39" s="60">
        <f t="shared" si="14"/>
        <v>495.18654318185389</v>
      </c>
      <c r="CY39" s="60">
        <f ca="1">AVERAGE(OFFSET($CX$3,0,0,'Données projet'!$E$13+1,1))-AVERAGE(OFFSET($H$3,0,0,'Données projet'!$E$13+1,1))</f>
        <v>243.04319555814601</v>
      </c>
      <c r="CZ39" s="60">
        <f t="shared" si="42"/>
        <v>235.68746142880792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>
        <f>VLOOKUP(A39,'Données projet'!$A$165:$I$185,2,0)</f>
        <v>239</v>
      </c>
      <c r="DM39" s="13">
        <f>VLOOKUP(A39,'Données projet'!$A$165:$I$185,9,0)</f>
        <v>10</v>
      </c>
      <c r="DN39" s="13">
        <f t="array" ref="DN39">INDEX(DM:DM,MIN(IF(ISNUMBER(DM39:DM235),ROW(DM39:DM235),"")))</f>
        <v>10</v>
      </c>
      <c r="DO39" s="13">
        <f>IF('Données projet'!$A$166&gt;35,DO38+DN39-DW38,IF(A39&lt;'Données projet'!$A$166,$DL$205^A39,IF(A39='Données projet'!$A$166,'Données projet'!$B$166,DO38+DN39-DW38)))</f>
        <v>239</v>
      </c>
      <c r="DP39" s="18">
        <f>DO39*VLOOKUP('Données projet'!$B$14,Paramètres!$A$1:$I$89,3,0)*VLOOKUP('Données projet'!$B$14,Paramètres!$A$1:$I$89,5,0)</f>
        <v>130.494</v>
      </c>
      <c r="DQ39" s="14">
        <f t="shared" si="43"/>
        <v>34.110483018610772</v>
      </c>
      <c r="DR39" s="22">
        <f t="shared" si="16"/>
        <v>286.68614125741374</v>
      </c>
      <c r="DS39" s="60">
        <f t="shared" si="17"/>
        <v>580.019474590747</v>
      </c>
      <c r="DT39" s="60">
        <f ca="1">AVERAGE(OFFSET($DS$3,0,0,'Données projet'!$E$14+1,1))-AVERAGE(OFFSET($H$3,0,0,'Données projet'!$E$14+1,1))</f>
        <v>201.4732637505823</v>
      </c>
      <c r="DU39" s="60">
        <f t="shared" si="44"/>
        <v>342.06887933351783</v>
      </c>
      <c r="DV39" s="16">
        <f>IF(ISNA(VLOOKUP(A39,'Données projet'!$A$165:$I$185,3,0)),0,VLOOKUP(A39,'Données projet'!$A$165:$I$185,3,0))</f>
        <v>6</v>
      </c>
      <c r="DW39" s="16">
        <f>IF(ISNA(VLOOKUP(A39,'Données projet'!$A$165:$I$185,4,0)),0,VLOOKUP(A39,'Données projet'!$A$165:$I$185,4,0))</f>
        <v>75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5.8655763924991922</v>
      </c>
      <c r="EB39" s="23">
        <f>EXP(-LN(2)/25)*EB38+(1-EXP(-LN(2)/25))/(LN(2)/25)*Calculateur!DW39*Calculateur!DY39*VLOOKUP('Données projet'!$B$14,Paramètres!$A$1:$I$89,3,0)*0.475*44/12</f>
        <v>22.389597135487225</v>
      </c>
      <c r="EC39" s="23">
        <f>EXP(-LN(2)/2)*EC38+(1-EXP(-LN(2)/2))/(LN(2)/2)*DW39*DZ39*VLOOKUP('Données projet'!$B$14,Paramètres!$A$1:$I$89,3,0)*0.475*44/12</f>
        <v>1.6746446306239982</v>
      </c>
      <c r="ED39" s="24">
        <f t="shared" si="18"/>
        <v>29.929818158610416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>
        <f>VLOOKUP(A39,'Données projet'!$A$191:$I$211,2,0)</f>
        <v>262.57692307692309</v>
      </c>
      <c r="EH39" s="13">
        <f>VLOOKUP(A39,'Données projet'!$A$191:$I$211,9,0)</f>
        <v>14.607692307692318</v>
      </c>
      <c r="EI39" s="13">
        <f t="array" ref="EI39">INDEX(EH:EH,MIN(IF(ISNUMBER(EH39:EH235),ROW(EH39:EH235),"")))</f>
        <v>14.607692307692318</v>
      </c>
      <c r="EJ39" s="13">
        <f>IF('Données projet'!$A$192&gt;35,EJ38+EI39-ER38,IF(A39&lt;'Données projet'!$A$192,$EG$205^A39,IF(A39='Données projet'!$A$192,'Données projet'!$B$192,EJ38+EI39-ER38)))</f>
        <v>262.57692307692304</v>
      </c>
      <c r="EK39" s="18">
        <f>EJ39*VLOOKUP('Données projet'!$B$15,Paramètres!$A$1:$I$89,3,0)*VLOOKUP('Données projet'!$B$15,Paramètres!$A$1:$I$89,5,0)</f>
        <v>157.02099999999999</v>
      </c>
      <c r="EL39" s="14">
        <f t="shared" si="45"/>
        <v>40.169860444278903</v>
      </c>
      <c r="EM39" s="22">
        <f t="shared" si="19"/>
        <v>343.44074860711902</v>
      </c>
      <c r="EN39" s="60">
        <f t="shared" si="20"/>
        <v>636.77408194045233</v>
      </c>
      <c r="EO39" s="60">
        <f ca="1">AVERAGE(OFFSET($EN$3,0,0,'Données projet'!$E$15+1,1))-AVERAGE(OFFSET($H$3,0,0,'Données projet'!$E$15+1,1))</f>
        <v>260.01925143568263</v>
      </c>
      <c r="EP39" s="60">
        <f t="shared" si="46"/>
        <v>269.95358755269427</v>
      </c>
      <c r="EQ39" s="16">
        <f>IF(ISNA(VLOOKUP(A39,'Données projet'!$A$191:$I$211,3,0)),0,VLOOKUP(A39,'Données projet'!$A$191:$I$211,3,0))</f>
        <v>4</v>
      </c>
      <c r="ER39" s="16">
        <f>IF(ISNA(VLOOKUP(A39,'Données projet'!$A$191:$I$211,4,0)),0,VLOOKUP(A39,'Données projet'!$A$191:$I$211,4,0))</f>
        <v>64.553846153846152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12.619231897558327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12.619231897558327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7.6</v>
      </c>
      <c r="FE39" s="13">
        <f>IF('Données projet'!$A$218&gt;35,FE38+FD39-FM38,IF(A39&lt;'Données projet'!$A$218,$FB$205^A39,IF(A39='Données projet'!$A$218,'Données projet'!$B$218,FE38+FD39-FM38)))</f>
        <v>121.60000000000005</v>
      </c>
      <c r="FF39" s="18">
        <f>FE39*VLOOKUP('Données projet'!$B$16,Paramètres!$A$1:$I$89,3,0)*VLOOKUP('Données projet'!$B$16,Paramètres!$A$1:$I$89,5,0)</f>
        <v>98.641920000000042</v>
      </c>
      <c r="FG39" s="14">
        <f t="shared" si="47"/>
        <v>26.638196684151392</v>
      </c>
      <c r="FH39" s="22">
        <f t="shared" si="22"/>
        <v>218.19620322489709</v>
      </c>
      <c r="FI39" s="60">
        <f t="shared" si="23"/>
        <v>511.5295365582304</v>
      </c>
      <c r="FJ39" s="60">
        <f ca="1">AVERAGE(OFFSET($FI$3,0,0,'Données projet'!$E$16+1,1))-AVERAGE(OFFSET($H$3,0,0,'Données projet'!$E$16+1,1))</f>
        <v>256.19915261735281</v>
      </c>
      <c r="FK39" s="60">
        <f t="shared" si="48"/>
        <v>297.47246687305056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>
        <f>VLOOKUP(A39,'Données projet'!$A$243:$I$263,2,0)</f>
        <v>187.88461538461539</v>
      </c>
      <c r="FX39" s="13">
        <f>VLOOKUP(A39,'Données projet'!$A$243:$I$263,9,0)</f>
        <v>9.9668131868131873</v>
      </c>
      <c r="FY39" s="13">
        <f t="array" ref="FY39">INDEX(FX:FX,MIN(IF(ISNUMBER(FX39:FX235),ROW(FX39:FX235),"")))</f>
        <v>9.9668131868131873</v>
      </c>
      <c r="FZ39" s="13">
        <f>IF('Données projet'!$A$244&gt;35,FZ38+FY39-GH38,IF(A39&lt;'Données projet'!$A$244,$FW$205^A39,IF(A39='Données projet'!$A$244,'Données projet'!$B$244,FZ38+FY39-GH38)))</f>
        <v>187.88461538461542</v>
      </c>
      <c r="GA39" s="18">
        <f>FZ39*VLOOKUP('Données projet'!$B$17,Paramètres!$A$1:$I$89,3,0)*VLOOKUP('Données projet'!$B$17,Paramètres!$A$1:$I$89,5,0)</f>
        <v>107.47000000000001</v>
      </c>
      <c r="GB39" s="14">
        <f t="shared" si="49"/>
        <v>28.734092002451103</v>
      </c>
      <c r="GC39" s="22">
        <f t="shared" si="25"/>
        <v>237.222126904269</v>
      </c>
      <c r="GD39" s="60">
        <f t="shared" si="26"/>
        <v>530.55546023760235</v>
      </c>
      <c r="GE39" s="60">
        <f ca="1">AVERAGE(OFFSET($GD$3,0,0,'Données projet'!$E$17+1,1))-AVERAGE(OFFSET($H$3,0,0,'Données projet'!$E$17+1,1))</f>
        <v>268.71641789629319</v>
      </c>
      <c r="GF39" s="60">
        <f t="shared" si="50"/>
        <v>199.94048514486104</v>
      </c>
      <c r="GG39" s="16">
        <f>IF(ISNA(VLOOKUP(A39,'Données projet'!$A$243:$I$263,3,0)),0,VLOOKUP(A39,'Données projet'!$A$243:$I$263,3,0))</f>
        <v>3</v>
      </c>
      <c r="GH39" s="16">
        <f>IF(ISNA(VLOOKUP(A39,'Données projet'!$A$243:$I$263,4,0)),0,VLOOKUP(A39,'Données projet'!$A$243:$I$263,4,0))</f>
        <v>40.184615384615384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1.7779926321618389</v>
      </c>
      <c r="GN39" s="23">
        <f>EXP(-LN(2)/2)*GN38+(1-EXP(-LN(2)/2))/(LN(2)/2)*GH39*GK39*VLOOKUP('Données projet'!$B$17,Paramètres!$A$1:$I$89,3,0)*0.475*44/12</f>
        <v>0.87196440874877645</v>
      </c>
      <c r="GO39" s="23">
        <f t="shared" si="27"/>
        <v>2.6499570409106155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12.74038461538462</v>
      </c>
      <c r="GU39" s="13">
        <f>IF('Données projet'!$A$270&gt;35,GU38+GT39-HC38,IF(A39&lt;'Données projet'!$A$270,$GR$205^A39,IF(A39='Données projet'!$A$270,'Données projet'!$B$270,GU38+GT39-HC38)))</f>
        <v>179.11346153846151</v>
      </c>
      <c r="GV39" s="18">
        <f>GU39*VLOOKUP('Données projet'!$B$18,Paramètres!$A$1:$I$89,3,0)*VLOOKUP('Données projet'!$B$18,Paramètres!$A$1:$I$89,5,0)</f>
        <v>107.10984999999999</v>
      </c>
      <c r="GW39" s="14">
        <f t="shared" si="51"/>
        <v>28.648991101707331</v>
      </c>
      <c r="GX39" s="22">
        <f t="shared" si="28"/>
        <v>236.44664825214025</v>
      </c>
      <c r="GY39" s="60">
        <f t="shared" si="29"/>
        <v>529.77998158547359</v>
      </c>
      <c r="GZ39" s="60">
        <f ca="1">AVERAGE(OFFSET($GY$3,0,0,'Données projet'!$E$18+1,1))-AVERAGE(OFFSET($H$3,0,0,'Données projet'!$E$18+1,1))</f>
        <v>289.12367833861299</v>
      </c>
      <c r="HA39" s="60">
        <f t="shared" si="52"/>
        <v>229.06617320689003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0.51835438475318119</v>
      </c>
      <c r="HJ39" s="24">
        <f t="shared" si="30"/>
        <v>0.51835438475318119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0">
        <f t="shared" si="0"/>
        <v>516.95289444408968</v>
      </c>
      <c r="S40" s="60">
        <f ca="1">AVERAGE(OFFSET($R$3,0,0,'Données projet'!$E$9+1,1))-AVERAGE(OFFSET($H$3,0,0,'Données projet'!$E$9+1,1))</f>
        <v>430.11660085503223</v>
      </c>
      <c r="T40" s="60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18.229670329670324</v>
      </c>
      <c r="AI40" s="14">
        <f>IF('Données projet'!$A$62&gt;35,AI39+AH40-AQ39,IF(A40&lt;'Données projet'!$A$62,$AF$205^A40,IF(A40='Données projet'!$A$62,'Données projet'!$B$62,AI39+AH40-AQ39)))</f>
        <v>271.45164835164837</v>
      </c>
      <c r="AJ40" s="14">
        <f>AI40*VLOOKUP('Données projet'!$B$10,Paramètres!$A$1:$I$89,3,0)*VLOOKUP('Données projet'!$B$10,Paramètres!$A$1:$I$89,5,0)</f>
        <v>151.74147142857143</v>
      </c>
      <c r="AK40" s="14">
        <f t="shared" si="35"/>
        <v>38.974074991810518</v>
      </c>
      <c r="AL40" s="22">
        <f t="shared" si="4"/>
        <v>332.16291001549854</v>
      </c>
      <c r="AM40" s="60">
        <f t="shared" si="5"/>
        <v>625.49624334883185</v>
      </c>
      <c r="AN40" s="60">
        <f ca="1">AVERAGE(OFFSET($AM$3,0,0,'Données projet'!$E$10+1,1))-AVERAGE(OFFSET($H$3,0,0,'Données projet'!$E$10+1,1))</f>
        <v>323.98185264074681</v>
      </c>
      <c r="AO40" s="60">
        <f t="shared" si="36"/>
        <v>301.22207291854005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3.8846760791959656</v>
      </c>
      <c r="AV40" s="23">
        <f>EXP(-LN(2)/25)*AV39+(1-EXP(-LN(2)/25))/(LN(2)/25)*Calculateur!AQ40*Calculateur!AS40*VLOOKUP('Données projet'!$B$10,Paramètres!$A$1:$I$89,3,0)*0.475*44/12</f>
        <v>6.7924019011090015</v>
      </c>
      <c r="AW40" s="23">
        <f>EXP(-LN(2)/2)*AW39+(1-EXP(-LN(2)/2))/(LN(2)/2)*AQ40*AT40*VLOOKUP('Données projet'!$B$10,Paramètres!$A$1:$I$89,3,0)*0.475*44/12</f>
        <v>0.53809121740800658</v>
      </c>
      <c r="AX40" s="23">
        <f t="shared" si="6"/>
        <v>11.215169197712973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10.6</v>
      </c>
      <c r="BD40" s="13">
        <f>IF('Données projet'!$A$88&gt;35,BD39+BC40-BL39,IF(A40&lt;'Données projet'!$A$88,$BA$205^A40,IF(A40='Données projet'!$A$88,'Données projet'!$B$88,BD39+BC40-BL39)))</f>
        <v>132.19999999999996</v>
      </c>
      <c r="BE40" s="14">
        <f>BD40*VLOOKUP('Données projet'!$B$11,Paramètres!$A$1:$I$89,3,0)*VLOOKUP('Données projet'!$B$11,Paramètres!$A$1:$I$89,5,0)</f>
        <v>113.42759999999997</v>
      </c>
      <c r="BF40" s="14">
        <f t="shared" si="37"/>
        <v>30.137106037876791</v>
      </c>
      <c r="BG40" s="22">
        <f t="shared" si="7"/>
        <v>250.04186301596869</v>
      </c>
      <c r="BH40" s="60">
        <f t="shared" si="8"/>
        <v>543.37519634930197</v>
      </c>
      <c r="BI40" s="60">
        <f ca="1">AVERAGE(OFFSET($BH$3,0,0,'Données projet'!$E$11+1,1))-AVERAGE(OFFSET($H$3,0,0,'Données projet'!$E$11+1,1))</f>
        <v>556.75475431848258</v>
      </c>
      <c r="BJ40" s="60">
        <f t="shared" si="38"/>
        <v>256.77417912163997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9.4399999999999977</v>
      </c>
      <c r="BY40" s="13">
        <f>IF('Données projet'!$A$114&gt;35,BY39+BX40-CG39,IF(A40&lt;'Données projet'!$A$114,$BV$205^A40,IF(A40='Données projet'!$A$114,'Données projet'!$B$114,BY39+BX40-CG39)))</f>
        <v>191.28</v>
      </c>
      <c r="BZ40" s="14">
        <f>BY40*VLOOKUP('Données projet'!$B$12,Paramètres!$A$1:$I$89,3,0)*VLOOKUP('Données projet'!$B$12,Paramètres!$A$1:$I$89,5,0)</f>
        <v>140.24649600000001</v>
      </c>
      <c r="CA40" s="14">
        <f t="shared" si="39"/>
        <v>36.353468484522381</v>
      </c>
      <c r="CB40" s="22">
        <f t="shared" si="10"/>
        <v>307.5782714772098</v>
      </c>
      <c r="CC40" s="60">
        <f t="shared" si="11"/>
        <v>600.91160481054317</v>
      </c>
      <c r="CD40" s="60">
        <f ca="1">AVERAGE(OFFSET($CC$3,0,0,'Données projet'!$E$12+1,1))-AVERAGE(OFFSET($H$3,0,0,'Données projet'!$E$12+1,1))</f>
        <v>290.68086183422963</v>
      </c>
      <c r="CE40" s="60">
        <f t="shared" si="40"/>
        <v>317.88330630101785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</v>
      </c>
      <c r="CT40" s="13">
        <f>IF('Données projet'!$A$140&gt;35,CT39+CS40-DB39,IF(A40&lt;'Données projet'!$A$140,$CQ$205^A40,IF(A40='Données projet'!$A$140,'Données projet'!$B$140,CT39+CS40-DB39)))</f>
        <v>146</v>
      </c>
      <c r="CU40" s="18">
        <f>CT40*VLOOKUP('Données projet'!$B$13,Paramètres!$A$1:$I$89,3,0)*VLOOKUP('Données projet'!$B$13,Paramètres!$A$1:$I$89,5,0)</f>
        <v>95.659199999999998</v>
      </c>
      <c r="CV40" s="14">
        <f t="shared" si="41"/>
        <v>25.92520602338745</v>
      </c>
      <c r="CW40" s="22">
        <f t="shared" si="13"/>
        <v>211.75950715739978</v>
      </c>
      <c r="CX40" s="60">
        <f t="shared" si="14"/>
        <v>505.09284049073312</v>
      </c>
      <c r="CY40" s="60">
        <f ca="1">AVERAGE(OFFSET($CX$3,0,0,'Données projet'!$E$13+1,1))-AVERAGE(OFFSET($H$3,0,0,'Données projet'!$E$13+1,1))</f>
        <v>243.04319555814601</v>
      </c>
      <c r="CZ40" s="60">
        <f t="shared" si="42"/>
        <v>235.68746142880792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19</v>
      </c>
      <c r="DO40" s="13">
        <f>IF('Données projet'!$A$166&gt;35,DO39+DN40-DW39,IF(A40&lt;'Données projet'!$A$166,$DL$205^A40,IF(A40='Données projet'!$A$166,'Données projet'!$B$166,DO39+DN40-DW39)))</f>
        <v>183</v>
      </c>
      <c r="DP40" s="18">
        <f>DO40*VLOOKUP('Données projet'!$B$14,Paramètres!$A$1:$I$89,3,0)*VLOOKUP('Données projet'!$B$14,Paramètres!$A$1:$I$89,5,0)</f>
        <v>99.918000000000006</v>
      </c>
      <c r="DQ40" s="14">
        <f t="shared" si="43"/>
        <v>26.942461246512746</v>
      </c>
      <c r="DR40" s="22">
        <f t="shared" si="16"/>
        <v>220.94863667100969</v>
      </c>
      <c r="DS40" s="60">
        <f t="shared" si="17"/>
        <v>514.28197000434307</v>
      </c>
      <c r="DT40" s="60">
        <f ca="1">AVERAGE(OFFSET($DS$3,0,0,'Données projet'!$E$14+1,1))-AVERAGE(OFFSET($H$3,0,0,'Données projet'!$E$14+1,1))</f>
        <v>201.4732637505823</v>
      </c>
      <c r="DU40" s="60">
        <f t="shared" si="44"/>
        <v>342.06887933351783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5.7505560170906191</v>
      </c>
      <c r="EB40" s="23">
        <f>EXP(-LN(2)/25)*EB39+(1-EXP(-LN(2)/25))/(LN(2)/25)*Calculateur!DW40*Calculateur!DY40*VLOOKUP('Données projet'!$B$14,Paramètres!$A$1:$I$89,3,0)*0.475*44/12</f>
        <v>21.777352424399584</v>
      </c>
      <c r="EC40" s="23">
        <f>EXP(-LN(2)/2)*EC39+(1-EXP(-LN(2)/2))/(LN(2)/2)*DW40*DZ40*VLOOKUP('Données projet'!$B$14,Paramètres!$A$1:$I$89,3,0)*0.475*44/12</f>
        <v>1.1841525743918702</v>
      </c>
      <c r="ED40" s="24">
        <f t="shared" si="18"/>
        <v>28.712061015882075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13.141346153846158</v>
      </c>
      <c r="EJ40" s="13">
        <f>IF('Données projet'!$A$192&gt;35,EJ39+EI40-ER39,IF(A40&lt;'Données projet'!$A$192,$EG$205^A40,IF(A40='Données projet'!$A$192,'Données projet'!$B$192,EJ39+EI40-ER39)))</f>
        <v>211.16442307692301</v>
      </c>
      <c r="EK40" s="18">
        <f>EJ40*VLOOKUP('Données projet'!$B$15,Paramètres!$A$1:$I$89,3,0)*VLOOKUP('Données projet'!$B$15,Paramètres!$A$1:$I$89,5,0)</f>
        <v>126.27632499999997</v>
      </c>
      <c r="EL40" s="14">
        <f t="shared" si="45"/>
        <v>33.134477451871597</v>
      </c>
      <c r="EM40" s="22">
        <f t="shared" si="19"/>
        <v>277.64048093700967</v>
      </c>
      <c r="EN40" s="60">
        <f t="shared" si="20"/>
        <v>570.97381427034293</v>
      </c>
      <c r="EO40" s="60">
        <f ca="1">AVERAGE(OFFSET($EN$3,0,0,'Données projet'!$E$15+1,1))-AVERAGE(OFFSET($H$3,0,0,'Données projet'!$E$15+1,1))</f>
        <v>260.01925143568263</v>
      </c>
      <c r="EP40" s="60">
        <f t="shared" si="46"/>
        <v>269.95358755269427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12.371776457018653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12.371776457018653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7.6</v>
      </c>
      <c r="FE40" s="13">
        <f>IF('Données projet'!$A$218&gt;35,FE39+FD40-FM39,IF(A40&lt;'Données projet'!$A$218,$FB$205^A40,IF(A40='Données projet'!$A$218,'Données projet'!$B$218,FE39+FD40-FM39)))</f>
        <v>129.20000000000005</v>
      </c>
      <c r="FF40" s="18">
        <f>FE40*VLOOKUP('Données projet'!$B$16,Paramètres!$A$1:$I$89,3,0)*VLOOKUP('Données projet'!$B$16,Paramètres!$A$1:$I$89,5,0)</f>
        <v>104.80704000000004</v>
      </c>
      <c r="FG40" s="14">
        <f t="shared" si="47"/>
        <v>28.104060486002457</v>
      </c>
      <c r="FH40" s="22">
        <f t="shared" si="22"/>
        <v>231.48683334645435</v>
      </c>
      <c r="FI40" s="60">
        <f t="shared" si="23"/>
        <v>524.82016667978769</v>
      </c>
      <c r="FJ40" s="60">
        <f ca="1">AVERAGE(OFFSET($FI$3,0,0,'Données projet'!$E$16+1,1))-AVERAGE(OFFSET($H$3,0,0,'Données projet'!$E$16+1,1))</f>
        <v>256.19915261735281</v>
      </c>
      <c r="FK40" s="60">
        <f t="shared" si="48"/>
        <v>297.47246687305056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9.25</v>
      </c>
      <c r="FZ40" s="13">
        <f>IF('Données projet'!$A$244&gt;35,FZ39+FY40-GH39,IF(A40&lt;'Données projet'!$A$244,$FW$205^A40,IF(A40='Données projet'!$A$244,'Données projet'!$B$244,FZ39+FY40-GH39)))</f>
        <v>156.95000000000005</v>
      </c>
      <c r="GA40" s="18">
        <f>FZ40*VLOOKUP('Données projet'!$B$17,Paramètres!$A$1:$I$89,3,0)*VLOOKUP('Données projet'!$B$17,Paramètres!$A$1:$I$89,5,0)</f>
        <v>89.775400000000033</v>
      </c>
      <c r="GB40" s="14">
        <f t="shared" si="49"/>
        <v>24.511049007501153</v>
      </c>
      <c r="GC40" s="22">
        <f t="shared" si="25"/>
        <v>199.04889868806458</v>
      </c>
      <c r="GD40" s="60">
        <f t="shared" si="26"/>
        <v>492.3822320213979</v>
      </c>
      <c r="GE40" s="60">
        <f ca="1">AVERAGE(OFFSET($GD$3,0,0,'Données projet'!$E$17+1,1))-AVERAGE(OFFSET($H$3,0,0,'Données projet'!$E$17+1,1))</f>
        <v>268.71641789629319</v>
      </c>
      <c r="GF40" s="60">
        <f t="shared" si="50"/>
        <v>199.94048514486104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1.7293733301348044</v>
      </c>
      <c r="GN40" s="23">
        <f>EXP(-LN(2)/2)*GN39+(1-EXP(-LN(2)/2))/(LN(2)/2)*GH40*GK40*VLOOKUP('Données projet'!$B$17,Paramètres!$A$1:$I$89,3,0)*0.475*44/12</f>
        <v>0.61657194637957835</v>
      </c>
      <c r="GO40" s="23">
        <f t="shared" si="27"/>
        <v>2.3459452765143829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12.74038461538462</v>
      </c>
      <c r="GU40" s="13">
        <f>IF('Données projet'!$A$270&gt;35,GU39+GT40-HC39,IF(A40&lt;'Données projet'!$A$270,$GR$205^A40,IF(A40='Données projet'!$A$270,'Données projet'!$B$270,GU39+GT40-HC39)))</f>
        <v>191.85384615384612</v>
      </c>
      <c r="GV40" s="18">
        <f>GU40*VLOOKUP('Données projet'!$B$18,Paramètres!$A$1:$I$89,3,0)*VLOOKUP('Données projet'!$B$18,Paramètres!$A$1:$I$89,5,0)</f>
        <v>114.72859999999999</v>
      </c>
      <c r="GW40" s="14">
        <f t="shared" si="51"/>
        <v>30.442335906087649</v>
      </c>
      <c r="GX40" s="22">
        <f t="shared" si="28"/>
        <v>252.83938003643593</v>
      </c>
      <c r="GY40" s="60">
        <f t="shared" si="29"/>
        <v>546.17271336976921</v>
      </c>
      <c r="GZ40" s="60">
        <f ca="1">AVERAGE(OFFSET($GY$3,0,0,'Données projet'!$E$18+1,1))-AVERAGE(OFFSET($H$3,0,0,'Données projet'!$E$18+1,1))</f>
        <v>289.12367833861299</v>
      </c>
      <c r="HA40" s="60">
        <f t="shared" si="52"/>
        <v>229.06617320689003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0.36653190051675516</v>
      </c>
      <c r="HJ40" s="24">
        <f t="shared" si="30"/>
        <v>0.36653190051675516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0">
        <f t="shared" si="0"/>
        <v>533.32608479725729</v>
      </c>
      <c r="S41" s="60">
        <f ca="1">AVERAGE(OFFSET($R$3,0,0,'Données projet'!$E$9+1,1))-AVERAGE(OFFSET($H$3,0,0,'Données projet'!$E$9+1,1))</f>
        <v>430.11660085503223</v>
      </c>
      <c r="T41" s="60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18.229670329670324</v>
      </c>
      <c r="AI41" s="14">
        <f>IF('Données projet'!$A$62&gt;35,AI40+AH41-AQ40,IF(A41&lt;'Données projet'!$A$62,$AF$205^A41,IF(A41='Données projet'!$A$62,'Données projet'!$B$62,AI40+AH41-AQ40)))</f>
        <v>289.68131868131871</v>
      </c>
      <c r="AJ41" s="14">
        <f>AI41*VLOOKUP('Données projet'!$B$10,Paramètres!$A$1:$I$89,3,0)*VLOOKUP('Données projet'!$B$10,Paramètres!$A$1:$I$89,5,0)</f>
        <v>161.93185714285718</v>
      </c>
      <c r="AK41" s="14">
        <f t="shared" si="35"/>
        <v>41.277946347593272</v>
      </c>
      <c r="AL41" s="22">
        <f t="shared" si="4"/>
        <v>353.92374107920119</v>
      </c>
      <c r="AM41" s="60">
        <f t="shared" si="5"/>
        <v>647.25707441253451</v>
      </c>
      <c r="AN41" s="60">
        <f ca="1">AVERAGE(OFFSET($AM$3,0,0,'Données projet'!$E$10+1,1))-AVERAGE(OFFSET($H$3,0,0,'Données projet'!$E$10+1,1))</f>
        <v>323.98185264074681</v>
      </c>
      <c r="AO41" s="60">
        <f t="shared" si="36"/>
        <v>301.22207291854005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3.8084999507013806</v>
      </c>
      <c r="AV41" s="23">
        <f>EXP(-LN(2)/25)*AV40+(1-EXP(-LN(2)/25))/(LN(2)/25)*Calculateur!AQ41*Calculateur!AS41*VLOOKUP('Données projet'!$B$10,Paramètres!$A$1:$I$89,3,0)*0.475*44/12</f>
        <v>6.6066633139262843</v>
      </c>
      <c r="AW41" s="23">
        <f>EXP(-LN(2)/2)*AW40+(1-EXP(-LN(2)/2))/(LN(2)/2)*AQ41*AT41*VLOOKUP('Données projet'!$B$10,Paramètres!$A$1:$I$89,3,0)*0.475*44/12</f>
        <v>0.38048794872612629</v>
      </c>
      <c r="AX41" s="23">
        <f t="shared" si="6"/>
        <v>10.795651213353791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10.6</v>
      </c>
      <c r="BD41" s="13">
        <f>IF('Données projet'!$A$88&gt;35,BD40+BC41-BL40,IF(A41&lt;'Données projet'!$A$88,$BA$205^A41,IF(A41='Données projet'!$A$88,'Données projet'!$B$88,BD40+BC41-BL40)))</f>
        <v>142.79999999999995</v>
      </c>
      <c r="BE41" s="14">
        <f>BD41*VLOOKUP('Données projet'!$B$11,Paramètres!$A$1:$I$89,3,0)*VLOOKUP('Données projet'!$B$11,Paramètres!$A$1:$I$89,5,0)</f>
        <v>122.52239999999998</v>
      </c>
      <c r="BF41" s="14">
        <f t="shared" si="37"/>
        <v>32.26259352430629</v>
      </c>
      <c r="BG41" s="22">
        <f t="shared" si="7"/>
        <v>269.58386372150011</v>
      </c>
      <c r="BH41" s="60">
        <f t="shared" si="8"/>
        <v>562.91719705483342</v>
      </c>
      <c r="BI41" s="60">
        <f ca="1">AVERAGE(OFFSET($BH$3,0,0,'Données projet'!$E$11+1,1))-AVERAGE(OFFSET($H$3,0,0,'Données projet'!$E$11+1,1))</f>
        <v>556.75475431848258</v>
      </c>
      <c r="BJ41" s="60">
        <f t="shared" si="38"/>
        <v>256.77417912163997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9.4399999999999977</v>
      </c>
      <c r="BY41" s="13">
        <f>IF('Données projet'!$A$114&gt;35,BY40+BX41-CG40,IF(A41&lt;'Données projet'!$A$114,$BV$205^A41,IF(A41='Données projet'!$A$114,'Données projet'!$B$114,BY40+BX41-CG40)))</f>
        <v>200.72</v>
      </c>
      <c r="BZ41" s="14">
        <f>BY41*VLOOKUP('Données projet'!$B$12,Paramètres!$A$1:$I$89,3,0)*VLOOKUP('Données projet'!$B$12,Paramètres!$A$1:$I$89,5,0)</f>
        <v>147.16790399999999</v>
      </c>
      <c r="CA41" s="14">
        <f t="shared" si="39"/>
        <v>37.934269396655068</v>
      </c>
      <c r="CB41" s="22">
        <f t="shared" si="10"/>
        <v>322.38628533250755</v>
      </c>
      <c r="CC41" s="60">
        <f t="shared" si="11"/>
        <v>615.71961866584093</v>
      </c>
      <c r="CD41" s="60">
        <f ca="1">AVERAGE(OFFSET($CC$3,0,0,'Données projet'!$E$12+1,1))-AVERAGE(OFFSET($H$3,0,0,'Données projet'!$E$12+1,1))</f>
        <v>290.68086183422963</v>
      </c>
      <c r="CE41" s="60">
        <f t="shared" si="40"/>
        <v>317.88330630101785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</v>
      </c>
      <c r="CT41" s="13">
        <f>IF('Données projet'!$A$140&gt;35,CT40+CS41-DB40,IF(A41&lt;'Données projet'!$A$140,$CQ$205^A41,IF(A41='Données projet'!$A$140,'Données projet'!$B$140,CT40+CS41-DB40)))</f>
        <v>153</v>
      </c>
      <c r="CU41" s="18">
        <f>CT41*VLOOKUP('Données projet'!$B$13,Paramètres!$A$1:$I$89,3,0)*VLOOKUP('Données projet'!$B$13,Paramètres!$A$1:$I$89,5,0)</f>
        <v>100.2456</v>
      </c>
      <c r="CV41" s="14">
        <f t="shared" si="41"/>
        <v>27.020500005754936</v>
      </c>
      <c r="CW41" s="22">
        <f t="shared" si="13"/>
        <v>221.65512417668984</v>
      </c>
      <c r="CX41" s="60">
        <f t="shared" si="14"/>
        <v>514.98845751002318</v>
      </c>
      <c r="CY41" s="60">
        <f ca="1">AVERAGE(OFFSET($CX$3,0,0,'Données projet'!$E$13+1,1))-AVERAGE(OFFSET($H$3,0,0,'Données projet'!$E$13+1,1))</f>
        <v>243.04319555814601</v>
      </c>
      <c r="CZ41" s="60">
        <f t="shared" si="42"/>
        <v>235.68746142880792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19</v>
      </c>
      <c r="DO41" s="13">
        <f>IF('Données projet'!$A$166&gt;35,DO40+DN41-DW40,IF(A41&lt;'Données projet'!$A$166,$DL$205^A41,IF(A41='Données projet'!$A$166,'Données projet'!$B$166,DO40+DN41-DW40)))</f>
        <v>202</v>
      </c>
      <c r="DP41" s="18">
        <f>DO41*VLOOKUP('Données projet'!$B$14,Paramètres!$A$1:$I$89,3,0)*VLOOKUP('Données projet'!$B$14,Paramètres!$A$1:$I$89,5,0)</f>
        <v>110.292</v>
      </c>
      <c r="DQ41" s="14">
        <f t="shared" si="43"/>
        <v>29.399771431724815</v>
      </c>
      <c r="DR41" s="22">
        <f t="shared" si="16"/>
        <v>243.29650191025405</v>
      </c>
      <c r="DS41" s="60">
        <f t="shared" si="17"/>
        <v>536.62983524358742</v>
      </c>
      <c r="DT41" s="60">
        <f ca="1">AVERAGE(OFFSET($DS$3,0,0,'Données projet'!$E$14+1,1))-AVERAGE(OFFSET($H$3,0,0,'Données projet'!$E$14+1,1))</f>
        <v>201.4732637505823</v>
      </c>
      <c r="DU41" s="60">
        <f t="shared" si="44"/>
        <v>342.06887933351783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5.6377911210883065</v>
      </c>
      <c r="EB41" s="23">
        <f>EXP(-LN(2)/25)*EB40+(1-EXP(-LN(2)/25))/(LN(2)/25)*Calculateur!DW41*Calculateur!DY41*VLOOKUP('Données projet'!$B$14,Paramètres!$A$1:$I$89,3,0)*0.475*44/12</f>
        <v>21.181849577133185</v>
      </c>
      <c r="EC41" s="23">
        <f>EXP(-LN(2)/2)*EC40+(1-EXP(-LN(2)/2))/(LN(2)/2)*DW41*DZ41*VLOOKUP('Données projet'!$B$14,Paramètres!$A$1:$I$89,3,0)*0.475*44/12</f>
        <v>0.83732231531199908</v>
      </c>
      <c r="ED41" s="24">
        <f t="shared" si="18"/>
        <v>27.656963013533492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13.141346153846158</v>
      </c>
      <c r="EJ41" s="13">
        <f>IF('Données projet'!$A$192&gt;35,EJ40+EI41-ER40,IF(A41&lt;'Données projet'!$A$192,$EG$205^A41,IF(A41='Données projet'!$A$192,'Données projet'!$B$192,EJ40+EI41-ER40)))</f>
        <v>224.30576923076916</v>
      </c>
      <c r="EK41" s="18">
        <f>EJ41*VLOOKUP('Données projet'!$B$15,Paramètres!$A$1:$I$89,3,0)*VLOOKUP('Données projet'!$B$15,Paramètres!$A$1:$I$89,5,0)</f>
        <v>134.13484999999997</v>
      </c>
      <c r="EL41" s="14">
        <f t="shared" si="45"/>
        <v>34.95005369580312</v>
      </c>
      <c r="EM41" s="22">
        <f t="shared" si="19"/>
        <v>294.48954060352372</v>
      </c>
      <c r="EN41" s="60">
        <f t="shared" si="20"/>
        <v>587.82287393685704</v>
      </c>
      <c r="EO41" s="60">
        <f ca="1">AVERAGE(OFFSET($EN$3,0,0,'Données projet'!$E$15+1,1))-AVERAGE(OFFSET($H$3,0,0,'Données projet'!$E$15+1,1))</f>
        <v>260.01925143568263</v>
      </c>
      <c r="EP41" s="60">
        <f t="shared" si="46"/>
        <v>269.95358755269427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12.129173466735047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12.129173466735047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7.6</v>
      </c>
      <c r="FE41" s="13">
        <f>IF('Données projet'!$A$218&gt;35,FE40+FD41-FM40,IF(A41&lt;'Données projet'!$A$218,$FB$205^A41,IF(A41='Données projet'!$A$218,'Données projet'!$B$218,FE40+FD41-FM40)))</f>
        <v>136.80000000000004</v>
      </c>
      <c r="FF41" s="18">
        <f>FE41*VLOOKUP('Données projet'!$B$16,Paramètres!$A$1:$I$89,3,0)*VLOOKUP('Données projet'!$B$16,Paramètres!$A$1:$I$89,5,0)</f>
        <v>110.97216000000004</v>
      </c>
      <c r="FG41" s="14">
        <f t="shared" si="47"/>
        <v>29.559915623187329</v>
      </c>
      <c r="FH41" s="22">
        <f t="shared" si="22"/>
        <v>244.76003171038471</v>
      </c>
      <c r="FI41" s="60">
        <f t="shared" si="23"/>
        <v>538.09336504371799</v>
      </c>
      <c r="FJ41" s="60">
        <f ca="1">AVERAGE(OFFSET($FI$3,0,0,'Données projet'!$E$16+1,1))-AVERAGE(OFFSET($H$3,0,0,'Données projet'!$E$16+1,1))</f>
        <v>256.19915261735281</v>
      </c>
      <c r="FK41" s="60">
        <f t="shared" si="48"/>
        <v>297.47246687305056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9.25</v>
      </c>
      <c r="FZ41" s="13">
        <f>IF('Données projet'!$A$244&gt;35,FZ40+FY41-GH40,IF(A41&lt;'Données projet'!$A$244,$FW$205^A41,IF(A41='Données projet'!$A$244,'Données projet'!$B$244,FZ40+FY41-GH40)))</f>
        <v>166.20000000000005</v>
      </c>
      <c r="GA41" s="18">
        <f>FZ41*VLOOKUP('Données projet'!$B$17,Paramètres!$A$1:$I$89,3,0)*VLOOKUP('Données projet'!$B$17,Paramètres!$A$1:$I$89,5,0)</f>
        <v>95.066400000000016</v>
      </c>
      <c r="GB41" s="14">
        <f t="shared" si="49"/>
        <v>25.783196868469954</v>
      </c>
      <c r="GC41" s="22">
        <f t="shared" si="25"/>
        <v>210.47971454591854</v>
      </c>
      <c r="GD41" s="60">
        <f t="shared" si="26"/>
        <v>503.81304787925183</v>
      </c>
      <c r="GE41" s="60">
        <f ca="1">AVERAGE(OFFSET($GD$3,0,0,'Données projet'!$E$17+1,1))-AVERAGE(OFFSET($H$3,0,0,'Données projet'!$E$17+1,1))</f>
        <v>268.71641789629319</v>
      </c>
      <c r="GF41" s="60">
        <f t="shared" si="50"/>
        <v>199.94048514486104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1.6820835254784774</v>
      </c>
      <c r="GN41" s="23">
        <f>EXP(-LN(2)/2)*GN40+(1-EXP(-LN(2)/2))/(LN(2)/2)*GH41*GK41*VLOOKUP('Données projet'!$B$17,Paramètres!$A$1:$I$89,3,0)*0.475*44/12</f>
        <v>0.43598220437438823</v>
      </c>
      <c r="GO41" s="23">
        <f t="shared" si="27"/>
        <v>2.1180657298528658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12.74038461538462</v>
      </c>
      <c r="GU41" s="13">
        <f>IF('Données projet'!$A$270&gt;35,GU40+GT41-HC40,IF(A41&lt;'Données projet'!$A$270,$GR$205^A41,IF(A41='Données projet'!$A$270,'Données projet'!$B$270,GU40+GT41-HC40)))</f>
        <v>204.59423076923073</v>
      </c>
      <c r="GV41" s="18">
        <f>GU41*VLOOKUP('Données projet'!$B$18,Paramètres!$A$1:$I$89,3,0)*VLOOKUP('Données projet'!$B$18,Paramètres!$A$1:$I$89,5,0)</f>
        <v>122.34734999999998</v>
      </c>
      <c r="GW41" s="14">
        <f t="shared" si="51"/>
        <v>32.221861336884515</v>
      </c>
      <c r="GX41" s="22">
        <f t="shared" si="28"/>
        <v>269.20804307840717</v>
      </c>
      <c r="GY41" s="60">
        <f t="shared" si="29"/>
        <v>562.54137641174043</v>
      </c>
      <c r="GZ41" s="60">
        <f ca="1">AVERAGE(OFFSET($GY$3,0,0,'Données projet'!$E$18+1,1))-AVERAGE(OFFSET($H$3,0,0,'Données projet'!$E$18+1,1))</f>
        <v>289.12367833861299</v>
      </c>
      <c r="HA41" s="60">
        <f t="shared" si="52"/>
        <v>229.06617320689003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0.25917719237659059</v>
      </c>
      <c r="HJ41" s="24">
        <f t="shared" si="30"/>
        <v>0.25917719237659059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0">
        <f t="shared" si="0"/>
        <v>549.67384744512105</v>
      </c>
      <c r="S42" s="60">
        <f ca="1">AVERAGE(OFFSET($R$3,0,0,'Données projet'!$E$9+1,1))-AVERAGE(OFFSET($H$3,0,0,'Données projet'!$E$9+1,1))</f>
        <v>430.11660085503223</v>
      </c>
      <c r="T42" s="60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18.229670329670324</v>
      </c>
      <c r="AI42" s="14">
        <f>IF('Données projet'!$A$62&gt;35,AI41+AH42-AQ41,IF(A42&lt;'Données projet'!$A$62,$AF$205^A42,IF(A42='Données projet'!$A$62,'Données projet'!$B$62,AI41+AH42-AQ41)))</f>
        <v>307.91098901098906</v>
      </c>
      <c r="AJ42" s="14">
        <f>AI42*VLOOKUP('Données projet'!$B$10,Paramètres!$A$1:$I$89,3,0)*VLOOKUP('Données projet'!$B$10,Paramètres!$A$1:$I$89,5,0)</f>
        <v>172.12224285714288</v>
      </c>
      <c r="AK42" s="14">
        <f t="shared" si="35"/>
        <v>43.564991640658711</v>
      </c>
      <c r="AL42" s="22">
        <f t="shared" si="4"/>
        <v>375.65526675033772</v>
      </c>
      <c r="AM42" s="60">
        <f t="shared" si="5"/>
        <v>668.98860008367103</v>
      </c>
      <c r="AN42" s="60">
        <f ca="1">AVERAGE(OFFSET($AM$3,0,0,'Données projet'!$E$10+1,1))-AVERAGE(OFFSET($H$3,0,0,'Données projet'!$E$10+1,1))</f>
        <v>323.98185264074681</v>
      </c>
      <c r="AO42" s="60">
        <f t="shared" si="36"/>
        <v>301.22207291854005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3.7338175896237238</v>
      </c>
      <c r="AV42" s="23">
        <f>EXP(-LN(2)/25)*AV41+(1-EXP(-LN(2)/25))/(LN(2)/25)*Calculateur!AQ42*Calculateur!AS42*VLOOKUP('Données projet'!$B$10,Paramètres!$A$1:$I$89,3,0)*0.475*44/12</f>
        <v>6.4260037581776457</v>
      </c>
      <c r="AW42" s="23">
        <f>EXP(-LN(2)/2)*AW41+(1-EXP(-LN(2)/2))/(LN(2)/2)*AQ42*AT42*VLOOKUP('Données projet'!$B$10,Paramètres!$A$1:$I$89,3,0)*0.475*44/12</f>
        <v>0.26904560870400329</v>
      </c>
      <c r="AX42" s="23">
        <f t="shared" si="6"/>
        <v>10.428866956505372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10.6</v>
      </c>
      <c r="BD42" s="13">
        <f>IF('Données projet'!$A$88&gt;35,BD41+BC42-BL41,IF(A42&lt;'Données projet'!$A$88,$BA$205^A42,IF(A42='Données projet'!$A$88,'Données projet'!$B$88,BD41+BC42-BL41)))</f>
        <v>153.39999999999995</v>
      </c>
      <c r="BE42" s="14">
        <f>BD42*VLOOKUP('Données projet'!$B$11,Paramètres!$A$1:$I$89,3,0)*VLOOKUP('Données projet'!$B$11,Paramètres!$A$1:$I$89,5,0)</f>
        <v>131.61719999999997</v>
      </c>
      <c r="BF42" s="14">
        <f t="shared" si="37"/>
        <v>34.3697774617943</v>
      </c>
      <c r="BG42" s="22">
        <f t="shared" si="7"/>
        <v>289.09398574595832</v>
      </c>
      <c r="BH42" s="60">
        <f t="shared" si="8"/>
        <v>582.42731907929169</v>
      </c>
      <c r="BI42" s="60">
        <f ca="1">AVERAGE(OFFSET($BH$3,0,0,'Données projet'!$E$11+1,1))-AVERAGE(OFFSET($H$3,0,0,'Données projet'!$E$11+1,1))</f>
        <v>556.75475431848258</v>
      </c>
      <c r="BJ42" s="60">
        <f t="shared" si="38"/>
        <v>256.77417912163997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9.4399999999999977</v>
      </c>
      <c r="BY42" s="13">
        <f>IF('Données projet'!$A$114&gt;35,BY41+BX42-CG41,IF(A42&lt;'Données projet'!$A$114,$BV$205^A42,IF(A42='Données projet'!$A$114,'Données projet'!$B$114,BY41+BX42-CG41)))</f>
        <v>210.16</v>
      </c>
      <c r="BZ42" s="14">
        <f>BY42*VLOOKUP('Données projet'!$B$12,Paramètres!$A$1:$I$89,3,0)*VLOOKUP('Données projet'!$B$12,Paramètres!$A$1:$I$89,5,0)</f>
        <v>154.08931200000001</v>
      </c>
      <c r="CA42" s="14">
        <f t="shared" si="39"/>
        <v>39.506436699687413</v>
      </c>
      <c r="CB42" s="22">
        <f t="shared" si="10"/>
        <v>337.17926231862225</v>
      </c>
      <c r="CC42" s="60">
        <f t="shared" si="11"/>
        <v>630.51259565195551</v>
      </c>
      <c r="CD42" s="60">
        <f ca="1">AVERAGE(OFFSET($CC$3,0,0,'Données projet'!$E$12+1,1))-AVERAGE(OFFSET($H$3,0,0,'Données projet'!$E$12+1,1))</f>
        <v>290.68086183422963</v>
      </c>
      <c r="CE42" s="60">
        <f t="shared" si="40"/>
        <v>317.88330630101785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</v>
      </c>
      <c r="CT42" s="13">
        <f>IF('Données projet'!$A$140&gt;35,CT41+CS42-DB41,IF(A42&lt;'Données projet'!$A$140,$CQ$205^A42,IF(A42='Données projet'!$A$140,'Données projet'!$B$140,CT41+CS42-DB41)))</f>
        <v>160</v>
      </c>
      <c r="CU42" s="18">
        <f>CT42*VLOOKUP('Données projet'!$B$13,Paramètres!$A$1:$I$89,3,0)*VLOOKUP('Données projet'!$B$13,Paramètres!$A$1:$I$89,5,0)</f>
        <v>104.83200000000001</v>
      </c>
      <c r="CV42" s="14">
        <f t="shared" si="41"/>
        <v>28.109974371137717</v>
      </c>
      <c r="CW42" s="22">
        <f t="shared" si="13"/>
        <v>231.54060536306486</v>
      </c>
      <c r="CX42" s="60">
        <f t="shared" si="14"/>
        <v>524.87393869639823</v>
      </c>
      <c r="CY42" s="60">
        <f ca="1">AVERAGE(OFFSET($CX$3,0,0,'Données projet'!$E$13+1,1))-AVERAGE(OFFSET($H$3,0,0,'Données projet'!$E$13+1,1))</f>
        <v>243.04319555814601</v>
      </c>
      <c r="CZ42" s="60">
        <f t="shared" si="42"/>
        <v>235.68746142880792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19</v>
      </c>
      <c r="DO42" s="13">
        <f>IF('Données projet'!$A$166&gt;35,DO41+DN42-DW41,IF(A42&lt;'Données projet'!$A$166,$DL$205^A42,IF(A42='Données projet'!$A$166,'Données projet'!$B$166,DO41+DN42-DW41)))</f>
        <v>221</v>
      </c>
      <c r="DP42" s="18">
        <f>DO42*VLOOKUP('Données projet'!$B$14,Paramètres!$A$1:$I$89,3,0)*VLOOKUP('Données projet'!$B$14,Paramètres!$A$1:$I$89,5,0)</f>
        <v>120.666</v>
      </c>
      <c r="DQ42" s="14">
        <f t="shared" si="43"/>
        <v>31.830282786190971</v>
      </c>
      <c r="DR42" s="22">
        <f t="shared" si="16"/>
        <v>265.59769251928259</v>
      </c>
      <c r="DS42" s="60">
        <f t="shared" si="17"/>
        <v>558.9310258526159</v>
      </c>
      <c r="DT42" s="60">
        <f ca="1">AVERAGE(OFFSET($DS$3,0,0,'Données projet'!$E$14+1,1))-AVERAGE(OFFSET($H$3,0,0,'Données projet'!$E$14+1,1))</f>
        <v>201.4732637505823</v>
      </c>
      <c r="DU42" s="60">
        <f t="shared" si="44"/>
        <v>342.06887933351783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5.5272374759168041</v>
      </c>
      <c r="EB42" s="23">
        <f>EXP(-LN(2)/25)*EB41+(1-EXP(-LN(2)/25))/(LN(2)/25)*Calculateur!DW42*Calculateur!DY42*VLOOKUP('Données projet'!$B$14,Paramètres!$A$1:$I$89,3,0)*0.475*44/12</f>
        <v>20.602630786541422</v>
      </c>
      <c r="EC42" s="23">
        <f>EXP(-LN(2)/2)*EC41+(1-EXP(-LN(2)/2))/(LN(2)/2)*DW42*DZ42*VLOOKUP('Données projet'!$B$14,Paramètres!$A$1:$I$89,3,0)*0.475*44/12</f>
        <v>0.59207628719593508</v>
      </c>
      <c r="ED42" s="24">
        <f t="shared" si="18"/>
        <v>26.721944549654161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13.141346153846158</v>
      </c>
      <c r="EJ42" s="13">
        <f>IF('Données projet'!$A$192&gt;35,EJ41+EI42-ER41,IF(A42&lt;'Données projet'!$A$192,$EG$205^A42,IF(A42='Données projet'!$A$192,'Données projet'!$B$192,EJ41+EI42-ER41)))</f>
        <v>237.4471153846153</v>
      </c>
      <c r="EK42" s="18">
        <f>EJ42*VLOOKUP('Données projet'!$B$15,Paramètres!$A$1:$I$89,3,0)*VLOOKUP('Données projet'!$B$15,Paramètres!$A$1:$I$89,5,0)</f>
        <v>141.99337499999996</v>
      </c>
      <c r="EL42" s="14">
        <f t="shared" si="45"/>
        <v>36.753283288028733</v>
      </c>
      <c r="EM42" s="22">
        <f t="shared" si="19"/>
        <v>311.31709651831665</v>
      </c>
      <c r="EN42" s="60">
        <f t="shared" si="20"/>
        <v>604.65042985164996</v>
      </c>
      <c r="EO42" s="60">
        <f ca="1">AVERAGE(OFFSET($EN$3,0,0,'Données projet'!$E$15+1,1))-AVERAGE(OFFSET($H$3,0,0,'Données projet'!$E$15+1,1))</f>
        <v>260.01925143568263</v>
      </c>
      <c r="EP42" s="60">
        <f t="shared" si="46"/>
        <v>269.95358755269427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11.891327773117689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11.891327773117689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7.6</v>
      </c>
      <c r="FE42" s="13">
        <f>IF('Données projet'!$A$218&gt;35,FE41+FD42-FM41,IF(A42&lt;'Données projet'!$A$218,$FB$205^A42,IF(A42='Données projet'!$A$218,'Données projet'!$B$218,FE41+FD42-FM41)))</f>
        <v>144.40000000000003</v>
      </c>
      <c r="FF42" s="18">
        <f>FE42*VLOOKUP('Données projet'!$B$16,Paramètres!$A$1:$I$89,3,0)*VLOOKUP('Données projet'!$B$16,Paramètres!$A$1:$I$89,5,0)</f>
        <v>117.13728000000003</v>
      </c>
      <c r="FG42" s="14">
        <f t="shared" si="47"/>
        <v>31.006381507018595</v>
      </c>
      <c r="FH42" s="22">
        <f t="shared" si="22"/>
        <v>258.01687712472409</v>
      </c>
      <c r="FI42" s="60">
        <f t="shared" si="23"/>
        <v>551.3502104580574</v>
      </c>
      <c r="FJ42" s="60">
        <f ca="1">AVERAGE(OFFSET($FI$3,0,0,'Données projet'!$E$16+1,1))-AVERAGE(OFFSET($H$3,0,0,'Données projet'!$E$16+1,1))</f>
        <v>256.19915261735281</v>
      </c>
      <c r="FK42" s="60">
        <f t="shared" si="48"/>
        <v>297.47246687305056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9.25</v>
      </c>
      <c r="FZ42" s="13">
        <f>IF('Données projet'!$A$244&gt;35,FZ41+FY42-GH41,IF(A42&lt;'Données projet'!$A$244,$FW$205^A42,IF(A42='Données projet'!$A$244,'Données projet'!$B$244,FZ41+FY42-GH41)))</f>
        <v>175.45000000000005</v>
      </c>
      <c r="GA42" s="18">
        <f>FZ42*VLOOKUP('Données projet'!$B$17,Paramètres!$A$1:$I$89,3,0)*VLOOKUP('Données projet'!$B$17,Paramètres!$A$1:$I$89,5,0)</f>
        <v>100.35740000000003</v>
      </c>
      <c r="GB42" s="14">
        <f t="shared" si="49"/>
        <v>27.047125482568333</v>
      </c>
      <c r="GC42" s="22">
        <f t="shared" si="25"/>
        <v>221.89621521547323</v>
      </c>
      <c r="GD42" s="60">
        <f t="shared" si="26"/>
        <v>515.22954854880652</v>
      </c>
      <c r="GE42" s="60">
        <f ca="1">AVERAGE(OFFSET($GD$3,0,0,'Données projet'!$E$17+1,1))-AVERAGE(OFFSET($H$3,0,0,'Données projet'!$E$17+1,1))</f>
        <v>268.71641789629319</v>
      </c>
      <c r="GF42" s="60">
        <f t="shared" si="50"/>
        <v>199.94048514486104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1.6360868630173402</v>
      </c>
      <c r="GN42" s="23">
        <f>EXP(-LN(2)/2)*GN41+(1-EXP(-LN(2)/2))/(LN(2)/2)*GH42*GK42*VLOOKUP('Données projet'!$B$17,Paramètres!$A$1:$I$89,3,0)*0.475*44/12</f>
        <v>0.30828597318978918</v>
      </c>
      <c r="GO42" s="23">
        <f t="shared" si="27"/>
        <v>1.9443728362071293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12.74038461538462</v>
      </c>
      <c r="GU42" s="13">
        <f>IF('Données projet'!$A$270&gt;35,GU41+GT42-HC41,IF(A42&lt;'Données projet'!$A$270,$GR$205^A42,IF(A42='Données projet'!$A$270,'Données projet'!$B$270,GU41+GT42-HC41)))</f>
        <v>217.33461538461535</v>
      </c>
      <c r="GV42" s="18">
        <f>GU42*VLOOKUP('Données projet'!$B$18,Paramètres!$A$1:$I$89,3,0)*VLOOKUP('Données projet'!$B$18,Paramètres!$A$1:$I$89,5,0)</f>
        <v>129.96609999999998</v>
      </c>
      <c r="GW42" s="14">
        <f t="shared" si="51"/>
        <v>33.988525918782614</v>
      </c>
      <c r="GX42" s="22">
        <f t="shared" si="28"/>
        <v>285.5543068085463</v>
      </c>
      <c r="GY42" s="60">
        <f t="shared" si="29"/>
        <v>578.88764014187961</v>
      </c>
      <c r="GZ42" s="60">
        <f ca="1">AVERAGE(OFFSET($GY$3,0,0,'Données projet'!$E$18+1,1))-AVERAGE(OFFSET($H$3,0,0,'Données projet'!$E$18+1,1))</f>
        <v>289.12367833861299</v>
      </c>
      <c r="HA42" s="60">
        <f t="shared" si="52"/>
        <v>229.06617320689003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0.18326595025837758</v>
      </c>
      <c r="HJ42" s="24">
        <f t="shared" si="30"/>
        <v>0.18326595025837758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0">
        <f t="shared" si="0"/>
        <v>565.99803230996918</v>
      </c>
      <c r="S43" s="60">
        <f ca="1">AVERAGE(OFFSET($R$3,0,0,'Données projet'!$E$9+1,1))-AVERAGE(OFFSET($H$3,0,0,'Données projet'!$E$9+1,1))</f>
        <v>430.11660085503223</v>
      </c>
      <c r="T43" s="60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18.229670329670324</v>
      </c>
      <c r="AI43" s="14">
        <f>IF('Données projet'!$A$62&gt;35,AI42+AH43-AQ42,IF(A43&lt;'Données projet'!$A$62,$AF$205^A43,IF(A43='Données projet'!$A$62,'Données projet'!$B$62,AI42+AH43-AQ42)))</f>
        <v>326.1406593406594</v>
      </c>
      <c r="AJ43" s="14">
        <f>AI43*VLOOKUP('Données projet'!$B$10,Paramètres!$A$1:$I$89,3,0)*VLOOKUP('Données projet'!$B$10,Paramètres!$A$1:$I$89,5,0)</f>
        <v>182.31262857142863</v>
      </c>
      <c r="AK43" s="14">
        <f t="shared" si="35"/>
        <v>45.836320512875446</v>
      </c>
      <c r="AL43" s="22">
        <f t="shared" si="4"/>
        <v>397.35941965516298</v>
      </c>
      <c r="AM43" s="60">
        <f t="shared" si="5"/>
        <v>690.6927529884963</v>
      </c>
      <c r="AN43" s="60">
        <f ca="1">AVERAGE(OFFSET($AM$3,0,0,'Données projet'!$E$10+1,1))-AVERAGE(OFFSET($H$3,0,0,'Données projet'!$E$10+1,1))</f>
        <v>323.98185264074681</v>
      </c>
      <c r="AO43" s="60">
        <f t="shared" si="36"/>
        <v>301.22207291854005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3.6605997040950573</v>
      </c>
      <c r="AV43" s="23">
        <f>EXP(-LN(2)/25)*AV42+(1-EXP(-LN(2)/25))/(LN(2)/25)*Calculateur!AQ43*Calculateur!AS43*VLOOKUP('Données projet'!$B$10,Paramètres!$A$1:$I$89,3,0)*0.475*44/12</f>
        <v>6.2502843474814274</v>
      </c>
      <c r="AW43" s="23">
        <f>EXP(-LN(2)/2)*AW42+(1-EXP(-LN(2)/2))/(LN(2)/2)*AQ43*AT43*VLOOKUP('Données projet'!$B$10,Paramètres!$A$1:$I$89,3,0)*0.475*44/12</f>
        <v>0.19024397436306315</v>
      </c>
      <c r="AX43" s="23">
        <f t="shared" si="6"/>
        <v>10.101128025939548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164</v>
      </c>
      <c r="BB43" s="13">
        <f>VLOOKUP(A43,'Données projet'!$A$87:$I$107,9,0)</f>
        <v>10.6</v>
      </c>
      <c r="BC43" s="13">
        <f t="array" ref="BC43">INDEX(BB:BB,MIN(IF(ISNUMBER(BB43:BB239),ROW(BB43:BB239),"")))</f>
        <v>10.6</v>
      </c>
      <c r="BD43" s="13">
        <f>IF('Données projet'!$A$88&gt;35,BD42+BC43-BL42,IF(A43&lt;'Données projet'!$A$88,$BA$205^A43,IF(A43='Données projet'!$A$88,'Données projet'!$B$88,BD42+BC43-BL42)))</f>
        <v>163.99999999999994</v>
      </c>
      <c r="BE43" s="14">
        <f>BD43*VLOOKUP('Données projet'!$B$11,Paramètres!$A$1:$I$89,3,0)*VLOOKUP('Données projet'!$B$11,Paramètres!$A$1:$I$89,5,0)</f>
        <v>140.71199999999996</v>
      </c>
      <c r="BF43" s="14">
        <f t="shared" si="37"/>
        <v>36.46006650944075</v>
      </c>
      <c r="BG43" s="22">
        <f t="shared" si="7"/>
        <v>308.57468250394254</v>
      </c>
      <c r="BH43" s="60">
        <f t="shared" si="8"/>
        <v>601.9080158372758</v>
      </c>
      <c r="BI43" s="60">
        <f ca="1">AVERAGE(OFFSET($BH$3,0,0,'Données projet'!$E$11+1,1))-AVERAGE(OFFSET($H$3,0,0,'Données projet'!$E$11+1,1))</f>
        <v>556.75475431848258</v>
      </c>
      <c r="BJ43" s="60">
        <f t="shared" si="38"/>
        <v>256.77417912163997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219.6</v>
      </c>
      <c r="BW43" s="13">
        <f>VLOOKUP(A43,'Données projet'!$A$113:$I$133,9,0)</f>
        <v>9.4399999999999977</v>
      </c>
      <c r="BX43" s="13">
        <f t="array" ref="BX43">INDEX(BW:BW,MIN(IF(ISNUMBER(BW43:BW239),ROW(BW43:BW239),"")))</f>
        <v>9.4399999999999977</v>
      </c>
      <c r="BY43" s="13">
        <f>IF('Données projet'!$A$114&gt;35,BY42+BX43-CG42,IF(A43&lt;'Données projet'!$A$114,$BV$205^A43,IF(A43='Données projet'!$A$114,'Données projet'!$B$114,BY42+BX43-CG42)))</f>
        <v>219.6</v>
      </c>
      <c r="BZ43" s="14">
        <f>BY43*VLOOKUP('Données projet'!$B$12,Paramètres!$A$1:$I$89,3,0)*VLOOKUP('Données projet'!$B$12,Paramètres!$A$1:$I$89,5,0)</f>
        <v>161.01071999999999</v>
      </c>
      <c r="CA43" s="14">
        <f t="shared" si="39"/>
        <v>41.070402507024518</v>
      </c>
      <c r="CB43" s="22">
        <f t="shared" si="10"/>
        <v>351.95795503306766</v>
      </c>
      <c r="CC43" s="60">
        <f t="shared" si="11"/>
        <v>645.29128836640098</v>
      </c>
      <c r="CD43" s="60">
        <f ca="1">AVERAGE(OFFSET($CC$3,0,0,'Données projet'!$E$12+1,1))-AVERAGE(OFFSET($H$3,0,0,'Données projet'!$E$12+1,1))</f>
        <v>290.68086183422963</v>
      </c>
      <c r="CE43" s="60">
        <f t="shared" si="40"/>
        <v>317.88330630101785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167</v>
      </c>
      <c r="CR43" s="13">
        <f>VLOOKUP(A43,'Données projet'!$A$139:$I$159,9,0)</f>
        <v>7</v>
      </c>
      <c r="CS43" s="13">
        <f t="array" ref="CS43">INDEX(CR:CR,MIN(IF(ISNUMBER(CR43:CR239),ROW(CR43:CR239),"")))</f>
        <v>7</v>
      </c>
      <c r="CT43" s="13">
        <f>IF('Données projet'!$A$140&gt;35,CT42+CS43-DB42,IF(A43&lt;'Données projet'!$A$140,$CQ$205^A43,IF(A43='Données projet'!$A$140,'Données projet'!$B$140,CT42+CS43-DB42)))</f>
        <v>167</v>
      </c>
      <c r="CU43" s="18">
        <f>CT43*VLOOKUP('Données projet'!$B$13,Paramètres!$A$1:$I$89,3,0)*VLOOKUP('Données projet'!$B$13,Paramètres!$A$1:$I$89,5,0)</f>
        <v>109.41840000000001</v>
      </c>
      <c r="CV43" s="14">
        <f t="shared" si="41"/>
        <v>29.193912826430967</v>
      </c>
      <c r="CW43" s="22">
        <f t="shared" si="13"/>
        <v>241.41644483936727</v>
      </c>
      <c r="CX43" s="60">
        <f t="shared" si="14"/>
        <v>534.74977817270064</v>
      </c>
      <c r="CY43" s="60">
        <f ca="1">AVERAGE(OFFSET($CX$3,0,0,'Données projet'!$E$13+1,1))-AVERAGE(OFFSET($H$3,0,0,'Données projet'!$E$13+1,1))</f>
        <v>243.04319555814601</v>
      </c>
      <c r="CZ43" s="60">
        <f t="shared" si="42"/>
        <v>235.68746142880792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19</v>
      </c>
      <c r="DO43" s="13">
        <f>IF('Données projet'!$A$166&gt;35,DO42+DN43-DW42,IF(A43&lt;'Données projet'!$A$166,$DL$205^A43,IF(A43='Données projet'!$A$166,'Données projet'!$B$166,DO42+DN43-DW42)))</f>
        <v>240</v>
      </c>
      <c r="DP43" s="18">
        <f>DO43*VLOOKUP('Données projet'!$B$14,Paramètres!$A$1:$I$89,3,0)*VLOOKUP('Données projet'!$B$14,Paramètres!$A$1:$I$89,5,0)</f>
        <v>131.04</v>
      </c>
      <c r="DQ43" s="14">
        <f t="shared" si="43"/>
        <v>34.236561238949918</v>
      </c>
      <c r="DR43" s="22">
        <f t="shared" si="16"/>
        <v>287.85667749117107</v>
      </c>
      <c r="DS43" s="60">
        <f t="shared" si="17"/>
        <v>581.19001082450438</v>
      </c>
      <c r="DT43" s="60">
        <f ca="1">AVERAGE(OFFSET($DS$3,0,0,'Données projet'!$E$14+1,1))-AVERAGE(OFFSET($H$3,0,0,'Données projet'!$E$14+1,1))</f>
        <v>201.4732637505823</v>
      </c>
      <c r="DU43" s="60">
        <f t="shared" si="44"/>
        <v>342.06887933351783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5.4188517202960496</v>
      </c>
      <c r="EB43" s="23">
        <f>EXP(-LN(2)/25)*EB42+(1-EXP(-LN(2)/25))/(LN(2)/25)*Calculateur!DW43*Calculateur!DY43*VLOOKUP('Données projet'!$B$14,Paramètres!$A$1:$I$89,3,0)*0.475*44/12</f>
        <v>20.039250764238183</v>
      </c>
      <c r="EC43" s="23">
        <f>EXP(-LN(2)/2)*EC42+(1-EXP(-LN(2)/2))/(LN(2)/2)*DW43*DZ43*VLOOKUP('Données projet'!$B$14,Paramètres!$A$1:$I$89,3,0)*0.475*44/12</f>
        <v>0.41866115765599954</v>
      </c>
      <c r="ED43" s="24">
        <f t="shared" si="18"/>
        <v>25.876763642190234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13.141346153846158</v>
      </c>
      <c r="EJ43" s="13">
        <f>IF('Données projet'!$A$192&gt;35,EJ42+EI43-ER42,IF(A43&lt;'Données projet'!$A$192,$EG$205^A43,IF(A43='Données projet'!$A$192,'Données projet'!$B$192,EJ42+EI43-ER42)))</f>
        <v>250.58846153846144</v>
      </c>
      <c r="EK43" s="18">
        <f>EJ43*VLOOKUP('Données projet'!$B$15,Paramètres!$A$1:$I$89,3,0)*VLOOKUP('Données projet'!$B$15,Paramètres!$A$1:$I$89,5,0)</f>
        <v>149.85189999999997</v>
      </c>
      <c r="EL43" s="14">
        <f t="shared" si="45"/>
        <v>38.544927429723273</v>
      </c>
      <c r="EM43" s="22">
        <f t="shared" si="19"/>
        <v>328.12447444010132</v>
      </c>
      <c r="EN43" s="60">
        <f t="shared" si="20"/>
        <v>621.45780777343464</v>
      </c>
      <c r="EO43" s="60">
        <f ca="1">AVERAGE(OFFSET($EN$3,0,0,'Données projet'!$E$15+1,1))-AVERAGE(OFFSET($H$3,0,0,'Données projet'!$E$15+1,1))</f>
        <v>260.01925143568263</v>
      </c>
      <c r="EP43" s="60">
        <f t="shared" si="46"/>
        <v>269.95358755269427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11.658146088480619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11.658146088480619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152</v>
      </c>
      <c r="FC43" s="13">
        <f>VLOOKUP(A43,'Données projet'!$A$217:$I$237,9,0)</f>
        <v>7.6</v>
      </c>
      <c r="FD43" s="13">
        <f t="array" ref="FD43">INDEX(FC:FC,MIN(IF(ISNUMBER(FC43:FC239),ROW(FC43:FC239),"")))</f>
        <v>7.6</v>
      </c>
      <c r="FE43" s="13">
        <f>IF('Données projet'!$A$218&gt;35,FE42+FD43-FM42,IF(A43&lt;'Données projet'!$A$218,$FB$205^A43,IF(A43='Données projet'!$A$218,'Données projet'!$B$218,FE42+FD43-FM42)))</f>
        <v>152.00000000000003</v>
      </c>
      <c r="FF43" s="18">
        <f>FE43*VLOOKUP('Données projet'!$B$16,Paramètres!$A$1:$I$89,3,0)*VLOOKUP('Données projet'!$B$16,Paramètres!$A$1:$I$89,5,0)</f>
        <v>123.30240000000003</v>
      </c>
      <c r="FG43" s="14">
        <f t="shared" si="47"/>
        <v>32.444008665071891</v>
      </c>
      <c r="FH43" s="22">
        <f t="shared" si="22"/>
        <v>271.25832842500023</v>
      </c>
      <c r="FI43" s="60">
        <f t="shared" si="23"/>
        <v>564.59166175833354</v>
      </c>
      <c r="FJ43" s="60">
        <f ca="1">AVERAGE(OFFSET($FI$3,0,0,'Données projet'!$E$16+1,1))-AVERAGE(OFFSET($H$3,0,0,'Données projet'!$E$16+1,1))</f>
        <v>256.19915261735281</v>
      </c>
      <c r="FK43" s="60">
        <f t="shared" si="48"/>
        <v>297.47246687305056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9.25</v>
      </c>
      <c r="FZ43" s="13">
        <f>IF('Données projet'!$A$244&gt;35,FZ42+FY43-GH42,IF(A43&lt;'Données projet'!$A$244,$FW$205^A43,IF(A43='Données projet'!$A$244,'Données projet'!$B$244,FZ42+FY43-GH42)))</f>
        <v>184.70000000000005</v>
      </c>
      <c r="GA43" s="18">
        <f>FZ43*VLOOKUP('Données projet'!$B$17,Paramètres!$A$1:$I$89,3,0)*VLOOKUP('Données projet'!$B$17,Paramètres!$A$1:$I$89,5,0)</f>
        <v>105.64840000000002</v>
      </c>
      <c r="GB43" s="14">
        <f t="shared" si="49"/>
        <v>28.303317598550162</v>
      </c>
      <c r="GC43" s="22">
        <f t="shared" si="25"/>
        <v>233.29924148414156</v>
      </c>
      <c r="GD43" s="60">
        <f t="shared" si="26"/>
        <v>526.63257481747485</v>
      </c>
      <c r="GE43" s="60">
        <f ca="1">AVERAGE(OFFSET($GD$3,0,0,'Données projet'!$E$17+1,1))-AVERAGE(OFFSET($H$3,0,0,'Données projet'!$E$17+1,1))</f>
        <v>268.71641789629319</v>
      </c>
      <c r="GF43" s="60">
        <f t="shared" si="50"/>
        <v>199.94048514486104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1.5913479817100622</v>
      </c>
      <c r="GN43" s="23">
        <f>EXP(-LN(2)/2)*GN42+(1-EXP(-LN(2)/2))/(LN(2)/2)*GH43*GK43*VLOOKUP('Données projet'!$B$17,Paramètres!$A$1:$I$89,3,0)*0.475*44/12</f>
        <v>0.21799110218719411</v>
      </c>
      <c r="GO43" s="23">
        <f t="shared" si="27"/>
        <v>1.8093390838972563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12.74038461538462</v>
      </c>
      <c r="GU43" s="13">
        <f>IF('Données projet'!$A$270&gt;35,GU42+GT43-HC42,IF(A43&lt;'Données projet'!$A$270,$GR$205^A43,IF(A43='Données projet'!$A$270,'Données projet'!$B$270,GU42+GT43-HC42)))</f>
        <v>230.07499999999996</v>
      </c>
      <c r="GV43" s="18">
        <f>GU43*VLOOKUP('Données projet'!$B$18,Paramètres!$A$1:$I$89,3,0)*VLOOKUP('Données projet'!$B$18,Paramètres!$A$1:$I$89,5,0)</f>
        <v>137.58484999999999</v>
      </c>
      <c r="GW43" s="14">
        <f t="shared" si="51"/>
        <v>35.743169448737028</v>
      </c>
      <c r="GX43" s="22">
        <f t="shared" si="28"/>
        <v>301.87963387321696</v>
      </c>
      <c r="GY43" s="60">
        <f t="shared" si="29"/>
        <v>595.21296720655027</v>
      </c>
      <c r="GZ43" s="60">
        <f ca="1">AVERAGE(OFFSET($GY$3,0,0,'Données projet'!$E$18+1,1))-AVERAGE(OFFSET($H$3,0,0,'Données projet'!$E$18+1,1))</f>
        <v>289.12367833861299</v>
      </c>
      <c r="HA43" s="60">
        <f t="shared" si="52"/>
        <v>229.06617320689003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0.1295885961882953</v>
      </c>
      <c r="HJ43" s="24">
        <f t="shared" si="30"/>
        <v>0.1295885961882953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0">
        <f t="shared" si="0"/>
        <v>582.30024964318545</v>
      </c>
      <c r="S44" s="60">
        <f ca="1">AVERAGE(OFFSET($R$3,0,0,'Données projet'!$E$9+1,1))-AVERAGE(OFFSET($H$3,0,0,'Données projet'!$E$9+1,1))</f>
        <v>430.11660085503223</v>
      </c>
      <c r="T44" s="60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18.229670329670324</v>
      </c>
      <c r="AI44" s="14">
        <f>IF('Données projet'!$A$62&gt;35,AI43+AH44-AQ43,IF(A44&lt;'Données projet'!$A$62,$AF$205^A44,IF(A44='Données projet'!$A$62,'Données projet'!$B$62,AI43+AH44-AQ43)))</f>
        <v>344.37032967032974</v>
      </c>
      <c r="AJ44" s="14">
        <f>AI44*VLOOKUP('Données projet'!$B$10,Paramètres!$A$1:$I$89,3,0)*VLOOKUP('Données projet'!$B$10,Paramètres!$A$1:$I$89,5,0)</f>
        <v>192.50301428571433</v>
      </c>
      <c r="AK44" s="14">
        <f t="shared" si="35"/>
        <v>48.092911552862631</v>
      </c>
      <c r="AL44" s="22">
        <f t="shared" si="4"/>
        <v>419.03790416885482</v>
      </c>
      <c r="AM44" s="60">
        <f t="shared" si="5"/>
        <v>712.37123750218814</v>
      </c>
      <c r="AN44" s="60">
        <f ca="1">AVERAGE(OFFSET($AM$3,0,0,'Données projet'!$E$10+1,1))-AVERAGE(OFFSET($H$3,0,0,'Données projet'!$E$10+1,1))</f>
        <v>323.98185264074681</v>
      </c>
      <c r="AO44" s="60">
        <f t="shared" si="36"/>
        <v>301.22207291854005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3.5888175766431076</v>
      </c>
      <c r="AV44" s="23">
        <f>EXP(-LN(2)/25)*AV43+(1-EXP(-LN(2)/25))/(LN(2)/25)*Calculateur!AQ44*Calculateur!AS44*VLOOKUP('Données projet'!$B$10,Paramètres!$A$1:$I$89,3,0)*0.475*44/12</f>
        <v>6.0793699933113787</v>
      </c>
      <c r="AW44" s="23">
        <f>EXP(-LN(2)/2)*AW43+(1-EXP(-LN(2)/2))/(LN(2)/2)*AQ44*AT44*VLOOKUP('Données projet'!$B$10,Paramètres!$A$1:$I$89,3,0)*0.475*44/12</f>
        <v>0.13452280435200165</v>
      </c>
      <c r="AX44" s="23">
        <f t="shared" si="6"/>
        <v>9.8027103743064892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</v>
      </c>
      <c r="BD44" s="13">
        <f>IF('Données projet'!$A$88&gt;35,BD43+BC44-BL43,IF(A44&lt;'Données projet'!$A$88,$BA$205^A44,IF(A44='Données projet'!$A$88,'Données projet'!$B$88,BD43+BC44-BL43)))</f>
        <v>174.79999999999995</v>
      </c>
      <c r="BE44" s="14">
        <f>BD44*VLOOKUP('Données projet'!$B$11,Paramètres!$A$1:$I$89,3,0)*VLOOKUP('Données projet'!$B$11,Paramètres!$A$1:$I$89,5,0)</f>
        <v>149.97839999999999</v>
      </c>
      <c r="BF44" s="14">
        <f t="shared" si="37"/>
        <v>38.573676902204191</v>
      </c>
      <c r="BG44" s="22">
        <f t="shared" si="7"/>
        <v>328.39486727133897</v>
      </c>
      <c r="BH44" s="60">
        <f t="shared" si="8"/>
        <v>621.72820060467234</v>
      </c>
      <c r="BI44" s="60">
        <f ca="1">AVERAGE(OFFSET($BH$3,0,0,'Données projet'!$E$11+1,1))-AVERAGE(OFFSET($H$3,0,0,'Données projet'!$E$11+1,1))</f>
        <v>556.75475431848258</v>
      </c>
      <c r="BJ44" s="60">
        <f t="shared" si="38"/>
        <v>256.77417912163997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8.2000000000000064</v>
      </c>
      <c r="BY44" s="13">
        <f>IF('Données projet'!$A$114&gt;35,BY43+BX44-CG43,IF(A44&lt;'Données projet'!$A$114,$BV$205^A44,IF(A44='Données projet'!$A$114,'Données projet'!$B$114,BY43+BX44-CG43)))</f>
        <v>171.8</v>
      </c>
      <c r="BZ44" s="14">
        <f>BY44*VLOOKUP('Données projet'!$B$12,Paramètres!$A$1:$I$89,3,0)*VLOOKUP('Données projet'!$B$12,Paramètres!$A$1:$I$89,5,0)</f>
        <v>125.96375999999999</v>
      </c>
      <c r="CA44" s="14">
        <f t="shared" si="39"/>
        <v>33.061997672641603</v>
      </c>
      <c r="CB44" s="22">
        <f t="shared" si="10"/>
        <v>276.96986127985076</v>
      </c>
      <c r="CC44" s="60">
        <f t="shared" si="11"/>
        <v>570.30319461318413</v>
      </c>
      <c r="CD44" s="60">
        <f ca="1">AVERAGE(OFFSET($CC$3,0,0,'Données projet'!$E$12+1,1))-AVERAGE(OFFSET($H$3,0,0,'Données projet'!$E$12+1,1))</f>
        <v>290.68086183422963</v>
      </c>
      <c r="CE44" s="60">
        <f t="shared" si="40"/>
        <v>317.88330630101785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6.4</v>
      </c>
      <c r="CT44" s="13">
        <f>IF('Données projet'!$A$140&gt;35,CT43+CS44-DB43,IF(A44&lt;'Données projet'!$A$140,$CQ$205^A44,IF(A44='Données projet'!$A$140,'Données projet'!$B$140,CT43+CS44-DB43)))</f>
        <v>173.4</v>
      </c>
      <c r="CU44" s="18">
        <f>CT44*VLOOKUP('Données projet'!$B$13,Paramètres!$A$1:$I$89,3,0)*VLOOKUP('Données projet'!$B$13,Paramètres!$A$1:$I$89,5,0)</f>
        <v>113.61168000000001</v>
      </c>
      <c r="CV44" s="14">
        <f t="shared" si="41"/>
        <v>30.180318013150192</v>
      </c>
      <c r="CW44" s="22">
        <f t="shared" si="13"/>
        <v>250.43772987290322</v>
      </c>
      <c r="CX44" s="60">
        <f t="shared" si="14"/>
        <v>543.77106320623648</v>
      </c>
      <c r="CY44" s="60">
        <f ca="1">AVERAGE(OFFSET($CX$3,0,0,'Données projet'!$E$13+1,1))-AVERAGE(OFFSET($H$3,0,0,'Données projet'!$E$13+1,1))</f>
        <v>243.04319555814601</v>
      </c>
      <c r="CZ44" s="60">
        <f t="shared" si="42"/>
        <v>235.68746142880792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19</v>
      </c>
      <c r="DO44" s="13">
        <f>IF('Données projet'!$A$166&gt;35,DO43+DN44-DW43,IF(A44&lt;'Données projet'!$A$166,$DL$205^A44,IF(A44='Données projet'!$A$166,'Données projet'!$B$166,DO43+DN44-DW43)))</f>
        <v>259</v>
      </c>
      <c r="DP44" s="18">
        <f>DO44*VLOOKUP('Données projet'!$B$14,Paramètres!$A$1:$I$89,3,0)*VLOOKUP('Données projet'!$B$14,Paramètres!$A$1:$I$89,5,0)</f>
        <v>141.41400000000002</v>
      </c>
      <c r="DQ44" s="14">
        <f t="shared" si="43"/>
        <v>36.620743339746923</v>
      </c>
      <c r="DR44" s="22">
        <f t="shared" si="16"/>
        <v>310.07717798339257</v>
      </c>
      <c r="DS44" s="60">
        <f t="shared" si="17"/>
        <v>603.41051131672589</v>
      </c>
      <c r="DT44" s="60">
        <f ca="1">AVERAGE(OFFSET($DS$3,0,0,'Données projet'!$E$14+1,1))-AVERAGE(OFFSET($H$3,0,0,'Données projet'!$E$14+1,1))</f>
        <v>201.4732637505823</v>
      </c>
      <c r="DU44" s="60">
        <f t="shared" si="44"/>
        <v>342.06887933351783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5.3125913432342351</v>
      </c>
      <c r="EB44" s="23">
        <f>EXP(-LN(2)/25)*EB43+(1-EXP(-LN(2)/25))/(LN(2)/25)*Calculateur!DW44*Calculateur!DY44*VLOOKUP('Données projet'!$B$14,Paramètres!$A$1:$I$89,3,0)*0.475*44/12</f>
        <v>19.491276398271694</v>
      </c>
      <c r="EC44" s="23">
        <f>EXP(-LN(2)/2)*EC43+(1-EXP(-LN(2)/2))/(LN(2)/2)*DW44*DZ44*VLOOKUP('Données projet'!$B$14,Paramètres!$A$1:$I$89,3,0)*0.475*44/12</f>
        <v>0.29603814359796754</v>
      </c>
      <c r="ED44" s="24">
        <f t="shared" si="18"/>
        <v>25.099905885103897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13.141346153846158</v>
      </c>
      <c r="EJ44" s="13">
        <f>IF('Données projet'!$A$192&gt;35,EJ43+EI44-ER43,IF(A44&lt;'Données projet'!$A$192,$EG$205^A44,IF(A44='Données projet'!$A$192,'Données projet'!$B$192,EJ43+EI44-ER43)))</f>
        <v>263.72980769230759</v>
      </c>
      <c r="EK44" s="18">
        <f>EJ44*VLOOKUP('Données projet'!$B$15,Paramètres!$A$1:$I$89,3,0)*VLOOKUP('Données projet'!$B$15,Paramètres!$A$1:$I$89,5,0)</f>
        <v>157.71042499999996</v>
      </c>
      <c r="EL44" s="14">
        <f t="shared" si="45"/>
        <v>40.325662975074472</v>
      </c>
      <c r="EM44" s="22">
        <f t="shared" si="19"/>
        <v>344.91285322325461</v>
      </c>
      <c r="EN44" s="60">
        <f t="shared" si="20"/>
        <v>638.24618655658787</v>
      </c>
      <c r="EO44" s="60">
        <f ca="1">AVERAGE(OFFSET($EN$3,0,0,'Données projet'!$E$15+1,1))-AVERAGE(OFFSET($H$3,0,0,'Données projet'!$E$15+1,1))</f>
        <v>260.01925143568263</v>
      </c>
      <c r="EP44" s="60">
        <f t="shared" si="46"/>
        <v>269.95358755269427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11.429536954452498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11.429536954452498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7.6</v>
      </c>
      <c r="FE44" s="13">
        <f>IF('Données projet'!$A$218&gt;35,FE43+FD44-FM43,IF(A44&lt;'Données projet'!$A$218,$FB$205^A44,IF(A44='Données projet'!$A$218,'Données projet'!$B$218,FE43+FD44-FM43)))</f>
        <v>159.60000000000002</v>
      </c>
      <c r="FF44" s="18">
        <f>FE44*VLOOKUP('Données projet'!$B$16,Paramètres!$A$1:$I$89,3,0)*VLOOKUP('Données projet'!$B$16,Paramètres!$A$1:$I$89,5,0)</f>
        <v>129.46752000000004</v>
      </c>
      <c r="FG44" s="14">
        <f t="shared" si="47"/>
        <v>33.873289462262882</v>
      </c>
      <c r="FH44" s="22">
        <f t="shared" si="22"/>
        <v>284.48524314677451</v>
      </c>
      <c r="FI44" s="60">
        <f t="shared" si="23"/>
        <v>577.81857648010782</v>
      </c>
      <c r="FJ44" s="60">
        <f ca="1">AVERAGE(OFFSET($FI$3,0,0,'Données projet'!$E$16+1,1))-AVERAGE(OFFSET($H$3,0,0,'Données projet'!$E$16+1,1))</f>
        <v>256.19915261735281</v>
      </c>
      <c r="FK44" s="60">
        <f t="shared" si="48"/>
        <v>297.47246687305056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9.25</v>
      </c>
      <c r="FZ44" s="13">
        <f>IF('Données projet'!$A$244&gt;35,FZ43+FY44-GH43,IF(A44&lt;'Données projet'!$A$244,$FW$205^A44,IF(A44='Données projet'!$A$244,'Données projet'!$B$244,FZ43+FY44-GH43)))</f>
        <v>193.95000000000005</v>
      </c>
      <c r="GA44" s="18">
        <f>FZ44*VLOOKUP('Données projet'!$B$17,Paramètres!$A$1:$I$89,3,0)*VLOOKUP('Données projet'!$B$17,Paramètres!$A$1:$I$89,5,0)</f>
        <v>110.93940000000003</v>
      </c>
      <c r="GB44" s="14">
        <f t="shared" si="49"/>
        <v>29.552204880451132</v>
      </c>
      <c r="GC44" s="22">
        <f t="shared" si="25"/>
        <v>244.68954516678582</v>
      </c>
      <c r="GD44" s="60">
        <f t="shared" si="26"/>
        <v>538.02287850011908</v>
      </c>
      <c r="GE44" s="60">
        <f ca="1">AVERAGE(OFFSET($GD$3,0,0,'Données projet'!$E$17+1,1))-AVERAGE(OFFSET($H$3,0,0,'Données projet'!$E$17+1,1))</f>
        <v>268.71641789629319</v>
      </c>
      <c r="GF44" s="60">
        <f t="shared" si="50"/>
        <v>199.94048514486104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1.5478324874648473</v>
      </c>
      <c r="GN44" s="23">
        <f>EXP(-LN(2)/2)*GN43+(1-EXP(-LN(2)/2))/(LN(2)/2)*GH44*GK44*VLOOKUP('Données projet'!$B$17,Paramètres!$A$1:$I$89,3,0)*0.475*44/12</f>
        <v>0.15414298659489459</v>
      </c>
      <c r="GO44" s="23">
        <f t="shared" si="27"/>
        <v>1.7019754740597419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>
        <f>VLOOKUP(A44,'Données projet'!$A$269:$I$289,2,0)</f>
        <v>242.81538461538463</v>
      </c>
      <c r="GS44" s="13">
        <f>VLOOKUP(A44,'Données projet'!$A$269:$I$289,9,0)</f>
        <v>12.74038461538462</v>
      </c>
      <c r="GT44" s="13">
        <f t="array" ref="GT44">INDEX(GS:GS,MIN(IF(ISNUMBER(GS44:GS240),ROW(GS44:GS240),"")))</f>
        <v>12.74038461538462</v>
      </c>
      <c r="GU44" s="13">
        <f>IF('Données projet'!$A$270&gt;35,GU43+GT44-HC43,IF(A44&lt;'Données projet'!$A$270,$GR$205^A44,IF(A44='Données projet'!$A$270,'Données projet'!$B$270,GU43+GT44-HC43)))</f>
        <v>242.81538461538457</v>
      </c>
      <c r="GV44" s="18">
        <f>GU44*VLOOKUP('Données projet'!$B$18,Paramètres!$A$1:$I$89,3,0)*VLOOKUP('Données projet'!$B$18,Paramètres!$A$1:$I$89,5,0)</f>
        <v>145.20359999999999</v>
      </c>
      <c r="GW44" s="14">
        <f t="shared" si="51"/>
        <v>37.4865334633907</v>
      </c>
      <c r="GX44" s="22">
        <f t="shared" si="28"/>
        <v>318.18531578207211</v>
      </c>
      <c r="GY44" s="60">
        <f t="shared" si="29"/>
        <v>611.51864911540542</v>
      </c>
      <c r="GZ44" s="60">
        <f ca="1">AVERAGE(OFFSET($GY$3,0,0,'Données projet'!$E$18+1,1))-AVERAGE(OFFSET($H$3,0,0,'Données projet'!$E$18+1,1))</f>
        <v>289.12367833861299</v>
      </c>
      <c r="HA44" s="60">
        <f t="shared" si="52"/>
        <v>229.06617320689003</v>
      </c>
      <c r="HB44" s="16">
        <f>IF(ISNA(VLOOKUP(A44,'Données projet'!$A$269:$I$289,3,0)),0,VLOOKUP(A44,'Données projet'!$A$269:$I$289,3,0))</f>
        <v>4</v>
      </c>
      <c r="HC44" s="16">
        <f>IF(ISNA(VLOOKUP(A44,'Données projet'!$A$269:$I$289,4,0)),0,VLOOKUP(A44,'Données projet'!$A$269:$I$289,4,0))</f>
        <v>58.484615384615381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9.163297512918879E-2</v>
      </c>
      <c r="HJ44" s="24">
        <f t="shared" si="30"/>
        <v>9.163297512918879E-2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0">
        <f t="shared" si="0"/>
        <v>598.5819131330129</v>
      </c>
      <c r="S45" s="60">
        <f ca="1">AVERAGE(OFFSET($R$3,0,0,'Données projet'!$E$9+1,1))-AVERAGE(OFFSET($H$3,0,0,'Données projet'!$E$9+1,1))</f>
        <v>430.11660085503223</v>
      </c>
      <c r="T45" s="60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362.59999999999997</v>
      </c>
      <c r="AG45" s="13">
        <f>VLOOKUP(A45,'Données projet'!$A$61:$I$81,9,0)</f>
        <v>18.229670329670324</v>
      </c>
      <c r="AH45" s="13">
        <f t="array" ref="AH45">INDEX(AG:AG,MIN(IF(ISNUMBER(AG45:AG241),ROW(AG45:AG241),"")))</f>
        <v>18.229670329670324</v>
      </c>
      <c r="AI45" s="14">
        <f>IF('Données projet'!$A$62&gt;35,AI44+AH45-AQ44,IF(A45&lt;'Données projet'!$A$62,$AF$205^A45,IF(A45='Données projet'!$A$62,'Données projet'!$B$62,AI44+AH45-AQ44)))</f>
        <v>362.60000000000008</v>
      </c>
      <c r="AJ45" s="14">
        <f>AI45*VLOOKUP('Données projet'!$B$10,Paramètres!$A$1:$I$89,3,0)*VLOOKUP('Données projet'!$B$10,Paramètres!$A$1:$I$89,5,0)</f>
        <v>202.69340000000005</v>
      </c>
      <c r="AK45" s="14">
        <f t="shared" si="35"/>
        <v>50.335633892078647</v>
      </c>
      <c r="AL45" s="22">
        <f t="shared" si="4"/>
        <v>440.69223402870375</v>
      </c>
      <c r="AM45" s="60">
        <f t="shared" si="5"/>
        <v>734.02556736203701</v>
      </c>
      <c r="AN45" s="60">
        <f ca="1">AVERAGE(OFFSET($AM$3,0,0,'Données projet'!$E$10+1,1))-AVERAGE(OFFSET($H$3,0,0,'Données projet'!$E$10+1,1))</f>
        <v>323.98185264074681</v>
      </c>
      <c r="AO45" s="60">
        <f t="shared" si="36"/>
        <v>301.22207291854005</v>
      </c>
      <c r="AP45" s="16">
        <f>IF(ISNA(VLOOKUP(A45,'Données projet'!$A$61:$I$81,3,0)),0,VLOOKUP(A45,'Données projet'!$A$61:$I$81,3,0))</f>
        <v>4</v>
      </c>
      <c r="AQ45" s="16">
        <f>IF(ISNA(VLOOKUP(A45,'Données projet'!$A$61:$I$81,4,0)),0,VLOOKUP(A45,'Données projet'!$A$61:$I$81,4,0))</f>
        <v>80.669230769230765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3.518443052927716</v>
      </c>
      <c r="AV45" s="23">
        <f>EXP(-LN(2)/25)*AV44+(1-EXP(-LN(2)/25))/(LN(2)/25)*Calculateur!AQ45*Calculateur!AS45*VLOOKUP('Données projet'!$B$10,Paramètres!$A$1:$I$89,3,0)*0.475*44/12</f>
        <v>5.9131293011441057</v>
      </c>
      <c r="AW45" s="23">
        <f>EXP(-LN(2)/2)*AW44+(1-EXP(-LN(2)/2))/(LN(2)/2)*AQ45*AT45*VLOOKUP('Données projet'!$B$10,Paramètres!$A$1:$I$89,3,0)*0.475*44/12</f>
        <v>9.5121987181531573E-2</v>
      </c>
      <c r="AX45" s="23">
        <f t="shared" si="6"/>
        <v>9.5266943412533536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</v>
      </c>
      <c r="BD45" s="13">
        <f>IF('Données projet'!$A$88&gt;35,BD44+BC45-BL44,IF(A45&lt;'Données projet'!$A$88,$BA$205^A45,IF(A45='Données projet'!$A$88,'Données projet'!$B$88,BD44+BC45-BL44)))</f>
        <v>185.59999999999997</v>
      </c>
      <c r="BE45" s="14">
        <f>BD45*VLOOKUP('Données projet'!$B$11,Paramètres!$A$1:$I$89,3,0)*VLOOKUP('Données projet'!$B$11,Paramètres!$A$1:$I$89,5,0)</f>
        <v>159.24479999999997</v>
      </c>
      <c r="BF45" s="14">
        <f t="shared" si="37"/>
        <v>40.672131063901716</v>
      </c>
      <c r="BG45" s="22">
        <f t="shared" si="7"/>
        <v>348.18865493629545</v>
      </c>
      <c r="BH45" s="60">
        <f t="shared" si="8"/>
        <v>641.52198826962876</v>
      </c>
      <c r="BI45" s="60">
        <f ca="1">AVERAGE(OFFSET($BH$3,0,0,'Données projet'!$E$11+1,1))-AVERAGE(OFFSET($H$3,0,0,'Données projet'!$E$11+1,1))</f>
        <v>556.75475431848258</v>
      </c>
      <c r="BJ45" s="60">
        <f t="shared" si="38"/>
        <v>256.77417912163997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8.2000000000000064</v>
      </c>
      <c r="BY45" s="13">
        <f>IF('Données projet'!$A$114&gt;35,BY44+BX45-CG44,IF(A45&lt;'Données projet'!$A$114,$BV$205^A45,IF(A45='Données projet'!$A$114,'Données projet'!$B$114,BY44+BX45-CG44)))</f>
        <v>180.00000000000003</v>
      </c>
      <c r="BZ45" s="14">
        <f>BY45*VLOOKUP('Données projet'!$B$12,Paramètres!$A$1:$I$89,3,0)*VLOOKUP('Données projet'!$B$12,Paramètres!$A$1:$I$89,5,0)</f>
        <v>131.97600000000003</v>
      </c>
      <c r="CA45" s="14">
        <f t="shared" si="39"/>
        <v>34.452553259401945</v>
      </c>
      <c r="CB45" s="22">
        <f t="shared" si="10"/>
        <v>289.86306359345843</v>
      </c>
      <c r="CC45" s="60">
        <f t="shared" si="11"/>
        <v>583.19639692679175</v>
      </c>
      <c r="CD45" s="60">
        <f ca="1">AVERAGE(OFFSET($CC$3,0,0,'Données projet'!$E$12+1,1))-AVERAGE(OFFSET($H$3,0,0,'Données projet'!$E$12+1,1))</f>
        <v>290.68086183422963</v>
      </c>
      <c r="CE45" s="60">
        <f t="shared" si="40"/>
        <v>317.88330630101785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6.4</v>
      </c>
      <c r="CT45" s="13">
        <f>IF('Données projet'!$A$140&gt;35,CT44+CS45-DB44,IF(A45&lt;'Données projet'!$A$140,$CQ$205^A45,IF(A45='Données projet'!$A$140,'Données projet'!$B$140,CT44+CS45-DB44)))</f>
        <v>179.8</v>
      </c>
      <c r="CU45" s="18">
        <f>CT45*VLOOKUP('Données projet'!$B$13,Paramètres!$A$1:$I$89,3,0)*VLOOKUP('Données projet'!$B$13,Paramètres!$A$1:$I$89,5,0)</f>
        <v>117.80496000000001</v>
      </c>
      <c r="CV45" s="14">
        <f t="shared" si="41"/>
        <v>31.162493487829593</v>
      </c>
      <c r="CW45" s="22">
        <f t="shared" si="13"/>
        <v>259.45164815796988</v>
      </c>
      <c r="CX45" s="60">
        <f t="shared" si="14"/>
        <v>552.78498149130314</v>
      </c>
      <c r="CY45" s="60">
        <f ca="1">AVERAGE(OFFSET($CX$3,0,0,'Données projet'!$E$13+1,1))-AVERAGE(OFFSET($H$3,0,0,'Données projet'!$E$13+1,1))</f>
        <v>243.04319555814601</v>
      </c>
      <c r="CZ45" s="60">
        <f t="shared" si="42"/>
        <v>235.68746142880792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278</v>
      </c>
      <c r="DM45" s="13">
        <f>VLOOKUP(A45,'Données projet'!$A$165:$I$185,9,0)</f>
        <v>19</v>
      </c>
      <c r="DN45" s="13">
        <f t="array" ref="DN45">INDEX(DM:DM,MIN(IF(ISNUMBER(DM45:DM241),ROW(DM45:DM241),"")))</f>
        <v>19</v>
      </c>
      <c r="DO45" s="13">
        <f>IF('Données projet'!$A$166&gt;35,DO44+DN45-DW44,IF(A45&lt;'Données projet'!$A$166,$DL$205^A45,IF(A45='Données projet'!$A$166,'Données projet'!$B$166,DO44+DN45-DW44)))</f>
        <v>278</v>
      </c>
      <c r="DP45" s="18">
        <f>DO45*VLOOKUP('Données projet'!$B$14,Paramètres!$A$1:$I$89,3,0)*VLOOKUP('Données projet'!$B$14,Paramètres!$A$1:$I$89,5,0)</f>
        <v>151.78799999999998</v>
      </c>
      <c r="DQ45" s="14">
        <f t="shared" si="43"/>
        <v>38.984634390835623</v>
      </c>
      <c r="DR45" s="22">
        <f t="shared" si="16"/>
        <v>332.26233823070532</v>
      </c>
      <c r="DS45" s="60">
        <f t="shared" si="17"/>
        <v>625.59567156403864</v>
      </c>
      <c r="DT45" s="60">
        <f ca="1">AVERAGE(OFFSET($DS$3,0,0,'Données projet'!$E$14+1,1))-AVERAGE(OFFSET($H$3,0,0,'Données projet'!$E$14+1,1))</f>
        <v>201.4732637505823</v>
      </c>
      <c r="DU45" s="60">
        <f t="shared" si="44"/>
        <v>342.06887933351783</v>
      </c>
      <c r="DV45" s="16">
        <f>IF(ISNA(VLOOKUP(A45,'Données projet'!$A$165:$I$185,3,0)),0,VLOOKUP(A45,'Données projet'!$A$165:$I$185,3,0))</f>
        <v>7</v>
      </c>
      <c r="DW45" s="16">
        <f>IF(ISNA(VLOOKUP(A45,'Données projet'!$A$165:$I$185,4,0)),0,VLOOKUP(A45,'Données projet'!$A$165:$I$185,4,0))</f>
        <v>278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5.2084146673541722</v>
      </c>
      <c r="EB45" s="23">
        <f>EXP(-LN(2)/25)*EB44+(1-EXP(-LN(2)/25))/(LN(2)/25)*Calculateur!DW45*Calculateur!DY45*VLOOKUP('Données projet'!$B$14,Paramètres!$A$1:$I$89,3,0)*0.475*44/12</f>
        <v>18.958286420159276</v>
      </c>
      <c r="EC45" s="23">
        <f>EXP(-LN(2)/2)*EC44+(1-EXP(-LN(2)/2))/(LN(2)/2)*DW45*DZ45*VLOOKUP('Données projet'!$B$14,Paramètres!$A$1:$I$89,3,0)*0.475*44/12</f>
        <v>0.20933057882799977</v>
      </c>
      <c r="ED45" s="24">
        <f t="shared" si="18"/>
        <v>24.376031666341447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13.141346153846158</v>
      </c>
      <c r="EJ45" s="13">
        <f>IF('Données projet'!$A$192&gt;35,EJ44+EI45-ER44,IF(A45&lt;'Données projet'!$A$192,$EG$205^A45,IF(A45='Données projet'!$A$192,'Données projet'!$B$192,EJ44+EI45-ER44)))</f>
        <v>276.87115384615373</v>
      </c>
      <c r="EK45" s="18">
        <f>EJ45*VLOOKUP('Données projet'!$B$15,Paramètres!$A$1:$I$89,3,0)*VLOOKUP('Données projet'!$B$15,Paramètres!$A$1:$I$89,5,0)</f>
        <v>165.56894999999994</v>
      </c>
      <c r="EL45" s="14">
        <f t="shared" si="45"/>
        <v>42.096095514085782</v>
      </c>
      <c r="EM45" s="22">
        <f t="shared" si="19"/>
        <v>361.68328760369928</v>
      </c>
      <c r="EN45" s="60">
        <f t="shared" si="20"/>
        <v>655.0166209370326</v>
      </c>
      <c r="EO45" s="60">
        <f ca="1">AVERAGE(OFFSET($EN$3,0,0,'Données projet'!$E$15+1,1))-AVERAGE(OFFSET($H$3,0,0,'Données projet'!$E$15+1,1))</f>
        <v>260.01925143568263</v>
      </c>
      <c r="EP45" s="60">
        <f t="shared" si="46"/>
        <v>269.95358755269427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11.205410706104866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11.205410706104866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7.6</v>
      </c>
      <c r="FE45" s="13">
        <f>IF('Données projet'!$A$218&gt;35,FE44+FD45-FM44,IF(A45&lt;'Données projet'!$A$218,$FB$205^A45,IF(A45='Données projet'!$A$218,'Données projet'!$B$218,FE44+FD45-FM44)))</f>
        <v>167.20000000000002</v>
      </c>
      <c r="FF45" s="18">
        <f>FE45*VLOOKUP('Données projet'!$B$16,Paramètres!$A$1:$I$89,3,0)*VLOOKUP('Données projet'!$B$16,Paramètres!$A$1:$I$89,5,0)</f>
        <v>135.63264000000004</v>
      </c>
      <c r="FG45" s="14">
        <f t="shared" si="47"/>
        <v>35.294666721954265</v>
      </c>
      <c r="FH45" s="22">
        <f t="shared" si="22"/>
        <v>297.69839254073707</v>
      </c>
      <c r="FI45" s="60">
        <f t="shared" si="23"/>
        <v>591.03172587407039</v>
      </c>
      <c r="FJ45" s="60">
        <f ca="1">AVERAGE(OFFSET($FI$3,0,0,'Données projet'!$E$16+1,1))-AVERAGE(OFFSET($H$3,0,0,'Données projet'!$E$16+1,1))</f>
        <v>256.19915261735281</v>
      </c>
      <c r="FK45" s="60">
        <f t="shared" si="48"/>
        <v>297.47246687305056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9.25</v>
      </c>
      <c r="FZ45" s="13">
        <f>IF('Données projet'!$A$244&gt;35,FZ44+FY45-GH44,IF(A45&lt;'Données projet'!$A$244,$FW$205^A45,IF(A45='Données projet'!$A$244,'Données projet'!$B$244,FZ44+FY45-GH44)))</f>
        <v>203.20000000000005</v>
      </c>
      <c r="GA45" s="18">
        <f>FZ45*VLOOKUP('Données projet'!$B$17,Paramètres!$A$1:$I$89,3,0)*VLOOKUP('Données projet'!$B$17,Paramètres!$A$1:$I$89,5,0)</f>
        <v>116.23040000000002</v>
      </c>
      <c r="GB45" s="14">
        <f t="shared" si="49"/>
        <v>30.794175491293117</v>
      </c>
      <c r="GC45" s="22">
        <f t="shared" si="25"/>
        <v>256.06780231400222</v>
      </c>
      <c r="GD45" s="60">
        <f t="shared" si="26"/>
        <v>549.40113564733554</v>
      </c>
      <c r="GE45" s="60">
        <f ca="1">AVERAGE(OFFSET($GD$3,0,0,'Données projet'!$E$17+1,1))-AVERAGE(OFFSET($H$3,0,0,'Données projet'!$E$17+1,1))</f>
        <v>268.71641789629319</v>
      </c>
      <c r="GF45" s="60">
        <f t="shared" si="50"/>
        <v>199.94048514486104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1.505506926698148</v>
      </c>
      <c r="GN45" s="23">
        <f>EXP(-LN(2)/2)*GN44+(1-EXP(-LN(2)/2))/(LN(2)/2)*GH45*GK45*VLOOKUP('Données projet'!$B$17,Paramètres!$A$1:$I$89,3,0)*0.475*44/12</f>
        <v>0.10899555109359706</v>
      </c>
      <c r="GO45" s="23">
        <f t="shared" si="27"/>
        <v>1.6145024777917452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11.861538461538462</v>
      </c>
      <c r="GU45" s="13">
        <f>IF('Données projet'!$A$270&gt;35,GU44+GT45-HC44,IF(A45&lt;'Données projet'!$A$270,$GR$205^A45,IF(A45='Données projet'!$A$270,'Données projet'!$B$270,GU44+GT45-HC44)))</f>
        <v>196.19230769230765</v>
      </c>
      <c r="GV45" s="18">
        <f>GU45*VLOOKUP('Données projet'!$B$18,Paramètres!$A$1:$I$89,3,0)*VLOOKUP('Données projet'!$B$18,Paramètres!$A$1:$I$89,5,0)</f>
        <v>117.32299999999999</v>
      </c>
      <c r="GW45" s="14">
        <f t="shared" si="51"/>
        <v>31.049815552357138</v>
      </c>
      <c r="GX45" s="22">
        <f t="shared" si="28"/>
        <v>258.41598708702196</v>
      </c>
      <c r="GY45" s="60">
        <f t="shared" si="29"/>
        <v>551.74932042035528</v>
      </c>
      <c r="GZ45" s="60">
        <f ca="1">AVERAGE(OFFSET($GY$3,0,0,'Données projet'!$E$18+1,1))-AVERAGE(OFFSET($H$3,0,0,'Données projet'!$E$18+1,1))</f>
        <v>289.12367833861299</v>
      </c>
      <c r="HA45" s="60">
        <f t="shared" si="52"/>
        <v>229.06617320689003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6.4794298094147648E-2</v>
      </c>
      <c r="HJ45" s="24">
        <f t="shared" si="30"/>
        <v>6.4794298094147648E-2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0">
        <f t="shared" si="0"/>
        <v>614.84427332521136</v>
      </c>
      <c r="S46" s="60">
        <f ca="1">AVERAGE(OFFSET($R$3,0,0,'Données projet'!$E$9+1,1))-AVERAGE(OFFSET($H$3,0,0,'Données projet'!$E$9+1,1))</f>
        <v>430.11660085503223</v>
      </c>
      <c r="T46" s="60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17.519780219780223</v>
      </c>
      <c r="AI46" s="14">
        <f>IF('Données projet'!$A$62&gt;35,AI45+AH46-AQ45,IF(A46&lt;'Données projet'!$A$62,$AF$205^A46,IF(A46='Données projet'!$A$62,'Données projet'!$B$62,AI45+AH46-AQ45)))</f>
        <v>299.45054945054954</v>
      </c>
      <c r="AJ46" s="14">
        <f>AI46*VLOOKUP('Données projet'!$B$10,Paramètres!$A$1:$I$89,3,0)*VLOOKUP('Données projet'!$B$10,Paramètres!$A$1:$I$89,5,0)</f>
        <v>167.3928571428572</v>
      </c>
      <c r="AK46" s="14">
        <f t="shared" si="35"/>
        <v>42.505586135425617</v>
      </c>
      <c r="AL46" s="22">
        <f t="shared" si="4"/>
        <v>365.57312204300916</v>
      </c>
      <c r="AM46" s="60">
        <f t="shared" si="5"/>
        <v>658.90645537634248</v>
      </c>
      <c r="AN46" s="60">
        <f ca="1">AVERAGE(OFFSET($AM$3,0,0,'Données projet'!$E$10+1,1))-AVERAGE(OFFSET($H$3,0,0,'Données projet'!$E$10+1,1))</f>
        <v>323.98185264074681</v>
      </c>
      <c r="AO46" s="60">
        <f t="shared" si="36"/>
        <v>301.22207291854005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3.4494485306981622</v>
      </c>
      <c r="AV46" s="23">
        <f>EXP(-LN(2)/25)*AV45+(1-EXP(-LN(2)/25))/(LN(2)/25)*Calculateur!AQ46*Calculateur!AS46*VLOOKUP('Données projet'!$B$10,Paramètres!$A$1:$I$89,3,0)*0.475*44/12</f>
        <v>5.751434469446365</v>
      </c>
      <c r="AW46" s="23">
        <f>EXP(-LN(2)/2)*AW45+(1-EXP(-LN(2)/2))/(LN(2)/2)*AQ46*AT46*VLOOKUP('Données projet'!$B$10,Paramètres!$A$1:$I$89,3,0)*0.475*44/12</f>
        <v>6.7261402176000823E-2</v>
      </c>
      <c r="AX46" s="23">
        <f t="shared" si="6"/>
        <v>9.2681444023205284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</v>
      </c>
      <c r="BD46" s="13">
        <f>IF('Données projet'!$A$88&gt;35,BD45+BC46-BL45,IF(A46&lt;'Données projet'!$A$88,$BA$205^A46,IF(A46='Données projet'!$A$88,'Données projet'!$B$88,BD45+BC46-BL45)))</f>
        <v>196.39999999999998</v>
      </c>
      <c r="BE46" s="14">
        <f>BD46*VLOOKUP('Données projet'!$B$11,Paramètres!$A$1:$I$89,3,0)*VLOOKUP('Données projet'!$B$11,Paramètres!$A$1:$I$89,5,0)</f>
        <v>168.5112</v>
      </c>
      <c r="BF46" s="14">
        <f t="shared" si="37"/>
        <v>42.756411401172556</v>
      </c>
      <c r="BG46" s="22">
        <f t="shared" si="7"/>
        <v>367.95775652370889</v>
      </c>
      <c r="BH46" s="60">
        <f t="shared" si="8"/>
        <v>661.29108985704215</v>
      </c>
      <c r="BI46" s="60">
        <f ca="1">AVERAGE(OFFSET($BH$3,0,0,'Données projet'!$E$11+1,1))-AVERAGE(OFFSET($H$3,0,0,'Données projet'!$E$11+1,1))</f>
        <v>556.75475431848258</v>
      </c>
      <c r="BJ46" s="60">
        <f t="shared" si="38"/>
        <v>256.77417912163997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8.2000000000000064</v>
      </c>
      <c r="BY46" s="13">
        <f>IF('Données projet'!$A$114&gt;35,BY45+BX46-CG45,IF(A46&lt;'Données projet'!$A$114,$BV$205^A46,IF(A46='Données projet'!$A$114,'Données projet'!$B$114,BY45+BX46-CG45)))</f>
        <v>188.20000000000005</v>
      </c>
      <c r="BZ46" s="14">
        <f>BY46*VLOOKUP('Données projet'!$B$12,Paramètres!$A$1:$I$89,3,0)*VLOOKUP('Données projet'!$B$12,Paramètres!$A$1:$I$89,5,0)</f>
        <v>137.98824000000005</v>
      </c>
      <c r="CA46" s="14">
        <f t="shared" si="39"/>
        <v>35.83575202197639</v>
      </c>
      <c r="CB46" s="22">
        <f t="shared" si="10"/>
        <v>302.74345277160899</v>
      </c>
      <c r="CC46" s="60">
        <f t="shared" si="11"/>
        <v>596.07678610494236</v>
      </c>
      <c r="CD46" s="60">
        <f ca="1">AVERAGE(OFFSET($CC$3,0,0,'Données projet'!$E$12+1,1))-AVERAGE(OFFSET($H$3,0,0,'Données projet'!$E$12+1,1))</f>
        <v>290.68086183422963</v>
      </c>
      <c r="CE46" s="60">
        <f t="shared" si="40"/>
        <v>317.88330630101785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6.4</v>
      </c>
      <c r="CT46" s="13">
        <f>IF('Données projet'!$A$140&gt;35,CT45+CS46-DB45,IF(A46&lt;'Données projet'!$A$140,$CQ$205^A46,IF(A46='Données projet'!$A$140,'Données projet'!$B$140,CT45+CS46-DB45)))</f>
        <v>186.20000000000002</v>
      </c>
      <c r="CU46" s="18">
        <f>CT46*VLOOKUP('Données projet'!$B$13,Paramètres!$A$1:$I$89,3,0)*VLOOKUP('Données projet'!$B$13,Paramètres!$A$1:$I$89,5,0)</f>
        <v>121.99824000000001</v>
      </c>
      <c r="CV46" s="14">
        <f t="shared" si="41"/>
        <v>32.140607056687287</v>
      </c>
      <c r="CW46" s="22">
        <f t="shared" si="13"/>
        <v>268.4584919570637</v>
      </c>
      <c r="CX46" s="60">
        <f t="shared" si="14"/>
        <v>561.79182529039701</v>
      </c>
      <c r="CY46" s="60">
        <f ca="1">AVERAGE(OFFSET($CX$3,0,0,'Données projet'!$E$13+1,1))-AVERAGE(OFFSET($H$3,0,0,'Données projet'!$E$13+1,1))</f>
        <v>243.04319555814601</v>
      </c>
      <c r="CZ46" s="60">
        <f t="shared" si="42"/>
        <v>235.68746142880792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0" t="e">
        <f t="shared" si="17"/>
        <v>#NUM!</v>
      </c>
      <c r="DT46" s="60">
        <f ca="1">AVERAGE(OFFSET($DS$3,0,0,'Données projet'!$E$14+1,1))-AVERAGE(OFFSET($H$3,0,0,'Données projet'!$E$14+1,1))</f>
        <v>201.4732637505823</v>
      </c>
      <c r="DU46" s="60">
        <f t="shared" si="44"/>
        <v>342.06887933351783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5.1062808325466191</v>
      </c>
      <c r="EB46" s="23">
        <f>EXP(-LN(2)/25)*EB45+(1-EXP(-LN(2)/25))/(LN(2)/25)*Calculateur!DW46*Calculateur!DY46*VLOOKUP('Données projet'!$B$14,Paramètres!$A$1:$I$89,3,0)*0.475*44/12</f>
        <v>18.439871081027068</v>
      </c>
      <c r="EC46" s="23">
        <f>EXP(-LN(2)/2)*EC45+(1-EXP(-LN(2)/2))/(LN(2)/2)*DW46*DZ46*VLOOKUP('Données projet'!$B$14,Paramètres!$A$1:$I$89,3,0)*0.475*44/12</f>
        <v>0.14801907179898377</v>
      </c>
      <c r="ED46" s="24">
        <f t="shared" si="18"/>
        <v>23.694170985372672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13.141346153846158</v>
      </c>
      <c r="EJ46" s="13">
        <f>IF('Données projet'!$A$192&gt;35,EJ45+EI46-ER45,IF(A46&lt;'Données projet'!$A$192,$EG$205^A46,IF(A46='Données projet'!$A$192,'Données projet'!$B$192,EJ45+EI46-ER45)))</f>
        <v>290.01249999999987</v>
      </c>
      <c r="EK46" s="18">
        <f>EJ46*VLOOKUP('Données projet'!$B$15,Paramètres!$A$1:$I$89,3,0)*VLOOKUP('Données projet'!$B$15,Paramètres!$A$1:$I$89,5,0)</f>
        <v>173.42747499999996</v>
      </c>
      <c r="EL46" s="14">
        <f t="shared" si="45"/>
        <v>43.856769901180428</v>
      </c>
      <c r="EM46" s="22">
        <f t="shared" si="19"/>
        <v>378.43672653622247</v>
      </c>
      <c r="EN46" s="60">
        <f t="shared" si="20"/>
        <v>671.77005986955578</v>
      </c>
      <c r="EO46" s="60">
        <f ca="1">AVERAGE(OFFSET($EN$3,0,0,'Données projet'!$E$15+1,1))-AVERAGE(OFFSET($H$3,0,0,'Données projet'!$E$15+1,1))</f>
        <v>260.01925143568263</v>
      </c>
      <c r="EP46" s="60">
        <f t="shared" si="46"/>
        <v>269.95358755269427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10.985679436783817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10.985679436783817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7.6</v>
      </c>
      <c r="FE46" s="13">
        <f>IF('Données projet'!$A$218&gt;35,FE45+FD46-FM45,IF(A46&lt;'Données projet'!$A$218,$FB$205^A46,IF(A46='Données projet'!$A$218,'Données projet'!$B$218,FE45+FD46-FM45)))</f>
        <v>174.8</v>
      </c>
      <c r="FF46" s="18">
        <f>FE46*VLOOKUP('Données projet'!$B$16,Paramètres!$A$1:$I$89,3,0)*VLOOKUP('Données projet'!$B$16,Paramètres!$A$1:$I$89,5,0)</f>
        <v>141.79776000000004</v>
      </c>
      <c r="FG46" s="14">
        <f t="shared" si="47"/>
        <v>36.708540735279854</v>
      </c>
      <c r="FH46" s="22">
        <f t="shared" si="22"/>
        <v>310.89847378061245</v>
      </c>
      <c r="FI46" s="60">
        <f t="shared" si="23"/>
        <v>604.23180711394571</v>
      </c>
      <c r="FJ46" s="60">
        <f ca="1">AVERAGE(OFFSET($FI$3,0,0,'Données projet'!$E$16+1,1))-AVERAGE(OFFSET($H$3,0,0,'Données projet'!$E$16+1,1))</f>
        <v>256.19915261735281</v>
      </c>
      <c r="FK46" s="60">
        <f t="shared" si="48"/>
        <v>297.47246687305056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9.25</v>
      </c>
      <c r="FZ46" s="13">
        <f>IF('Données projet'!$A$244&gt;35,FZ45+FY46-GH45,IF(A46&lt;'Données projet'!$A$244,$FW$205^A46,IF(A46='Données projet'!$A$244,'Données projet'!$B$244,FZ45+FY46-GH45)))</f>
        <v>212.45000000000005</v>
      </c>
      <c r="GA46" s="18">
        <f>FZ46*VLOOKUP('Données projet'!$B$17,Paramètres!$A$1:$I$89,3,0)*VLOOKUP('Données projet'!$B$17,Paramètres!$A$1:$I$89,5,0)</f>
        <v>121.52140000000003</v>
      </c>
      <c r="GB46" s="14">
        <f t="shared" si="49"/>
        <v>32.029580256859859</v>
      </c>
      <c r="GC46" s="22">
        <f t="shared" si="25"/>
        <v>267.43462394736429</v>
      </c>
      <c r="GD46" s="60">
        <f t="shared" si="26"/>
        <v>560.7679572806976</v>
      </c>
      <c r="GE46" s="60">
        <f ca="1">AVERAGE(OFFSET($GD$3,0,0,'Données projet'!$E$17+1,1))-AVERAGE(OFFSET($H$3,0,0,'Données projet'!$E$17+1,1))</f>
        <v>268.71641789629319</v>
      </c>
      <c r="GF46" s="60">
        <f t="shared" si="50"/>
        <v>199.94048514486104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1.4643387606164187</v>
      </c>
      <c r="GN46" s="23">
        <f>EXP(-LN(2)/2)*GN45+(1-EXP(-LN(2)/2))/(LN(2)/2)*GH46*GK46*VLOOKUP('Données projet'!$B$17,Paramètres!$A$1:$I$89,3,0)*0.475*44/12</f>
        <v>7.7071493297447294E-2</v>
      </c>
      <c r="GO46" s="23">
        <f t="shared" si="27"/>
        <v>1.5414102539138659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11.861538461538462</v>
      </c>
      <c r="GU46" s="13">
        <f>IF('Données projet'!$A$270&gt;35,GU45+GT46-HC45,IF(A46&lt;'Données projet'!$A$270,$GR$205^A46,IF(A46='Données projet'!$A$270,'Données projet'!$B$270,GU45+GT46-HC45)))</f>
        <v>208.05384615384611</v>
      </c>
      <c r="GV46" s="18">
        <f>GU46*VLOOKUP('Données projet'!$B$18,Paramètres!$A$1:$I$89,3,0)*VLOOKUP('Données projet'!$B$18,Paramètres!$A$1:$I$89,5,0)</f>
        <v>124.41619999999999</v>
      </c>
      <c r="GW46" s="14">
        <f t="shared" si="51"/>
        <v>32.702828934083335</v>
      </c>
      <c r="GX46" s="22">
        <f t="shared" si="28"/>
        <v>273.64897539352847</v>
      </c>
      <c r="GY46" s="60">
        <f t="shared" si="29"/>
        <v>566.98230872686179</v>
      </c>
      <c r="GZ46" s="60">
        <f ca="1">AVERAGE(OFFSET($GY$3,0,0,'Données projet'!$E$18+1,1))-AVERAGE(OFFSET($H$3,0,0,'Données projet'!$E$18+1,1))</f>
        <v>289.12367833861299</v>
      </c>
      <c r="HA46" s="60">
        <f t="shared" si="52"/>
        <v>229.06617320689003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4.5816487564594395E-2</v>
      </c>
      <c r="HJ46" s="24">
        <f t="shared" si="30"/>
        <v>4.5816487564594395E-2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0">
        <f t="shared" si="0"/>
        <v>631.08844392332617</v>
      </c>
      <c r="S47" s="60">
        <f ca="1">AVERAGE(OFFSET($R$3,0,0,'Données projet'!$E$9+1,1))-AVERAGE(OFFSET($H$3,0,0,'Données projet'!$E$9+1,1))</f>
        <v>430.11660085503223</v>
      </c>
      <c r="T47" s="60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17.519780219780223</v>
      </c>
      <c r="AI47" s="14">
        <f>IF('Données projet'!$A$62&gt;35,AI46+AH47-AQ46,IF(A47&lt;'Données projet'!$A$62,$AF$205^A47,IF(A47='Données projet'!$A$62,'Données projet'!$B$62,AI46+AH47-AQ46)))</f>
        <v>316.97032967032976</v>
      </c>
      <c r="AJ47" s="14">
        <f>AI47*VLOOKUP('Données projet'!$B$10,Paramètres!$A$1:$I$89,3,0)*VLOOKUP('Données projet'!$B$10,Paramètres!$A$1:$I$89,5,0)</f>
        <v>177.18641428571433</v>
      </c>
      <c r="AK47" s="14">
        <f t="shared" si="35"/>
        <v>44.695642380138821</v>
      </c>
      <c r="AL47" s="22">
        <f t="shared" si="4"/>
        <v>386.44458202636088</v>
      </c>
      <c r="AM47" s="60">
        <f t="shared" si="5"/>
        <v>679.77791535969413</v>
      </c>
      <c r="AN47" s="60">
        <f ca="1">AVERAGE(OFFSET($AM$3,0,0,'Données projet'!$E$10+1,1))-AVERAGE(OFFSET($H$3,0,0,'Données projet'!$E$10+1,1))</f>
        <v>323.98185264074681</v>
      </c>
      <c r="AO47" s="60">
        <f t="shared" si="36"/>
        <v>301.22207291854005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3.3818069489670264</v>
      </c>
      <c r="AV47" s="23">
        <f>EXP(-LN(2)/25)*AV46+(1-EXP(-LN(2)/25))/(LN(2)/25)*Calculateur!AQ47*Calculateur!AS47*VLOOKUP('Données projet'!$B$10,Paramètres!$A$1:$I$89,3,0)*0.475*44/12</f>
        <v>5.5941611914245604</v>
      </c>
      <c r="AW47" s="23">
        <f>EXP(-LN(2)/2)*AW46+(1-EXP(-LN(2)/2))/(LN(2)/2)*AQ47*AT47*VLOOKUP('Données projet'!$B$10,Paramètres!$A$1:$I$89,3,0)*0.475*44/12</f>
        <v>4.7560993590765786E-2</v>
      </c>
      <c r="AX47" s="23">
        <f t="shared" si="6"/>
        <v>9.0235291339823522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</v>
      </c>
      <c r="BD47" s="13">
        <f>IF('Données projet'!$A$88&gt;35,BD46+BC47-BL46,IF(A47&lt;'Données projet'!$A$88,$BA$205^A47,IF(A47='Données projet'!$A$88,'Données projet'!$B$88,BD46+BC47-BL46)))</f>
        <v>207.2</v>
      </c>
      <c r="BE47" s="14">
        <f>BD47*VLOOKUP('Données projet'!$B$11,Paramètres!$A$1:$I$89,3,0)*VLOOKUP('Données projet'!$B$11,Paramètres!$A$1:$I$89,5,0)</f>
        <v>177.77760000000001</v>
      </c>
      <c r="BF47" s="14">
        <f t="shared" si="37"/>
        <v>44.827386173754917</v>
      </c>
      <c r="BG47" s="22">
        <f t="shared" si="7"/>
        <v>387.70368425262313</v>
      </c>
      <c r="BH47" s="60">
        <f t="shared" si="8"/>
        <v>681.03701758595639</v>
      </c>
      <c r="BI47" s="60">
        <f ca="1">AVERAGE(OFFSET($BH$3,0,0,'Données projet'!$E$11+1,1))-AVERAGE(OFFSET($H$3,0,0,'Données projet'!$E$11+1,1))</f>
        <v>556.75475431848258</v>
      </c>
      <c r="BJ47" s="60">
        <f t="shared" si="38"/>
        <v>256.77417912163997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8.2000000000000064</v>
      </c>
      <c r="BY47" s="13">
        <f>IF('Données projet'!$A$114&gt;35,BY46+BX47-CG46,IF(A47&lt;'Données projet'!$A$114,$BV$205^A47,IF(A47='Données projet'!$A$114,'Données projet'!$B$114,BY46+BX47-CG46)))</f>
        <v>196.40000000000006</v>
      </c>
      <c r="BZ47" s="14">
        <f>BY47*VLOOKUP('Données projet'!$B$12,Paramètres!$A$1:$I$89,3,0)*VLOOKUP('Données projet'!$B$12,Paramètres!$A$1:$I$89,5,0)</f>
        <v>144.00048000000004</v>
      </c>
      <c r="CA47" s="14">
        <f t="shared" si="39"/>
        <v>37.211951137976968</v>
      </c>
      <c r="CB47" s="22">
        <f t="shared" si="10"/>
        <v>315.61165089864329</v>
      </c>
      <c r="CC47" s="60">
        <f t="shared" si="11"/>
        <v>608.9449842319766</v>
      </c>
      <c r="CD47" s="60">
        <f ca="1">AVERAGE(OFFSET($CC$3,0,0,'Données projet'!$E$12+1,1))-AVERAGE(OFFSET($H$3,0,0,'Données projet'!$E$12+1,1))</f>
        <v>290.68086183422963</v>
      </c>
      <c r="CE47" s="60">
        <f t="shared" si="40"/>
        <v>317.88330630101785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126.19152000000003</v>
      </c>
      <c r="CV47" s="14">
        <f t="shared" si="41"/>
        <v>33.114814336101418</v>
      </c>
      <c r="CW47" s="22">
        <f t="shared" si="13"/>
        <v>277.4585323020433</v>
      </c>
      <c r="CX47" s="60">
        <f t="shared" si="14"/>
        <v>570.79186563537655</v>
      </c>
      <c r="CY47" s="60">
        <f ca="1">AVERAGE(OFFSET($CX$3,0,0,'Données projet'!$E$13+1,1))-AVERAGE(OFFSET($H$3,0,0,'Données projet'!$E$13+1,1))</f>
        <v>243.04319555814601</v>
      </c>
      <c r="CZ47" s="60">
        <f t="shared" si="42"/>
        <v>235.68746142880792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0" t="e">
        <f t="shared" si="17"/>
        <v>#NUM!</v>
      </c>
      <c r="DT47" s="60">
        <f ca="1">AVERAGE(OFFSET($DS$3,0,0,'Données projet'!$E$14+1,1))-AVERAGE(OFFSET($H$3,0,0,'Données projet'!$E$14+1,1))</f>
        <v>201.4732637505823</v>
      </c>
      <c r="DU47" s="60">
        <f t="shared" si="44"/>
        <v>342.06887933351783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5.0061497799441543</v>
      </c>
      <c r="EB47" s="23">
        <f>EXP(-LN(2)/25)*EB46+(1-EXP(-LN(2)/25))/(LN(2)/25)*Calculateur!DW47*Calculateur!DY47*VLOOKUP('Données projet'!$B$14,Paramètres!$A$1:$I$89,3,0)*0.475*44/12</f>
        <v>17.935631836605708</v>
      </c>
      <c r="EC47" s="23">
        <f>EXP(-LN(2)/2)*EC46+(1-EXP(-LN(2)/2))/(LN(2)/2)*DW47*DZ47*VLOOKUP('Données projet'!$B$14,Paramètres!$A$1:$I$89,3,0)*0.475*44/12</f>
        <v>0.10466528941399988</v>
      </c>
      <c r="ED47" s="24">
        <f t="shared" si="18"/>
        <v>23.046446905963862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303.15384615384619</v>
      </c>
      <c r="EH47" s="13">
        <f>VLOOKUP(A47,'Données projet'!$A$191:$I$211,9,0)</f>
        <v>13.141346153846158</v>
      </c>
      <c r="EI47" s="13">
        <f t="array" ref="EI47">INDEX(EH:EH,MIN(IF(ISNUMBER(EH47:EH243),ROW(EH47:EH243),"")))</f>
        <v>13.141346153846158</v>
      </c>
      <c r="EJ47" s="13">
        <f>IF('Données projet'!$A$192&gt;35,EJ46+EI47-ER46,IF(A47&lt;'Données projet'!$A$192,$EG$205^A47,IF(A47='Données projet'!$A$192,'Données projet'!$B$192,EJ46+EI47-ER46)))</f>
        <v>303.15384615384602</v>
      </c>
      <c r="EK47" s="18">
        <f>EJ47*VLOOKUP('Données projet'!$B$15,Paramètres!$A$1:$I$89,3,0)*VLOOKUP('Données projet'!$B$15,Paramètres!$A$1:$I$89,5,0)</f>
        <v>181.28599999999992</v>
      </c>
      <c r="EL47" s="14">
        <f t="shared" si="45"/>
        <v>45.608178821536583</v>
      </c>
      <c r="EM47" s="22">
        <f t="shared" si="19"/>
        <v>395.17402811417605</v>
      </c>
      <c r="EN47" s="60">
        <f t="shared" si="20"/>
        <v>688.50736144750931</v>
      </c>
      <c r="EO47" s="60">
        <f ca="1">AVERAGE(OFFSET($EN$3,0,0,'Données projet'!$E$15+1,1))-AVERAGE(OFFSET($H$3,0,0,'Données projet'!$E$15+1,1))</f>
        <v>260.01925143568263</v>
      </c>
      <c r="EP47" s="60">
        <f t="shared" si="46"/>
        <v>269.95358755269427</v>
      </c>
      <c r="EQ47" s="16">
        <f>IF(ISNA(VLOOKUP(A47,'Données projet'!$A$191:$I$211,3,0)),0,VLOOKUP(A47,'Données projet'!$A$191:$I$211,3,0))</f>
        <v>5</v>
      </c>
      <c r="ER47" s="16">
        <f>IF(ISNA(VLOOKUP(A47,'Données projet'!$A$191:$I$211,4,0)),0,VLOOKUP(A47,'Données projet'!$A$191:$I$211,4,0))</f>
        <v>64.476923076923072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10.770256963631313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10.770256963631313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7.6</v>
      </c>
      <c r="FE47" s="13">
        <f>IF('Données projet'!$A$218&gt;35,FE46+FD47-FM46,IF(A47&lt;'Données projet'!$A$218,$FB$205^A47,IF(A47='Données projet'!$A$218,'Données projet'!$B$218,FE46+FD47-FM46)))</f>
        <v>182.4</v>
      </c>
      <c r="FF47" s="18">
        <f>FE47*VLOOKUP('Données projet'!$B$16,Paramètres!$A$1:$I$89,3,0)*VLOOKUP('Données projet'!$B$16,Paramètres!$A$1:$I$89,5,0)</f>
        <v>147.96288000000001</v>
      </c>
      <c r="FG47" s="14">
        <f t="shared" si="47"/>
        <v>38.115275017059226</v>
      </c>
      <c r="FH47" s="22">
        <f t="shared" si="22"/>
        <v>324.0861199880448</v>
      </c>
      <c r="FI47" s="60">
        <f t="shared" si="23"/>
        <v>617.41945332137811</v>
      </c>
      <c r="FJ47" s="60">
        <f ca="1">AVERAGE(OFFSET($FI$3,0,0,'Données projet'!$E$16+1,1))-AVERAGE(OFFSET($H$3,0,0,'Données projet'!$E$16+1,1))</f>
        <v>256.19915261735281</v>
      </c>
      <c r="FK47" s="60">
        <f t="shared" si="48"/>
        <v>297.47246687305056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>
        <f>VLOOKUP(A47,'Données projet'!$A$243:$I$263,2,0)</f>
        <v>221.7</v>
      </c>
      <c r="FX47" s="13">
        <f>VLOOKUP(A47,'Données projet'!$A$243:$I$263,9,0)</f>
        <v>9.25</v>
      </c>
      <c r="FY47" s="13">
        <f t="array" ref="FY47">INDEX(FX:FX,MIN(IF(ISNUMBER(FX47:FX243),ROW(FX47:FX243),"")))</f>
        <v>9.25</v>
      </c>
      <c r="FZ47" s="13">
        <f>IF('Données projet'!$A$244&gt;35,FZ46+FY47-GH46,IF(A47&lt;'Données projet'!$A$244,$FW$205^A47,IF(A47='Données projet'!$A$244,'Données projet'!$B$244,FZ46+FY47-GH46)))</f>
        <v>221.70000000000005</v>
      </c>
      <c r="GA47" s="18">
        <f>FZ47*VLOOKUP('Données projet'!$B$17,Paramètres!$A$1:$I$89,3,0)*VLOOKUP('Données projet'!$B$17,Paramètres!$A$1:$I$89,5,0)</f>
        <v>126.81240000000003</v>
      </c>
      <c r="GB47" s="14">
        <f t="shared" si="49"/>
        <v>33.258737725706673</v>
      </c>
      <c r="GC47" s="22">
        <f t="shared" si="25"/>
        <v>278.79056487227251</v>
      </c>
      <c r="GD47" s="60">
        <f t="shared" si="26"/>
        <v>572.12389820560588</v>
      </c>
      <c r="GE47" s="60">
        <f ca="1">AVERAGE(OFFSET($GD$3,0,0,'Données projet'!$E$17+1,1))-AVERAGE(OFFSET($H$3,0,0,'Données projet'!$E$17+1,1))</f>
        <v>268.71641789629319</v>
      </c>
      <c r="GF47" s="60">
        <f t="shared" si="50"/>
        <v>199.94048514486104</v>
      </c>
      <c r="GG47" s="16">
        <f>IF(ISNA(VLOOKUP(A47,'Données projet'!$A$243:$I$263,3,0)),0,VLOOKUP(A47,'Données projet'!$A$243:$I$263,3,0))</f>
        <v>4</v>
      </c>
      <c r="GH47" s="16">
        <f>IF(ISNA(VLOOKUP(A47,'Données projet'!$A$243:$I$263,4,0)),0,VLOOKUP(A47,'Données projet'!$A$243:$I$263,4,0))</f>
        <v>39.492307692307691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1.4242963402011342</v>
      </c>
      <c r="GN47" s="23">
        <f>EXP(-LN(2)/2)*GN46+(1-EXP(-LN(2)/2))/(LN(2)/2)*GH47*GK47*VLOOKUP('Données projet'!$B$17,Paramètres!$A$1:$I$89,3,0)*0.475*44/12</f>
        <v>5.4497775546798528E-2</v>
      </c>
      <c r="GO47" s="23">
        <f t="shared" si="27"/>
        <v>1.4787941157479327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11.861538461538462</v>
      </c>
      <c r="GU47" s="13">
        <f>IF('Données projet'!$A$270&gt;35,GU46+GT47-HC46,IF(A47&lt;'Données projet'!$A$270,$GR$205^A47,IF(A47='Données projet'!$A$270,'Données projet'!$B$270,GU46+GT47-HC46)))</f>
        <v>219.91538461538457</v>
      </c>
      <c r="GV47" s="18">
        <f>GU47*VLOOKUP('Données projet'!$B$18,Paramètres!$A$1:$I$89,3,0)*VLOOKUP('Données projet'!$B$18,Paramètres!$A$1:$I$89,5,0)</f>
        <v>131.50939999999997</v>
      </c>
      <c r="GW47" s="14">
        <f t="shared" si="51"/>
        <v>34.344902681781569</v>
      </c>
      <c r="GX47" s="22">
        <f t="shared" si="28"/>
        <v>288.86291050410284</v>
      </c>
      <c r="GY47" s="60">
        <f t="shared" si="29"/>
        <v>582.19624383743621</v>
      </c>
      <c r="GZ47" s="60">
        <f ca="1">AVERAGE(OFFSET($GY$3,0,0,'Données projet'!$E$18+1,1))-AVERAGE(OFFSET($H$3,0,0,'Données projet'!$E$18+1,1))</f>
        <v>289.12367833861299</v>
      </c>
      <c r="HA47" s="60">
        <f t="shared" si="52"/>
        <v>229.06617320689003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3.2397149047073824E-2</v>
      </c>
      <c r="HJ47" s="24">
        <f t="shared" si="30"/>
        <v>3.2397149047073824E-2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0">
        <f t="shared" si="0"/>
        <v>647.31542276201071</v>
      </c>
      <c r="S48" s="60">
        <f ca="1">AVERAGE(OFFSET($R$3,0,0,'Données projet'!$E$9+1,1))-AVERAGE(OFFSET($H$3,0,0,'Données projet'!$E$9+1,1))</f>
        <v>430.11660085503223</v>
      </c>
      <c r="T48" s="60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17.519780219780223</v>
      </c>
      <c r="AI48" s="14">
        <f>IF('Données projet'!$A$62&gt;35,AI47+AH48-AQ47,IF(A48&lt;'Données projet'!$A$62,$AF$205^A48,IF(A48='Données projet'!$A$62,'Données projet'!$B$62,AI47+AH48-AQ47)))</f>
        <v>334.49010989010998</v>
      </c>
      <c r="AJ48" s="14">
        <f>AI48*VLOOKUP('Données projet'!$B$10,Paramètres!$A$1:$I$89,3,0)*VLOOKUP('Données projet'!$B$10,Paramètres!$A$1:$I$89,5,0)</f>
        <v>186.9799714285715</v>
      </c>
      <c r="AK48" s="14">
        <f t="shared" si="35"/>
        <v>46.871646064498115</v>
      </c>
      <c r="AL48" s="22">
        <f t="shared" si="4"/>
        <v>407.29156713376295</v>
      </c>
      <c r="AM48" s="60">
        <f t="shared" si="5"/>
        <v>700.62490046709627</v>
      </c>
      <c r="AN48" s="60">
        <f ca="1">AVERAGE(OFFSET($AM$3,0,0,'Données projet'!$E$10+1,1))-AVERAGE(OFFSET($H$3,0,0,'Données projet'!$E$10+1,1))</f>
        <v>323.98185264074681</v>
      </c>
      <c r="AO48" s="60">
        <f t="shared" si="36"/>
        <v>301.22207291854005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3.3154917773963475</v>
      </c>
      <c r="AV48" s="23">
        <f>EXP(-LN(2)/25)*AV47+(1-EXP(-LN(2)/25))/(LN(2)/25)*Calculateur!AQ48*Calculateur!AS48*VLOOKUP('Données projet'!$B$10,Paramètres!$A$1:$I$89,3,0)*0.475*44/12</f>
        <v>5.4411885594609046</v>
      </c>
      <c r="AW48" s="23">
        <f>EXP(-LN(2)/2)*AW47+(1-EXP(-LN(2)/2))/(LN(2)/2)*AQ48*AT48*VLOOKUP('Données projet'!$B$10,Paramètres!$A$1:$I$89,3,0)*0.475*44/12</f>
        <v>3.3630701088000411E-2</v>
      </c>
      <c r="AX48" s="23">
        <f t="shared" si="6"/>
        <v>8.7903110379452531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218</v>
      </c>
      <c r="BB48" s="13">
        <f>VLOOKUP(A48,'Données projet'!$A$87:$I$107,9,0)</f>
        <v>10.8</v>
      </c>
      <c r="BC48" s="13">
        <f t="array" ref="BC48">INDEX(BB:BB,MIN(IF(ISNUMBER(BB48:BB244),ROW(BB48:BB244),"")))</f>
        <v>10.8</v>
      </c>
      <c r="BD48" s="13">
        <f>IF('Données projet'!$A$88&gt;35,BD47+BC48-BL47,IF(A48&lt;'Données projet'!$A$88,$BA$205^A48,IF(A48='Données projet'!$A$88,'Données projet'!$B$88,BD47+BC48-BL47)))</f>
        <v>218</v>
      </c>
      <c r="BE48" s="14">
        <f>BD48*VLOOKUP('Données projet'!$B$11,Paramètres!$A$1:$I$89,3,0)*VLOOKUP('Données projet'!$B$11,Paramètres!$A$1:$I$89,5,0)</f>
        <v>187.04400000000001</v>
      </c>
      <c r="BF48" s="14">
        <f t="shared" si="37"/>
        <v>46.885828015531139</v>
      </c>
      <c r="BG48" s="22">
        <f t="shared" si="7"/>
        <v>407.42778379371674</v>
      </c>
      <c r="BH48" s="60">
        <f t="shared" si="8"/>
        <v>700.76111712705006</v>
      </c>
      <c r="BI48" s="60">
        <f ca="1">AVERAGE(OFFSET($BH$3,0,0,'Données projet'!$E$11+1,1))-AVERAGE(OFFSET($H$3,0,0,'Données projet'!$E$11+1,1))</f>
        <v>556.75475431848258</v>
      </c>
      <c r="BJ48" s="60">
        <f t="shared" si="38"/>
        <v>256.77417912163997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204.60000000000002</v>
      </c>
      <c r="BW48" s="13">
        <f>VLOOKUP(A48,'Données projet'!$A$113:$I$133,9,0)</f>
        <v>8.2000000000000064</v>
      </c>
      <c r="BX48" s="13">
        <f t="array" ref="BX48">INDEX(BW:BW,MIN(IF(ISNUMBER(BW48:BW244),ROW(BW48:BW244),"")))</f>
        <v>8.2000000000000064</v>
      </c>
      <c r="BY48" s="13">
        <f>IF('Données projet'!$A$114&gt;35,BY47+BX48-CG47,IF(A48&lt;'Données projet'!$A$114,$BV$205^A48,IF(A48='Données projet'!$A$114,'Données projet'!$B$114,BY47+BX48-CG47)))</f>
        <v>204.60000000000008</v>
      </c>
      <c r="BZ48" s="14">
        <f>BY48*VLOOKUP('Données projet'!$B$12,Paramètres!$A$1:$I$89,3,0)*VLOOKUP('Données projet'!$B$12,Paramètres!$A$1:$I$89,5,0)</f>
        <v>150.01272000000006</v>
      </c>
      <c r="CA48" s="14">
        <f t="shared" si="39"/>
        <v>38.581476272231662</v>
      </c>
      <c r="CB48" s="22">
        <f t="shared" si="10"/>
        <v>328.46822517413688</v>
      </c>
      <c r="CC48" s="60">
        <f t="shared" si="11"/>
        <v>621.80155850747019</v>
      </c>
      <c r="CD48" s="60">
        <f ca="1">AVERAGE(OFFSET($CC$3,0,0,'Données projet'!$E$12+1,1))-AVERAGE(OFFSET($H$3,0,0,'Données projet'!$E$12+1,1))</f>
        <v>290.68086183422963</v>
      </c>
      <c r="CE48" s="60">
        <f t="shared" si="40"/>
        <v>317.88330630101785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199</v>
      </c>
      <c r="CR48" s="13">
        <f>VLOOKUP(A48,'Données projet'!$A$139:$I$159,9,0)</f>
        <v>6.4</v>
      </c>
      <c r="CS48" s="13">
        <f t="array" ref="CS48">INDEX(CR:CR,MIN(IF(ISNUMBER(CR48:CR244),ROW(CR48:CR244),"")))</f>
        <v>6.4</v>
      </c>
      <c r="CT48" s="13">
        <f>IF('Données projet'!$A$140&gt;35,CT47+CS48-DB47,IF(A48&lt;'Données projet'!$A$140,$CQ$205^A48,IF(A48='Données projet'!$A$140,'Données projet'!$B$140,CT47+CS48-DB47)))</f>
        <v>199.00000000000003</v>
      </c>
      <c r="CU48" s="18">
        <f>CT48*VLOOKUP('Données projet'!$B$13,Paramètres!$A$1:$I$89,3,0)*VLOOKUP('Données projet'!$B$13,Paramètres!$A$1:$I$89,5,0)</f>
        <v>130.38480000000001</v>
      </c>
      <c r="CV48" s="14">
        <f t="shared" si="41"/>
        <v>34.085260013456015</v>
      </c>
      <c r="CW48" s="22">
        <f t="shared" si="13"/>
        <v>286.45202119010253</v>
      </c>
      <c r="CX48" s="60">
        <f t="shared" si="14"/>
        <v>579.7853545234359</v>
      </c>
      <c r="CY48" s="60">
        <f ca="1">AVERAGE(OFFSET($CX$3,0,0,'Données projet'!$E$13+1,1))-AVERAGE(OFFSET($H$3,0,0,'Données projet'!$E$13+1,1))</f>
        <v>243.04319555814601</v>
      </c>
      <c r="CZ48" s="60">
        <f t="shared" si="42"/>
        <v>235.68746142880792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0" t="e">
        <f t="shared" si="17"/>
        <v>#NUM!</v>
      </c>
      <c r="DT48" s="60">
        <f ca="1">AVERAGE(OFFSET($DS$3,0,0,'Données projet'!$E$14+1,1))-AVERAGE(OFFSET($H$3,0,0,'Données projet'!$E$14+1,1))</f>
        <v>201.4732637505823</v>
      </c>
      <c r="DU48" s="60">
        <f t="shared" si="44"/>
        <v>342.06887933351783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4.9079822362093122</v>
      </c>
      <c r="EB48" s="23">
        <f>EXP(-LN(2)/25)*EB47+(1-EXP(-LN(2)/25))/(LN(2)/25)*Calculateur!DW48*Calculateur!DY48*VLOOKUP('Données projet'!$B$14,Paramètres!$A$1:$I$89,3,0)*0.475*44/12</f>
        <v>17.445181040839838</v>
      </c>
      <c r="EC48" s="23">
        <f>EXP(-LN(2)/2)*EC47+(1-EXP(-LN(2)/2))/(LN(2)/2)*DW48*DZ48*VLOOKUP('Données projet'!$B$14,Paramètres!$A$1:$I$89,3,0)*0.475*44/12</f>
        <v>7.4009535899491885E-2</v>
      </c>
      <c r="ED48" s="24">
        <f t="shared" si="18"/>
        <v>22.427172812948641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11.642307692307689</v>
      </c>
      <c r="EJ48" s="13">
        <f>IF('Données projet'!$A$192&gt;35,EJ47+EI48-ER47,IF(A48&lt;'Données projet'!$A$192,$EG$205^A48,IF(A48='Données projet'!$A$192,'Données projet'!$B$192,EJ47+EI48-ER47)))</f>
        <v>250.31923076923061</v>
      </c>
      <c r="EK48" s="18">
        <f>EJ48*VLOOKUP('Données projet'!$B$15,Paramètres!$A$1:$I$89,3,0)*VLOOKUP('Données projet'!$B$15,Paramètres!$A$1:$I$89,5,0)</f>
        <v>149.69089999999991</v>
      </c>
      <c r="EL48" s="14">
        <f t="shared" si="45"/>
        <v>38.508333105793902</v>
      </c>
      <c r="EM48" s="22">
        <f t="shared" si="19"/>
        <v>327.7803309925909</v>
      </c>
      <c r="EN48" s="60">
        <f t="shared" si="20"/>
        <v>621.11366432592422</v>
      </c>
      <c r="EO48" s="60">
        <f ca="1">AVERAGE(OFFSET($EN$3,0,0,'Données projet'!$E$15+1,1))-AVERAGE(OFFSET($H$3,0,0,'Données projet'!$E$15+1,1))</f>
        <v>260.01925143568263</v>
      </c>
      <c r="EP48" s="60">
        <f t="shared" si="46"/>
        <v>269.95358755269427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10.559058793782595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10.559058793782595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190</v>
      </c>
      <c r="FC48" s="13">
        <f>VLOOKUP(A48,'Données projet'!$A$217:$I$237,9,0)</f>
        <v>7.6</v>
      </c>
      <c r="FD48" s="13">
        <f t="array" ref="FD48">INDEX(FC:FC,MIN(IF(ISNUMBER(FC48:FC244),ROW(FC48:FC244),"")))</f>
        <v>7.6</v>
      </c>
      <c r="FE48" s="13">
        <f>IF('Données projet'!$A$218&gt;35,FE47+FD48-FM47,IF(A48&lt;'Données projet'!$A$218,$FB$205^A48,IF(A48='Données projet'!$A$218,'Données projet'!$B$218,FE47+FD48-FM47)))</f>
        <v>190</v>
      </c>
      <c r="FF48" s="18">
        <f>FE48*VLOOKUP('Données projet'!$B$16,Paramètres!$A$1:$I$89,3,0)*VLOOKUP('Données projet'!$B$16,Paramètres!$A$1:$I$89,5,0)</f>
        <v>154.12800000000001</v>
      </c>
      <c r="FG48" s="14">
        <f t="shared" si="47"/>
        <v>39.515201075361155</v>
      </c>
      <c r="FH48" s="22">
        <f t="shared" si="22"/>
        <v>337.26190853958735</v>
      </c>
      <c r="FI48" s="60">
        <f t="shared" si="23"/>
        <v>630.59524187292072</v>
      </c>
      <c r="FJ48" s="60">
        <f ca="1">AVERAGE(OFFSET($FI$3,0,0,'Données projet'!$E$16+1,1))-AVERAGE(OFFSET($H$3,0,0,'Données projet'!$E$16+1,1))</f>
        <v>256.19915261735281</v>
      </c>
      <c r="FK48" s="60">
        <f t="shared" si="48"/>
        <v>297.47246687305056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8.3442307692307658</v>
      </c>
      <c r="FZ48" s="13">
        <f>IF('Données projet'!$A$244&gt;35,FZ47+FY48-GH47,IF(A48&lt;'Données projet'!$A$244,$FW$205^A48,IF(A48='Données projet'!$A$244,'Données projet'!$B$244,FZ47+FY48-GH47)))</f>
        <v>190.55192307692312</v>
      </c>
      <c r="GA48" s="18">
        <f>FZ48*VLOOKUP('Données projet'!$B$17,Paramètres!$A$1:$I$89,3,0)*VLOOKUP('Données projet'!$B$17,Paramètres!$A$1:$I$89,5,0)</f>
        <v>108.99570000000003</v>
      </c>
      <c r="GB48" s="14">
        <f t="shared" si="49"/>
        <v>29.094237497739503</v>
      </c>
      <c r="GC48" s="22">
        <f t="shared" si="25"/>
        <v>240.50664114189635</v>
      </c>
      <c r="GD48" s="60">
        <f t="shared" si="26"/>
        <v>533.83997447522961</v>
      </c>
      <c r="GE48" s="60">
        <f ca="1">AVERAGE(OFFSET($GD$3,0,0,'Données projet'!$E$17+1,1))-AVERAGE(OFFSET($H$3,0,0,'Données projet'!$E$17+1,1))</f>
        <v>268.71641789629319</v>
      </c>
      <c r="GF48" s="60">
        <f t="shared" si="50"/>
        <v>199.94048514486104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1.385348881877845</v>
      </c>
      <c r="GN48" s="23">
        <f>EXP(-LN(2)/2)*GN47+(1-EXP(-LN(2)/2))/(LN(2)/2)*GH48*GK48*VLOOKUP('Données projet'!$B$17,Paramètres!$A$1:$I$89,3,0)*0.475*44/12</f>
        <v>3.8535746648723647E-2</v>
      </c>
      <c r="GO48" s="23">
        <f t="shared" si="27"/>
        <v>1.4238846285265687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11.861538461538462</v>
      </c>
      <c r="GU48" s="13">
        <f>IF('Données projet'!$A$270&gt;35,GU47+GT48-HC47,IF(A48&lt;'Données projet'!$A$270,$GR$205^A48,IF(A48='Données projet'!$A$270,'Données projet'!$B$270,GU47+GT48-HC47)))</f>
        <v>231.77692307692303</v>
      </c>
      <c r="GV48" s="18">
        <f>GU48*VLOOKUP('Données projet'!$B$18,Paramètres!$A$1:$I$89,3,0)*VLOOKUP('Données projet'!$B$18,Paramètres!$A$1:$I$89,5,0)</f>
        <v>138.60259999999997</v>
      </c>
      <c r="GW48" s="14">
        <f t="shared" si="51"/>
        <v>35.976694116938198</v>
      </c>
      <c r="GX48" s="22">
        <f t="shared" si="28"/>
        <v>304.0589372536673</v>
      </c>
      <c r="GY48" s="60">
        <f t="shared" si="29"/>
        <v>597.39227058700067</v>
      </c>
      <c r="GZ48" s="60">
        <f ca="1">AVERAGE(OFFSET($GY$3,0,0,'Données projet'!$E$18+1,1))-AVERAGE(OFFSET($H$3,0,0,'Données projet'!$E$18+1,1))</f>
        <v>289.12367833861299</v>
      </c>
      <c r="HA48" s="60">
        <f t="shared" si="52"/>
        <v>229.06617320689003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2.2908243782297198E-2</v>
      </c>
      <c r="HJ48" s="24">
        <f t="shared" si="30"/>
        <v>2.2908243782297198E-2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0">
        <f t="shared" si="0"/>
        <v>581.91234573782231</v>
      </c>
      <c r="S49" s="60">
        <f ca="1">AVERAGE(OFFSET($R$3,0,0,'Données projet'!$E$9+1,1))-AVERAGE(OFFSET($H$3,0,0,'Données projet'!$E$9+1,1))</f>
        <v>430.11660085503223</v>
      </c>
      <c r="T49" s="60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17.519780219780223</v>
      </c>
      <c r="AI49" s="14">
        <f>IF('Données projet'!$A$62&gt;35,AI48+AH49-AQ48,IF(A49&lt;'Données projet'!$A$62,$AF$205^A49,IF(A49='Données projet'!$A$62,'Données projet'!$B$62,AI48+AH49-AQ48)))</f>
        <v>352.00989010989019</v>
      </c>
      <c r="AJ49" s="14">
        <f>AI49*VLOOKUP('Données projet'!$B$10,Paramètres!$A$1:$I$89,3,0)*VLOOKUP('Données projet'!$B$10,Paramètres!$A$1:$I$89,5,0)</f>
        <v>196.77352857142861</v>
      </c>
      <c r="AK49" s="14">
        <f t="shared" si="35"/>
        <v>49.034417171503861</v>
      </c>
      <c r="AL49" s="22">
        <f t="shared" si="4"/>
        <v>428.11550550227406</v>
      </c>
      <c r="AM49" s="60">
        <f t="shared" si="5"/>
        <v>721.44883883560738</v>
      </c>
      <c r="AN49" s="60">
        <f ca="1">AVERAGE(OFFSET($AM$3,0,0,'Données projet'!$E$10+1,1))-AVERAGE(OFFSET($H$3,0,0,'Données projet'!$E$10+1,1))</f>
        <v>323.98185264074681</v>
      </c>
      <c r="AO49" s="60">
        <f t="shared" si="36"/>
        <v>301.22207291854005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3.2504770058919088</v>
      </c>
      <c r="AV49" s="23">
        <f>EXP(-LN(2)/25)*AV48+(1-EXP(-LN(2)/25))/(LN(2)/25)*Calculateur!AQ49*Calculateur!AS49*VLOOKUP('Données projet'!$B$10,Paramètres!$A$1:$I$89,3,0)*0.475*44/12</f>
        <v>5.2923989721627756</v>
      </c>
      <c r="AW49" s="23">
        <f>EXP(-LN(2)/2)*AW48+(1-EXP(-LN(2)/2))/(LN(2)/2)*AQ49*AT49*VLOOKUP('Données projet'!$B$10,Paramètres!$A$1:$I$89,3,0)*0.475*44/12</f>
        <v>2.3780496795382893E-2</v>
      </c>
      <c r="AX49" s="23">
        <f t="shared" si="6"/>
        <v>8.5666564748500669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173</v>
      </c>
      <c r="BE49" s="14">
        <f>BD49*VLOOKUP('Données projet'!$B$11,Paramètres!$A$1:$I$89,3,0)*VLOOKUP('Données projet'!$B$11,Paramètres!$A$1:$I$89,5,0)</f>
        <v>148.43400000000003</v>
      </c>
      <c r="BF49" s="14">
        <f t="shared" si="37"/>
        <v>38.222489421716382</v>
      </c>
      <c r="BG49" s="22">
        <f t="shared" si="7"/>
        <v>325.0933857428227</v>
      </c>
      <c r="BH49" s="60">
        <f t="shared" si="8"/>
        <v>618.42671907615602</v>
      </c>
      <c r="BI49" s="60">
        <f ca="1">AVERAGE(OFFSET($BH$3,0,0,'Données projet'!$E$11+1,1))-AVERAGE(OFFSET($H$3,0,0,'Données projet'!$E$11+1,1))</f>
        <v>556.75475431848258</v>
      </c>
      <c r="BJ49" s="60">
        <f t="shared" si="38"/>
        <v>256.77417912163997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7.1199999999999992</v>
      </c>
      <c r="BY49" s="13">
        <f>IF('Données projet'!$A$114&gt;35,BY48+BX49-CG48,IF(A49&lt;'Données projet'!$A$114,$BV$205^A49,IF(A49='Données projet'!$A$114,'Données projet'!$B$114,BY48+BX49-CG48)))</f>
        <v>211.72000000000008</v>
      </c>
      <c r="BZ49" s="14">
        <f>BY49*VLOOKUP('Données projet'!$B$12,Paramètres!$A$1:$I$89,3,0)*VLOOKUP('Données projet'!$B$12,Paramètres!$A$1:$I$89,5,0)</f>
        <v>155.23310400000005</v>
      </c>
      <c r="CA49" s="14">
        <f t="shared" si="39"/>
        <v>39.765443377037272</v>
      </c>
      <c r="CB49" s="22">
        <f t="shared" si="10"/>
        <v>339.62247001500663</v>
      </c>
      <c r="CC49" s="60">
        <f t="shared" si="11"/>
        <v>632.95580334833994</v>
      </c>
      <c r="CD49" s="60">
        <f ca="1">AVERAGE(OFFSET($CC$3,0,0,'Données projet'!$E$12+1,1))-AVERAGE(OFFSET($H$3,0,0,'Données projet'!$E$12+1,1))</f>
        <v>290.68086183422963</v>
      </c>
      <c r="CE49" s="60">
        <f t="shared" si="40"/>
        <v>317.88330630101785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5.8</v>
      </c>
      <c r="CT49" s="13">
        <f>IF('Données projet'!$A$140&gt;35,CT48+CS49-DB48,IF(A49&lt;'Données projet'!$A$140,$CQ$205^A49,IF(A49='Données projet'!$A$140,'Données projet'!$B$140,CT48+CS49-DB48)))</f>
        <v>160.80000000000004</v>
      </c>
      <c r="CU49" s="18">
        <f>CT49*VLOOKUP('Données projet'!$B$13,Paramètres!$A$1:$I$89,3,0)*VLOOKUP('Données projet'!$B$13,Paramètres!$A$1:$I$89,5,0)</f>
        <v>105.35616000000003</v>
      </c>
      <c r="CV49" s="14">
        <f t="shared" si="41"/>
        <v>28.234128165723941</v>
      </c>
      <c r="CW49" s="22">
        <f t="shared" si="13"/>
        <v>232.66975188863589</v>
      </c>
      <c r="CX49" s="60">
        <f t="shared" si="14"/>
        <v>526.00308522196917</v>
      </c>
      <c r="CY49" s="60">
        <f ca="1">AVERAGE(OFFSET($CX$3,0,0,'Données projet'!$E$13+1,1))-AVERAGE(OFFSET($H$3,0,0,'Données projet'!$E$13+1,1))</f>
        <v>243.04319555814601</v>
      </c>
      <c r="CZ49" s="60">
        <f t="shared" si="42"/>
        <v>235.68746142880792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0" t="e">
        <f t="shared" si="17"/>
        <v>#NUM!</v>
      </c>
      <c r="DT49" s="60">
        <f ca="1">AVERAGE(OFFSET($DS$3,0,0,'Données projet'!$E$14+1,1))-AVERAGE(OFFSET($H$3,0,0,'Données projet'!$E$14+1,1))</f>
        <v>201.4732637505823</v>
      </c>
      <c r="DU49" s="60">
        <f t="shared" si="44"/>
        <v>342.06887933351783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4.8117396981308209</v>
      </c>
      <c r="EB49" s="23">
        <f>EXP(-LN(2)/25)*EB48+(1-EXP(-LN(2)/25))/(LN(2)/25)*Calculateur!DW49*Calculateur!DY49*VLOOKUP('Données projet'!$B$14,Paramètres!$A$1:$I$89,3,0)*0.475*44/12</f>
        <v>16.968141647875875</v>
      </c>
      <c r="EC49" s="23">
        <f>EXP(-LN(2)/2)*EC48+(1-EXP(-LN(2)/2))/(LN(2)/2)*DW49*DZ49*VLOOKUP('Données projet'!$B$14,Paramètres!$A$1:$I$89,3,0)*0.475*44/12</f>
        <v>5.2332644706999942E-2</v>
      </c>
      <c r="ED49" s="24">
        <f t="shared" si="18"/>
        <v>21.832213990713697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11.642307692307689</v>
      </c>
      <c r="EJ49" s="13">
        <f>IF('Données projet'!$A$192&gt;35,EJ48+EI49-ER48,IF(A49&lt;'Données projet'!$A$192,$EG$205^A49,IF(A49='Données projet'!$A$192,'Données projet'!$B$192,EJ48+EI49-ER48)))</f>
        <v>261.96153846153828</v>
      </c>
      <c r="EK49" s="18">
        <f>EJ49*VLOOKUP('Données projet'!$B$15,Paramètres!$A$1:$I$89,3,0)*VLOOKUP('Données projet'!$B$15,Paramètres!$A$1:$I$89,5,0)</f>
        <v>156.65299999999991</v>
      </c>
      <c r="EL49" s="14">
        <f t="shared" si="45"/>
        <v>40.0866638793565</v>
      </c>
      <c r="EM49" s="22">
        <f t="shared" si="19"/>
        <v>342.65491458987907</v>
      </c>
      <c r="EN49" s="60">
        <f t="shared" si="20"/>
        <v>635.98824792321238</v>
      </c>
      <c r="EO49" s="60">
        <f ca="1">AVERAGE(OFFSET($EN$3,0,0,'Données projet'!$E$15+1,1))-AVERAGE(OFFSET($H$3,0,0,'Données projet'!$E$15+1,1))</f>
        <v>260.01925143568263</v>
      </c>
      <c r="EP49" s="60">
        <f t="shared" si="46"/>
        <v>269.95358755269427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10.352002091226447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10.352002091226447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7.6</v>
      </c>
      <c r="FE49" s="13">
        <f>IF('Données projet'!$A$218&gt;35,FE48+FD49-FM48,IF(A49&lt;'Données projet'!$A$218,$FB$205^A49,IF(A49='Données projet'!$A$218,'Données projet'!$B$218,FE48+FD49-FM48)))</f>
        <v>197.6</v>
      </c>
      <c r="FF49" s="18">
        <f>FE49*VLOOKUP('Données projet'!$B$16,Paramètres!$A$1:$I$89,3,0)*VLOOKUP('Données projet'!$B$16,Paramètres!$A$1:$I$89,5,0)</f>
        <v>160.29311999999999</v>
      </c>
      <c r="FG49" s="14">
        <f t="shared" si="47"/>
        <v>40.908622396455648</v>
      </c>
      <c r="FH49" s="22">
        <f t="shared" si="22"/>
        <v>350.42636800716019</v>
      </c>
      <c r="FI49" s="60">
        <f t="shared" si="23"/>
        <v>643.75970134049351</v>
      </c>
      <c r="FJ49" s="60">
        <f ca="1">AVERAGE(OFFSET($FI$3,0,0,'Données projet'!$E$16+1,1))-AVERAGE(OFFSET($H$3,0,0,'Données projet'!$E$16+1,1))</f>
        <v>256.19915261735281</v>
      </c>
      <c r="FK49" s="60">
        <f t="shared" si="48"/>
        <v>297.47246687305056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8.3442307692307658</v>
      </c>
      <c r="FZ49" s="13">
        <f>IF('Données projet'!$A$244&gt;35,FZ48+FY49-GH48,IF(A49&lt;'Données projet'!$A$244,$FW$205^A49,IF(A49='Données projet'!$A$244,'Données projet'!$B$244,FZ48+FY49-GH48)))</f>
        <v>198.89615384615388</v>
      </c>
      <c r="GA49" s="18">
        <f>FZ49*VLOOKUP('Données projet'!$B$17,Paramètres!$A$1:$I$89,3,0)*VLOOKUP('Données projet'!$B$17,Paramètres!$A$1:$I$89,5,0)</f>
        <v>113.76860000000002</v>
      </c>
      <c r="GB49" s="14">
        <f t="shared" si="49"/>
        <v>30.217147862460379</v>
      </c>
      <c r="GC49" s="22">
        <f t="shared" si="25"/>
        <v>250.77517752711856</v>
      </c>
      <c r="GD49" s="60">
        <f t="shared" si="26"/>
        <v>544.10851086045182</v>
      </c>
      <c r="GE49" s="60">
        <f ca="1">AVERAGE(OFFSET($GD$3,0,0,'Données projet'!$E$17+1,1))-AVERAGE(OFFSET($H$3,0,0,'Données projet'!$E$17+1,1))</f>
        <v>268.71641789629319</v>
      </c>
      <c r="GF49" s="60">
        <f t="shared" si="50"/>
        <v>199.94048514486104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1.3474664438505639</v>
      </c>
      <c r="GN49" s="23">
        <f>EXP(-LN(2)/2)*GN48+(1-EXP(-LN(2)/2))/(LN(2)/2)*GH49*GK49*VLOOKUP('Données projet'!$B$17,Paramètres!$A$1:$I$89,3,0)*0.475*44/12</f>
        <v>2.7248887773399264E-2</v>
      </c>
      <c r="GO49" s="23">
        <f t="shared" si="27"/>
        <v>1.3747153316239631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11.861538461538462</v>
      </c>
      <c r="GU49" s="13">
        <f>IF('Données projet'!$A$270&gt;35,GU48+GT49-HC48,IF(A49&lt;'Données projet'!$A$270,$GR$205^A49,IF(A49='Données projet'!$A$270,'Données projet'!$B$270,GU48+GT49-HC48)))</f>
        <v>243.63846153846148</v>
      </c>
      <c r="GV49" s="18">
        <f>GU49*VLOOKUP('Données projet'!$B$18,Paramètres!$A$1:$I$89,3,0)*VLOOKUP('Données projet'!$B$18,Paramètres!$A$1:$I$89,5,0)</f>
        <v>145.69579999999996</v>
      </c>
      <c r="GW49" s="14">
        <f t="shared" si="51"/>
        <v>37.598789481990465</v>
      </c>
      <c r="GX49" s="22">
        <f t="shared" si="28"/>
        <v>319.23807668113335</v>
      </c>
      <c r="GY49" s="60">
        <f t="shared" si="29"/>
        <v>612.57141001446666</v>
      </c>
      <c r="GZ49" s="60">
        <f ca="1">AVERAGE(OFFSET($GY$3,0,0,'Données projet'!$E$18+1,1))-AVERAGE(OFFSET($H$3,0,0,'Données projet'!$E$18+1,1))</f>
        <v>289.12367833861299</v>
      </c>
      <c r="HA49" s="60">
        <f t="shared" si="52"/>
        <v>229.06617320689003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1.6198574523536912E-2</v>
      </c>
      <c r="HJ49" s="24">
        <f t="shared" si="30"/>
        <v>1.6198574523536912E-2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0">
        <f t="shared" si="0"/>
        <v>597.80704287706749</v>
      </c>
      <c r="S50" s="60">
        <f ca="1">AVERAGE(OFFSET($R$3,0,0,'Données projet'!$E$9+1,1))-AVERAGE(OFFSET($H$3,0,0,'Données projet'!$E$9+1,1))</f>
        <v>430.11660085503223</v>
      </c>
      <c r="T50" s="60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17.519780219780223</v>
      </c>
      <c r="AI50" s="14">
        <f>IF('Données projet'!$A$62&gt;35,AI49+AH50-AQ49,IF(A50&lt;'Données projet'!$A$62,$AF$205^A50,IF(A50='Données projet'!$A$62,'Données projet'!$B$62,AI49+AH50-AQ49)))</f>
        <v>369.52967032967041</v>
      </c>
      <c r="AJ50" s="14">
        <f>AI50*VLOOKUP('Données projet'!$B$10,Paramètres!$A$1:$I$89,3,0)*VLOOKUP('Données projet'!$B$10,Paramètres!$A$1:$I$89,5,0)</f>
        <v>206.56708571428578</v>
      </c>
      <c r="AK50" s="14">
        <f t="shared" si="35"/>
        <v>51.184689450990696</v>
      </c>
      <c r="AL50" s="22">
        <f t="shared" si="4"/>
        <v>448.91767507952318</v>
      </c>
      <c r="AM50" s="60">
        <f t="shared" si="5"/>
        <v>742.25100841285644</v>
      </c>
      <c r="AN50" s="60">
        <f ca="1">AVERAGE(OFFSET($AM$3,0,0,'Données projet'!$E$10+1,1))-AVERAGE(OFFSET($H$3,0,0,'Données projet'!$E$10+1,1))</f>
        <v>323.98185264074681</v>
      </c>
      <c r="AO50" s="60">
        <f t="shared" si="36"/>
        <v>301.22207291854005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3.1867371344015769</v>
      </c>
      <c r="AV50" s="23">
        <f>EXP(-LN(2)/25)*AV49+(1-EXP(-LN(2)/25))/(LN(2)/25)*Calculateur!AQ50*Calculateur!AS50*VLOOKUP('Données projet'!$B$10,Paramètres!$A$1:$I$89,3,0)*0.475*44/12</f>
        <v>5.1476780439538183</v>
      </c>
      <c r="AW50" s="23">
        <f>EXP(-LN(2)/2)*AW49+(1-EXP(-LN(2)/2))/(LN(2)/2)*AQ50*AT50*VLOOKUP('Données projet'!$B$10,Paramètres!$A$1:$I$89,3,0)*0.475*44/12</f>
        <v>1.6815350544000206E-2</v>
      </c>
      <c r="AX50" s="23">
        <f t="shared" si="6"/>
        <v>8.3512305288993964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184</v>
      </c>
      <c r="BE50" s="14">
        <f>BD50*VLOOKUP('Données projet'!$B$11,Paramètres!$A$1:$I$89,3,0)*VLOOKUP('Données projet'!$B$11,Paramètres!$A$1:$I$89,5,0)</f>
        <v>157.87200000000001</v>
      </c>
      <c r="BF50" s="14">
        <f t="shared" si="37"/>
        <v>40.362165684361159</v>
      </c>
      <c r="BG50" s="22">
        <f t="shared" si="7"/>
        <v>345.25783856692902</v>
      </c>
      <c r="BH50" s="60">
        <f t="shared" si="8"/>
        <v>638.59117190026234</v>
      </c>
      <c r="BI50" s="60">
        <f ca="1">AVERAGE(OFFSET($BH$3,0,0,'Données projet'!$E$11+1,1))-AVERAGE(OFFSET($H$3,0,0,'Données projet'!$E$11+1,1))</f>
        <v>556.75475431848258</v>
      </c>
      <c r="BJ50" s="60">
        <f t="shared" si="38"/>
        <v>256.77417912163997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7.1199999999999992</v>
      </c>
      <c r="BY50" s="13">
        <f>IF('Données projet'!$A$114&gt;35,BY49+BX50-CG49,IF(A50&lt;'Données projet'!$A$114,$BV$205^A50,IF(A50='Données projet'!$A$114,'Données projet'!$B$114,BY49+BX50-CG49)))</f>
        <v>218.84000000000009</v>
      </c>
      <c r="BZ50" s="14">
        <f>BY50*VLOOKUP('Données projet'!$B$12,Paramètres!$A$1:$I$89,3,0)*VLOOKUP('Données projet'!$B$12,Paramètres!$A$1:$I$89,5,0)</f>
        <v>160.45348800000008</v>
      </c>
      <c r="CA50" s="14">
        <f t="shared" si="39"/>
        <v>40.944784036070729</v>
      </c>
      <c r="CB50" s="22">
        <f t="shared" si="10"/>
        <v>350.7686571294899</v>
      </c>
      <c r="CC50" s="60">
        <f t="shared" si="11"/>
        <v>644.10199046282321</v>
      </c>
      <c r="CD50" s="60">
        <f ca="1">AVERAGE(OFFSET($CC$3,0,0,'Données projet'!$E$12+1,1))-AVERAGE(OFFSET($H$3,0,0,'Données projet'!$E$12+1,1))</f>
        <v>290.68086183422963</v>
      </c>
      <c r="CE50" s="60">
        <f t="shared" si="40"/>
        <v>317.88330630101785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5.8</v>
      </c>
      <c r="CT50" s="13">
        <f>IF('Données projet'!$A$140&gt;35,CT49+CS50-DB49,IF(A50&lt;'Données projet'!$A$140,$CQ$205^A50,IF(A50='Données projet'!$A$140,'Données projet'!$B$140,CT49+CS50-DB49)))</f>
        <v>166.60000000000005</v>
      </c>
      <c r="CU50" s="18">
        <f>CT50*VLOOKUP('Données projet'!$B$13,Paramètres!$A$1:$I$89,3,0)*VLOOKUP('Données projet'!$B$13,Paramètres!$A$1:$I$89,5,0)</f>
        <v>109.15632000000004</v>
      </c>
      <c r="CV50" s="14">
        <f t="shared" si="41"/>
        <v>29.13211799879036</v>
      </c>
      <c r="CW50" s="22">
        <f t="shared" si="13"/>
        <v>240.85236284789323</v>
      </c>
      <c r="CX50" s="60">
        <f t="shared" si="14"/>
        <v>534.1856961812266</v>
      </c>
      <c r="CY50" s="60">
        <f ca="1">AVERAGE(OFFSET($CX$3,0,0,'Données projet'!$E$13+1,1))-AVERAGE(OFFSET($H$3,0,0,'Données projet'!$E$13+1,1))</f>
        <v>243.04319555814601</v>
      </c>
      <c r="CZ50" s="60">
        <f t="shared" si="42"/>
        <v>235.68746142880792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0" t="e">
        <f t="shared" si="17"/>
        <v>#NUM!</v>
      </c>
      <c r="DT50" s="60">
        <f ca="1">AVERAGE(OFFSET($DS$3,0,0,'Données projet'!$E$14+1,1))-AVERAGE(OFFSET($H$3,0,0,'Données projet'!$E$14+1,1))</f>
        <v>201.4732637505823</v>
      </c>
      <c r="DU50" s="60">
        <f t="shared" si="44"/>
        <v>342.06887933351783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4.7173844175218971</v>
      </c>
      <c r="EB50" s="23">
        <f>EXP(-LN(2)/25)*EB49+(1-EXP(-LN(2)/25))/(LN(2)/25)*Calculateur!DW50*Calculateur!DY50*VLOOKUP('Données projet'!$B$14,Paramètres!$A$1:$I$89,3,0)*0.475*44/12</f>
        <v>16.50414692219892</v>
      </c>
      <c r="EC50" s="23">
        <f>EXP(-LN(2)/2)*EC49+(1-EXP(-LN(2)/2))/(LN(2)/2)*DW50*DZ50*VLOOKUP('Données projet'!$B$14,Paramètres!$A$1:$I$89,3,0)*0.475*44/12</f>
        <v>3.7004767949745943E-2</v>
      </c>
      <c r="ED50" s="24">
        <f t="shared" si="18"/>
        <v>21.258536107670565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11.642307692307689</v>
      </c>
      <c r="EJ50" s="13">
        <f>IF('Données projet'!$A$192&gt;35,EJ49+EI50-ER49,IF(A50&lt;'Données projet'!$A$192,$EG$205^A50,IF(A50='Données projet'!$A$192,'Données projet'!$B$192,EJ49+EI50-ER49)))</f>
        <v>273.60384615384595</v>
      </c>
      <c r="EK50" s="18">
        <f>EJ50*VLOOKUP('Données projet'!$B$15,Paramètres!$A$1:$I$89,3,0)*VLOOKUP('Données projet'!$B$15,Paramètres!$A$1:$I$89,5,0)</f>
        <v>163.61509999999987</v>
      </c>
      <c r="EL50" s="14">
        <f t="shared" si="45"/>
        <v>41.656847972292006</v>
      </c>
      <c r="EM50" s="22">
        <f t="shared" si="19"/>
        <v>357.515309385075</v>
      </c>
      <c r="EN50" s="60">
        <f t="shared" si="20"/>
        <v>650.84864271840831</v>
      </c>
      <c r="EO50" s="60">
        <f ca="1">AVERAGE(OFFSET($EN$3,0,0,'Données projet'!$E$15+1,1))-AVERAGE(OFFSET($H$3,0,0,'Données projet'!$E$15+1,1))</f>
        <v>260.01925143568263</v>
      </c>
      <c r="EP50" s="60">
        <f t="shared" si="46"/>
        <v>269.95358755269427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10.149005644315308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10.149005644315308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7.6</v>
      </c>
      <c r="FE50" s="13">
        <f>IF('Données projet'!$A$218&gt;35,FE49+FD50-FM49,IF(A50&lt;'Données projet'!$A$218,$FB$205^A50,IF(A50='Données projet'!$A$218,'Données projet'!$B$218,FE49+FD50-FM49)))</f>
        <v>205.2</v>
      </c>
      <c r="FF50" s="18">
        <f>FE50*VLOOKUP('Données projet'!$B$16,Paramètres!$A$1:$I$89,3,0)*VLOOKUP('Données projet'!$B$16,Paramètres!$A$1:$I$89,5,0)</f>
        <v>166.45823999999999</v>
      </c>
      <c r="FG50" s="14">
        <f t="shared" si="47"/>
        <v>42.295817799452642</v>
      </c>
      <c r="FH50" s="22">
        <f t="shared" si="22"/>
        <v>363.5799840007133</v>
      </c>
      <c r="FI50" s="60">
        <f t="shared" si="23"/>
        <v>656.91331733404661</v>
      </c>
      <c r="FJ50" s="60">
        <f ca="1">AVERAGE(OFFSET($FI$3,0,0,'Données projet'!$E$16+1,1))-AVERAGE(OFFSET($H$3,0,0,'Données projet'!$E$16+1,1))</f>
        <v>256.19915261735281</v>
      </c>
      <c r="FK50" s="60">
        <f t="shared" si="48"/>
        <v>297.47246687305056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8.3442307692307658</v>
      </c>
      <c r="FZ50" s="13">
        <f>IF('Données projet'!$A$244&gt;35,FZ49+FY50-GH49,IF(A50&lt;'Données projet'!$A$244,$FW$205^A50,IF(A50='Données projet'!$A$244,'Données projet'!$B$244,FZ49+FY50-GH49)))</f>
        <v>207.24038461538464</v>
      </c>
      <c r="GA50" s="18">
        <f>FZ50*VLOOKUP('Données projet'!$B$17,Paramètres!$A$1:$I$89,3,0)*VLOOKUP('Données projet'!$B$17,Paramètres!$A$1:$I$89,5,0)</f>
        <v>118.54150000000001</v>
      </c>
      <c r="GB50" s="14">
        <f t="shared" si="49"/>
        <v>31.334586397273966</v>
      </c>
      <c r="GC50" s="22">
        <f t="shared" si="25"/>
        <v>261.03418380858551</v>
      </c>
      <c r="GD50" s="60">
        <f t="shared" si="26"/>
        <v>554.36751714191882</v>
      </c>
      <c r="GE50" s="60">
        <f ca="1">AVERAGE(OFFSET($GD$3,0,0,'Données projet'!$E$17+1,1))-AVERAGE(OFFSET($H$3,0,0,'Données projet'!$E$17+1,1))</f>
        <v>268.71641789629319</v>
      </c>
      <c r="GF50" s="60">
        <f t="shared" si="50"/>
        <v>199.94048514486104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1.3106199030832897</v>
      </c>
      <c r="GN50" s="23">
        <f>EXP(-LN(2)/2)*GN49+(1-EXP(-LN(2)/2))/(LN(2)/2)*GH50*GK50*VLOOKUP('Données projet'!$B$17,Paramètres!$A$1:$I$89,3,0)*0.475*44/12</f>
        <v>1.9267873324361823E-2</v>
      </c>
      <c r="GO50" s="23">
        <f t="shared" si="27"/>
        <v>1.3298877764076515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11.861538461538462</v>
      </c>
      <c r="GU50" s="13">
        <f>IF('Données projet'!$A$270&gt;35,GU49+GT50-HC49,IF(A50&lt;'Données projet'!$A$270,$GR$205^A50,IF(A50='Données projet'!$A$270,'Données projet'!$B$270,GU49+GT50-HC49)))</f>
        <v>255.49999999999994</v>
      </c>
      <c r="GV50" s="18">
        <f>GU50*VLOOKUP('Données projet'!$B$18,Paramètres!$A$1:$I$89,3,0)*VLOOKUP('Données projet'!$B$18,Paramètres!$A$1:$I$89,5,0)</f>
        <v>152.78899999999996</v>
      </c>
      <c r="GW50" s="14">
        <f t="shared" si="51"/>
        <v>39.211714711932316</v>
      </c>
      <c r="GX50" s="22">
        <f t="shared" si="28"/>
        <v>334.40124478994869</v>
      </c>
      <c r="GY50" s="60">
        <f t="shared" si="29"/>
        <v>627.73457812328206</v>
      </c>
      <c r="GZ50" s="60">
        <f ca="1">AVERAGE(OFFSET($GY$3,0,0,'Données projet'!$E$18+1,1))-AVERAGE(OFFSET($H$3,0,0,'Données projet'!$E$18+1,1))</f>
        <v>289.12367833861299</v>
      </c>
      <c r="HA50" s="60">
        <f t="shared" si="52"/>
        <v>229.06617320689003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1.1454121891148599E-2</v>
      </c>
      <c r="HJ50" s="24">
        <f t="shared" si="30"/>
        <v>1.1454121891148599E-2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0">
        <f t="shared" si="0"/>
        <v>613.68329187962263</v>
      </c>
      <c r="S51" s="60">
        <f ca="1">AVERAGE(OFFSET($R$3,0,0,'Données projet'!$E$9+1,1))-AVERAGE(OFFSET($H$3,0,0,'Données projet'!$E$9+1,1))</f>
        <v>430.11660085503223</v>
      </c>
      <c r="T51" s="60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17.519780219780223</v>
      </c>
      <c r="AI51" s="14">
        <f>IF('Données projet'!$A$62&gt;35,AI50+AH51-AQ50,IF(A51&lt;'Données projet'!$A$62,$AF$205^A51,IF(A51='Données projet'!$A$62,'Données projet'!$B$62,AI50+AH51-AQ50)))</f>
        <v>387.04945054945063</v>
      </c>
      <c r="AJ51" s="14">
        <f>AI51*VLOOKUP('Données projet'!$B$10,Paramètres!$A$1:$I$89,3,0)*VLOOKUP('Données projet'!$B$10,Paramètres!$A$1:$I$89,5,0)</f>
        <v>216.36064285714289</v>
      </c>
      <c r="AK51" s="14">
        <f t="shared" si="35"/>
        <v>53.323123145592824</v>
      </c>
      <c r="AL51" s="22">
        <f t="shared" si="4"/>
        <v>469.69922578809798</v>
      </c>
      <c r="AM51" s="60">
        <f t="shared" si="5"/>
        <v>763.03255912143129</v>
      </c>
      <c r="AN51" s="60">
        <f ca="1">AVERAGE(OFFSET($AM$3,0,0,'Données projet'!$E$10+1,1))-AVERAGE(OFFSET($H$3,0,0,'Données projet'!$E$10+1,1))</f>
        <v>323.98185264074681</v>
      </c>
      <c r="AO51" s="60">
        <f t="shared" si="36"/>
        <v>301.22207291854005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3.1242471629136879</v>
      </c>
      <c r="AV51" s="23">
        <f>EXP(-LN(2)/25)*AV50+(1-EXP(-LN(2)/25))/(LN(2)/25)*Calculateur!AQ51*Calculateur!AS51*VLOOKUP('Données projet'!$B$10,Paramètres!$A$1:$I$89,3,0)*0.475*44/12</f>
        <v>5.006914517137278</v>
      </c>
      <c r="AW51" s="23">
        <f>EXP(-LN(2)/2)*AW50+(1-EXP(-LN(2)/2))/(LN(2)/2)*AQ51*AT51*VLOOKUP('Données projet'!$B$10,Paramètres!$A$1:$I$89,3,0)*0.475*44/12</f>
        <v>1.1890248397691447E-2</v>
      </c>
      <c r="AX51" s="23">
        <f t="shared" si="6"/>
        <v>8.1430519284486564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195</v>
      </c>
      <c r="BE51" s="14">
        <f>BD51*VLOOKUP('Données projet'!$B$11,Paramètres!$A$1:$I$89,3,0)*VLOOKUP('Données projet'!$B$11,Paramètres!$A$1:$I$89,5,0)</f>
        <v>167.31000000000003</v>
      </c>
      <c r="BF51" s="14">
        <f t="shared" si="37"/>
        <v>42.486994942347515</v>
      </c>
      <c r="BG51" s="22">
        <f t="shared" si="7"/>
        <v>365.39643285792198</v>
      </c>
      <c r="BH51" s="60">
        <f t="shared" si="8"/>
        <v>658.72976619125529</v>
      </c>
      <c r="BI51" s="60">
        <f ca="1">AVERAGE(OFFSET($BH$3,0,0,'Données projet'!$E$11+1,1))-AVERAGE(OFFSET($H$3,0,0,'Données projet'!$E$11+1,1))</f>
        <v>556.75475431848258</v>
      </c>
      <c r="BJ51" s="60">
        <f t="shared" si="38"/>
        <v>256.77417912163997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7.1199999999999992</v>
      </c>
      <c r="BY51" s="13">
        <f>IF('Données projet'!$A$114&gt;35,BY50+BX51-CG50,IF(A51&lt;'Données projet'!$A$114,$BV$205^A51,IF(A51='Données projet'!$A$114,'Données projet'!$B$114,BY50+BX51-CG50)))</f>
        <v>225.96000000000009</v>
      </c>
      <c r="BZ51" s="14">
        <f>BY51*VLOOKUP('Données projet'!$B$12,Paramètres!$A$1:$I$89,3,0)*VLOOKUP('Données projet'!$B$12,Paramètres!$A$1:$I$89,5,0)</f>
        <v>165.67387200000007</v>
      </c>
      <c r="CA51" s="14">
        <f t="shared" si="39"/>
        <v>42.119666034700927</v>
      </c>
      <c r="CB51" s="22">
        <f t="shared" si="10"/>
        <v>361.90707874377085</v>
      </c>
      <c r="CC51" s="60">
        <f t="shared" si="11"/>
        <v>655.24041207710411</v>
      </c>
      <c r="CD51" s="60">
        <f ca="1">AVERAGE(OFFSET($CC$3,0,0,'Données projet'!$E$12+1,1))-AVERAGE(OFFSET($H$3,0,0,'Données projet'!$E$12+1,1))</f>
        <v>290.68086183422963</v>
      </c>
      <c r="CE51" s="60">
        <f t="shared" si="40"/>
        <v>317.88330630101785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5.8</v>
      </c>
      <c r="CT51" s="13">
        <f>IF('Données projet'!$A$140&gt;35,CT50+CS51-DB50,IF(A51&lt;'Données projet'!$A$140,$CQ$205^A51,IF(A51='Données projet'!$A$140,'Données projet'!$B$140,CT50+CS51-DB50)))</f>
        <v>172.40000000000006</v>
      </c>
      <c r="CU51" s="18">
        <f>CT51*VLOOKUP('Données projet'!$B$13,Paramètres!$A$1:$I$89,3,0)*VLOOKUP('Données projet'!$B$13,Paramètres!$A$1:$I$89,5,0)</f>
        <v>112.95648000000006</v>
      </c>
      <c r="CV51" s="14">
        <f t="shared" si="41"/>
        <v>30.026475458997034</v>
      </c>
      <c r="CW51" s="22">
        <f t="shared" si="13"/>
        <v>249.02864742441989</v>
      </c>
      <c r="CX51" s="60">
        <f t="shared" si="14"/>
        <v>542.36198075775314</v>
      </c>
      <c r="CY51" s="60">
        <f ca="1">AVERAGE(OFFSET($CX$3,0,0,'Données projet'!$E$13+1,1))-AVERAGE(OFFSET($H$3,0,0,'Données projet'!$E$13+1,1))</f>
        <v>243.04319555814601</v>
      </c>
      <c r="CZ51" s="60">
        <f t="shared" si="42"/>
        <v>235.68746142880792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0" t="e">
        <f t="shared" si="17"/>
        <v>#NUM!</v>
      </c>
      <c r="DT51" s="60">
        <f ca="1">AVERAGE(OFFSET($DS$3,0,0,'Données projet'!$E$14+1,1))-AVERAGE(OFFSET($H$3,0,0,'Données projet'!$E$14+1,1))</f>
        <v>201.4732637505823</v>
      </c>
      <c r="DU51" s="60">
        <f t="shared" si="44"/>
        <v>342.06887933351783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4.6248793864146753</v>
      </c>
      <c r="EB51" s="23">
        <f>EXP(-LN(2)/25)*EB50+(1-EXP(-LN(2)/25))/(LN(2)/25)*Calculateur!DW51*Calculateur!DY51*VLOOKUP('Données projet'!$B$14,Paramètres!$A$1:$I$89,3,0)*0.475*44/12</f>
        <v>16.052840156696025</v>
      </c>
      <c r="EC51" s="23">
        <f>EXP(-LN(2)/2)*EC50+(1-EXP(-LN(2)/2))/(LN(2)/2)*DW51*DZ51*VLOOKUP('Données projet'!$B$14,Paramètres!$A$1:$I$89,3,0)*0.475*44/12</f>
        <v>2.6166322353499971E-2</v>
      </c>
      <c r="ED51" s="24">
        <f t="shared" si="18"/>
        <v>20.703885865464201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11.642307692307689</v>
      </c>
      <c r="EJ51" s="13">
        <f>IF('Données projet'!$A$192&gt;35,EJ50+EI51-ER50,IF(A51&lt;'Données projet'!$A$192,$EG$205^A51,IF(A51='Données projet'!$A$192,'Données projet'!$B$192,EJ50+EI51-ER50)))</f>
        <v>285.24615384615362</v>
      </c>
      <c r="EK51" s="18">
        <f>EJ51*VLOOKUP('Données projet'!$B$15,Paramètres!$A$1:$I$89,3,0)*VLOOKUP('Données projet'!$B$15,Paramètres!$A$1:$I$89,5,0)</f>
        <v>170.57719999999989</v>
      </c>
      <c r="EL51" s="14">
        <f t="shared" si="45"/>
        <v>43.219271671345155</v>
      </c>
      <c r="EM51" s="22">
        <f t="shared" si="19"/>
        <v>372.36218816092588</v>
      </c>
      <c r="EN51" s="60">
        <f t="shared" si="20"/>
        <v>665.6955214942592</v>
      </c>
      <c r="EO51" s="60">
        <f ca="1">AVERAGE(OFFSET($EN$3,0,0,'Données projet'!$E$15+1,1))-AVERAGE(OFFSET($H$3,0,0,'Données projet'!$E$15+1,1))</f>
        <v>260.01925143568263</v>
      </c>
      <c r="EP51" s="60">
        <f t="shared" si="46"/>
        <v>269.95358755269427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9.9499898339124879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9.9499898339124879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7.6</v>
      </c>
      <c r="FE51" s="13">
        <f>IF('Données projet'!$A$218&gt;35,FE50+FD51-FM50,IF(A51&lt;'Données projet'!$A$218,$FB$205^A51,IF(A51='Données projet'!$A$218,'Données projet'!$B$218,FE50+FD51-FM50)))</f>
        <v>212.79999999999998</v>
      </c>
      <c r="FF51" s="18">
        <f>FE51*VLOOKUP('Données projet'!$B$16,Paramètres!$A$1:$I$89,3,0)*VLOOKUP('Données projet'!$B$16,Paramètres!$A$1:$I$89,5,0)</f>
        <v>172.62335999999999</v>
      </c>
      <c r="FG51" s="14">
        <f t="shared" si="47"/>
        <v>43.67704427998607</v>
      </c>
      <c r="FH51" s="22">
        <f t="shared" si="22"/>
        <v>376.72320412097571</v>
      </c>
      <c r="FI51" s="60">
        <f t="shared" si="23"/>
        <v>670.05653745430902</v>
      </c>
      <c r="FJ51" s="60">
        <f ca="1">AVERAGE(OFFSET($FI$3,0,0,'Données projet'!$E$16+1,1))-AVERAGE(OFFSET($H$3,0,0,'Données projet'!$E$16+1,1))</f>
        <v>256.19915261735281</v>
      </c>
      <c r="FK51" s="60">
        <f t="shared" si="48"/>
        <v>297.47246687305056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8.3442307692307658</v>
      </c>
      <c r="FZ51" s="13">
        <f>IF('Données projet'!$A$244&gt;35,FZ50+FY51-GH50,IF(A51&lt;'Données projet'!$A$244,$FW$205^A51,IF(A51='Données projet'!$A$244,'Données projet'!$B$244,FZ50+FY51-GH50)))</f>
        <v>215.5846153846154</v>
      </c>
      <c r="GA51" s="18">
        <f>FZ51*VLOOKUP('Données projet'!$B$17,Paramètres!$A$1:$I$89,3,0)*VLOOKUP('Données projet'!$B$17,Paramètres!$A$1:$I$89,5,0)</f>
        <v>123.31440000000002</v>
      </c>
      <c r="GB51" s="14">
        <f t="shared" si="49"/>
        <v>32.446798621830503</v>
      </c>
      <c r="GC51" s="22">
        <f t="shared" si="25"/>
        <v>271.28408759968812</v>
      </c>
      <c r="GD51" s="60">
        <f t="shared" si="26"/>
        <v>564.61742093302144</v>
      </c>
      <c r="GE51" s="60">
        <f ca="1">AVERAGE(OFFSET($GD$3,0,0,'Données projet'!$E$17+1,1))-AVERAGE(OFFSET($H$3,0,0,'Données projet'!$E$17+1,1))</f>
        <v>268.71641789629319</v>
      </c>
      <c r="GF51" s="60">
        <f t="shared" si="50"/>
        <v>199.94048514486104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1.2747809329109718</v>
      </c>
      <c r="GN51" s="23">
        <f>EXP(-LN(2)/2)*GN50+(1-EXP(-LN(2)/2))/(LN(2)/2)*GH51*GK51*VLOOKUP('Données projet'!$B$17,Paramètres!$A$1:$I$89,3,0)*0.475*44/12</f>
        <v>1.3624443886699632E-2</v>
      </c>
      <c r="GO51" s="23">
        <f t="shared" si="27"/>
        <v>1.2884053767976715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11.861538461538462</v>
      </c>
      <c r="GU51" s="13">
        <f>IF('Données projet'!$A$270&gt;35,GU50+GT51-HC50,IF(A51&lt;'Données projet'!$A$270,$GR$205^A51,IF(A51='Données projet'!$A$270,'Données projet'!$B$270,GU50+GT51-HC50)))</f>
        <v>267.36153846153843</v>
      </c>
      <c r="GV51" s="18">
        <f>GU51*VLOOKUP('Données projet'!$B$18,Paramètres!$A$1:$I$89,3,0)*VLOOKUP('Données projet'!$B$18,Paramètres!$A$1:$I$89,5,0)</f>
        <v>159.88219999999998</v>
      </c>
      <c r="GW51" s="14">
        <f t="shared" si="51"/>
        <v>40.815944149041762</v>
      </c>
      <c r="GX51" s="22">
        <f t="shared" si="28"/>
        <v>349.54926772624771</v>
      </c>
      <c r="GY51" s="60">
        <f t="shared" si="29"/>
        <v>642.88260105958102</v>
      </c>
      <c r="GZ51" s="60">
        <f ca="1">AVERAGE(OFFSET($GY$3,0,0,'Données projet'!$E$18+1,1))-AVERAGE(OFFSET($H$3,0,0,'Données projet'!$E$18+1,1))</f>
        <v>289.12367833861299</v>
      </c>
      <c r="HA51" s="60">
        <f t="shared" si="52"/>
        <v>229.06617320689003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8.099287261768456E-3</v>
      </c>
      <c r="HJ51" s="24">
        <f t="shared" si="30"/>
        <v>8.099287261768456E-3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0">
        <f t="shared" si="0"/>
        <v>629.54213565092948</v>
      </c>
      <c r="S52" s="60">
        <f ca="1">AVERAGE(OFFSET($R$3,0,0,'Données projet'!$E$9+1,1))-AVERAGE(OFFSET($H$3,0,0,'Données projet'!$E$9+1,1))</f>
        <v>430.11660085503223</v>
      </c>
      <c r="T52" s="60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404.56923076923078</v>
      </c>
      <c r="AG52" s="13">
        <f>VLOOKUP(A52,'Données projet'!$A$61:$I$81,9,0)</f>
        <v>17.519780219780223</v>
      </c>
      <c r="AH52" s="13">
        <f t="array" ref="AH52">INDEX(AG:AG,MIN(IF(ISNUMBER(AG52:AG248),ROW(AG52:AG248),"")))</f>
        <v>17.519780219780223</v>
      </c>
      <c r="AI52" s="14">
        <f>IF('Données projet'!$A$62&gt;35,AI51+AH52-AQ51,IF(A52&lt;'Données projet'!$A$62,$AF$205^A52,IF(A52='Données projet'!$A$62,'Données projet'!$B$62,AI51+AH52-AQ51)))</f>
        <v>404.56923076923084</v>
      </c>
      <c r="AJ52" s="14">
        <f>AI52*VLOOKUP('Données projet'!$B$10,Paramètres!$A$1:$I$89,3,0)*VLOOKUP('Données projet'!$B$10,Paramètres!$A$1:$I$89,5,0)</f>
        <v>226.15420000000006</v>
      </c>
      <c r="AK52" s="14">
        <f t="shared" si="35"/>
        <v>55.450315347427065</v>
      </c>
      <c r="AL52" s="22">
        <f t="shared" si="4"/>
        <v>490.46119756343563</v>
      </c>
      <c r="AM52" s="60">
        <f t="shared" si="5"/>
        <v>783.79453089676895</v>
      </c>
      <c r="AN52" s="60">
        <f ca="1">AVERAGE(OFFSET($AM$3,0,0,'Données projet'!$E$10+1,1))-AVERAGE(OFFSET($H$3,0,0,'Données projet'!$E$10+1,1))</f>
        <v>323.98185264074681</v>
      </c>
      <c r="AO52" s="60">
        <f t="shared" si="36"/>
        <v>301.22207291854005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90.453846153846158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3.062982581651557</v>
      </c>
      <c r="AV52" s="23">
        <f>EXP(-LN(2)/25)*AV51+(1-EXP(-LN(2)/25))/(LN(2)/25)*Calculateur!AQ52*Calculateur!AS52*VLOOKUP('Données projet'!$B$10,Paramètres!$A$1:$I$89,3,0)*0.475*44/12</f>
        <v>4.870000176363968</v>
      </c>
      <c r="AW52" s="23">
        <f>EXP(-LN(2)/2)*AW51+(1-EXP(-LN(2)/2))/(LN(2)/2)*AQ52*AT52*VLOOKUP('Données projet'!$B$10,Paramètres!$A$1:$I$89,3,0)*0.475*44/12</f>
        <v>8.4076752720001029E-3</v>
      </c>
      <c r="AX52" s="23">
        <f t="shared" si="6"/>
        <v>7.9413904332875251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206</v>
      </c>
      <c r="BE52" s="14">
        <f>BD52*VLOOKUP('Données projet'!$B$11,Paramètres!$A$1:$I$89,3,0)*VLOOKUP('Données projet'!$B$11,Paramètres!$A$1:$I$89,5,0)</f>
        <v>176.74800000000002</v>
      </c>
      <c r="BF52" s="14">
        <f t="shared" si="37"/>
        <v>44.597910160550732</v>
      </c>
      <c r="BG52" s="22">
        <f t="shared" si="7"/>
        <v>385.51079352962591</v>
      </c>
      <c r="BH52" s="60">
        <f t="shared" si="8"/>
        <v>678.84412686295923</v>
      </c>
      <c r="BI52" s="60">
        <f ca="1">AVERAGE(OFFSET($BH$3,0,0,'Données projet'!$E$11+1,1))-AVERAGE(OFFSET($H$3,0,0,'Données projet'!$E$11+1,1))</f>
        <v>556.75475431848258</v>
      </c>
      <c r="BJ52" s="60">
        <f t="shared" si="38"/>
        <v>256.77417912163997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7.1199999999999992</v>
      </c>
      <c r="BY52" s="13">
        <f>IF('Données projet'!$A$114&gt;35,BY51+BX52-CG51,IF(A52&lt;'Données projet'!$A$114,$BV$205^A52,IF(A52='Données projet'!$A$114,'Données projet'!$B$114,BY51+BX52-CG51)))</f>
        <v>233.0800000000001</v>
      </c>
      <c r="BZ52" s="14">
        <f>BY52*VLOOKUP('Données projet'!$B$12,Paramètres!$A$1:$I$89,3,0)*VLOOKUP('Données projet'!$B$12,Paramètres!$A$1:$I$89,5,0)</f>
        <v>170.89425600000007</v>
      </c>
      <c r="CA52" s="14">
        <f t="shared" si="39"/>
        <v>43.29024598394782</v>
      </c>
      <c r="CB52" s="22">
        <f t="shared" si="10"/>
        <v>373.03800762204258</v>
      </c>
      <c r="CC52" s="60">
        <f t="shared" si="11"/>
        <v>666.3713409553759</v>
      </c>
      <c r="CD52" s="60">
        <f ca="1">AVERAGE(OFFSET($CC$3,0,0,'Données projet'!$E$12+1,1))-AVERAGE(OFFSET($H$3,0,0,'Données projet'!$E$12+1,1))</f>
        <v>290.68086183422963</v>
      </c>
      <c r="CE52" s="60">
        <f t="shared" si="40"/>
        <v>317.88330630101785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5.8</v>
      </c>
      <c r="CT52" s="13">
        <f>IF('Données projet'!$A$140&gt;35,CT51+CS52-DB51,IF(A52&lt;'Données projet'!$A$140,$CQ$205^A52,IF(A52='Données projet'!$A$140,'Données projet'!$B$140,CT51+CS52-DB51)))</f>
        <v>178.20000000000007</v>
      </c>
      <c r="CU52" s="18">
        <f>CT52*VLOOKUP('Données projet'!$B$13,Paramètres!$A$1:$I$89,3,0)*VLOOKUP('Données projet'!$B$13,Paramètres!$A$1:$I$89,5,0)</f>
        <v>116.75664000000003</v>
      </c>
      <c r="CV52" s="14">
        <f t="shared" si="41"/>
        <v>30.91733675897062</v>
      </c>
      <c r="CW52" s="22">
        <f t="shared" si="13"/>
        <v>257.19884285520715</v>
      </c>
      <c r="CX52" s="60">
        <f t="shared" si="14"/>
        <v>550.53217618854046</v>
      </c>
      <c r="CY52" s="60">
        <f ca="1">AVERAGE(OFFSET($CX$3,0,0,'Données projet'!$E$13+1,1))-AVERAGE(OFFSET($H$3,0,0,'Données projet'!$E$13+1,1))</f>
        <v>243.04319555814601</v>
      </c>
      <c r="CZ52" s="60">
        <f t="shared" si="42"/>
        <v>235.68746142880792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0" t="e">
        <f t="shared" si="17"/>
        <v>#NUM!</v>
      </c>
      <c r="DT52" s="60">
        <f ca="1">AVERAGE(OFFSET($DS$3,0,0,'Données projet'!$E$14+1,1))-AVERAGE(OFFSET($H$3,0,0,'Données projet'!$E$14+1,1))</f>
        <v>201.4732637505823</v>
      </c>
      <c r="DU52" s="60">
        <f t="shared" si="44"/>
        <v>342.06887933351783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4.5341883225449688</v>
      </c>
      <c r="EB52" s="23">
        <f>EXP(-LN(2)/25)*EB51+(1-EXP(-LN(2)/25))/(LN(2)/25)*Calculateur!DW52*Calculateur!DY52*VLOOKUP('Données projet'!$B$14,Paramètres!$A$1:$I$89,3,0)*0.475*44/12</f>
        <v>15.613874398428997</v>
      </c>
      <c r="EC52" s="23">
        <f>EXP(-LN(2)/2)*EC51+(1-EXP(-LN(2)/2))/(LN(2)/2)*DW52*DZ52*VLOOKUP('Données projet'!$B$14,Paramètres!$A$1:$I$89,3,0)*0.475*44/12</f>
        <v>1.8502383974872971E-2</v>
      </c>
      <c r="ED52" s="24">
        <f t="shared" si="18"/>
        <v>20.166565104948841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11.642307692307689</v>
      </c>
      <c r="EJ52" s="13">
        <f>IF('Données projet'!$A$192&gt;35,EJ51+EI52-ER51,IF(A52&lt;'Données projet'!$A$192,$EG$205^A52,IF(A52='Données projet'!$A$192,'Données projet'!$B$192,EJ51+EI52-ER51)))</f>
        <v>296.88846153846129</v>
      </c>
      <c r="EK52" s="18">
        <f>EJ52*VLOOKUP('Données projet'!$B$15,Paramètres!$A$1:$I$89,3,0)*VLOOKUP('Données projet'!$B$15,Paramètres!$A$1:$I$89,5,0)</f>
        <v>177.53929999999988</v>
      </c>
      <c r="EL52" s="14">
        <f t="shared" si="45"/>
        <v>44.774287946301975</v>
      </c>
      <c r="EM52" s="22">
        <f t="shared" si="19"/>
        <v>387.19616567314239</v>
      </c>
      <c r="EN52" s="60">
        <f t="shared" si="20"/>
        <v>680.5294990064757</v>
      </c>
      <c r="EO52" s="60">
        <f ca="1">AVERAGE(OFFSET($EN$3,0,0,'Données projet'!$E$15+1,1))-AVERAGE(OFFSET($H$3,0,0,'Données projet'!$E$15+1,1))</f>
        <v>260.01925143568263</v>
      </c>
      <c r="EP52" s="60">
        <f t="shared" si="46"/>
        <v>269.95358755269427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9.7548766021640088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9.7548766021640088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7.6</v>
      </c>
      <c r="FE52" s="13">
        <f>IF('Données projet'!$A$218&gt;35,FE51+FD52-FM51,IF(A52&lt;'Données projet'!$A$218,$FB$205^A52,IF(A52='Données projet'!$A$218,'Données projet'!$B$218,FE51+FD52-FM51)))</f>
        <v>220.39999999999998</v>
      </c>
      <c r="FF52" s="18">
        <f>FE52*VLOOKUP('Données projet'!$B$16,Paramètres!$A$1:$I$89,3,0)*VLOOKUP('Données projet'!$B$16,Paramètres!$A$1:$I$89,5,0)</f>
        <v>178.78847999999999</v>
      </c>
      <c r="FG52" s="14">
        <f t="shared" si="47"/>
        <v>45.052539436241446</v>
      </c>
      <c r="FH52" s="22">
        <f t="shared" si="22"/>
        <v>389.85644218478711</v>
      </c>
      <c r="FI52" s="60">
        <f t="shared" si="23"/>
        <v>683.18977551812043</v>
      </c>
      <c r="FJ52" s="60">
        <f ca="1">AVERAGE(OFFSET($FI$3,0,0,'Données projet'!$E$16+1,1))-AVERAGE(OFFSET($H$3,0,0,'Données projet'!$E$16+1,1))</f>
        <v>256.19915261735281</v>
      </c>
      <c r="FK52" s="60">
        <f t="shared" si="48"/>
        <v>297.47246687305056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8.3442307692307658</v>
      </c>
      <c r="FZ52" s="13">
        <f>IF('Données projet'!$A$244&gt;35,FZ51+FY52-GH51,IF(A52&lt;'Données projet'!$A$244,$FW$205^A52,IF(A52='Données projet'!$A$244,'Données projet'!$B$244,FZ51+FY52-GH51)))</f>
        <v>223.92884615384617</v>
      </c>
      <c r="GA52" s="18">
        <f>FZ52*VLOOKUP('Données projet'!$B$17,Paramètres!$A$1:$I$89,3,0)*VLOOKUP('Données projet'!$B$17,Paramètres!$A$1:$I$89,5,0)</f>
        <v>128.0873</v>
      </c>
      <c r="GB52" s="14">
        <f t="shared" si="49"/>
        <v>33.554009973808697</v>
      </c>
      <c r="GC52" s="22">
        <f t="shared" si="25"/>
        <v>281.52528153771681</v>
      </c>
      <c r="GD52" s="60">
        <f t="shared" si="26"/>
        <v>574.85861487105012</v>
      </c>
      <c r="GE52" s="60">
        <f ca="1">AVERAGE(OFFSET($GD$3,0,0,'Données projet'!$E$17+1,1))-AVERAGE(OFFSET($H$3,0,0,'Données projet'!$E$17+1,1))</f>
        <v>268.71641789629319</v>
      </c>
      <c r="GF52" s="60">
        <f t="shared" si="50"/>
        <v>199.94048514486104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1.2399219812627056</v>
      </c>
      <c r="GN52" s="23">
        <f>EXP(-LN(2)/2)*GN51+(1-EXP(-LN(2)/2))/(LN(2)/2)*GH52*GK52*VLOOKUP('Données projet'!$B$17,Paramètres!$A$1:$I$89,3,0)*0.475*44/12</f>
        <v>9.6339366621809117E-3</v>
      </c>
      <c r="GO52" s="23">
        <f t="shared" si="27"/>
        <v>1.2495559179248865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11.861538461538462</v>
      </c>
      <c r="GU52" s="13">
        <f>IF('Données projet'!$A$270&gt;35,GU51+GT52-HC51,IF(A52&lt;'Données projet'!$A$270,$GR$205^A52,IF(A52='Données projet'!$A$270,'Données projet'!$B$270,GU51+GT52-HC51)))</f>
        <v>279.22307692307692</v>
      </c>
      <c r="GV52" s="18">
        <f>GU52*VLOOKUP('Données projet'!$B$18,Paramètres!$A$1:$I$89,3,0)*VLOOKUP('Données projet'!$B$18,Paramètres!$A$1:$I$89,5,0)</f>
        <v>166.97540000000001</v>
      </c>
      <c r="GW52" s="14">
        <f t="shared" si="51"/>
        <v>42.411907667415186</v>
      </c>
      <c r="GX52" s="22">
        <f t="shared" si="28"/>
        <v>364.68289418741483</v>
      </c>
      <c r="GY52" s="60">
        <f t="shared" si="29"/>
        <v>658.01622752074809</v>
      </c>
      <c r="GZ52" s="60">
        <f ca="1">AVERAGE(OFFSET($GY$3,0,0,'Données projet'!$E$18+1,1))-AVERAGE(OFFSET($H$3,0,0,'Données projet'!$E$18+1,1))</f>
        <v>289.12367833861299</v>
      </c>
      <c r="HA52" s="60">
        <f t="shared" si="52"/>
        <v>229.06617320689003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5.7270609455742994E-3</v>
      </c>
      <c r="HJ52" s="24">
        <f t="shared" si="30"/>
        <v>5.7270609455742994E-3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0">
        <f t="shared" si="0"/>
        <v>645.38451067704386</v>
      </c>
      <c r="S53" s="60">
        <f ca="1">AVERAGE(OFFSET($R$3,0,0,'Données projet'!$E$9+1,1))-AVERAGE(OFFSET($H$3,0,0,'Données projet'!$E$9+1,1))</f>
        <v>430.11660085503223</v>
      </c>
      <c r="T53" s="60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16.227472527472521</v>
      </c>
      <c r="AI53" s="14">
        <f>IF('Données projet'!$A$62&gt;35,AI52+AH53-AQ52,IF(A53&lt;'Données projet'!$A$62,$AF$205^A53,IF(A53='Données projet'!$A$62,'Données projet'!$B$62,AI52+AH53-AQ52)))</f>
        <v>330.34285714285721</v>
      </c>
      <c r="AJ53" s="14">
        <f>AI53*VLOOKUP('Données projet'!$B$10,Paramètres!$A$1:$I$89,3,0)*VLOOKUP('Données projet'!$B$10,Paramètres!$A$1:$I$89,5,0)</f>
        <v>184.66165714285719</v>
      </c>
      <c r="AK53" s="14">
        <f t="shared" si="35"/>
        <v>46.357770619215231</v>
      </c>
      <c r="AL53" s="22">
        <f t="shared" si="4"/>
        <v>402.3588366856095</v>
      </c>
      <c r="AM53" s="60">
        <f t="shared" si="5"/>
        <v>695.69217001894276</v>
      </c>
      <c r="AN53" s="60">
        <f ca="1">AVERAGE(OFFSET($AM$3,0,0,'Données projet'!$E$10+1,1))-AVERAGE(OFFSET($H$3,0,0,'Données projet'!$E$10+1,1))</f>
        <v>323.98185264074681</v>
      </c>
      <c r="AO53" s="60">
        <f t="shared" si="36"/>
        <v>301.22207291854005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3.0029193614602718</v>
      </c>
      <c r="AV53" s="23">
        <f>EXP(-LN(2)/25)*AV52+(1-EXP(-LN(2)/25))/(LN(2)/25)*Calculateur!AQ53*Calculateur!AS53*VLOOKUP('Données projet'!$B$10,Paramètres!$A$1:$I$89,3,0)*0.475*44/12</f>
        <v>4.7368297654391167</v>
      </c>
      <c r="AW53" s="23">
        <f>EXP(-LN(2)/2)*AW52+(1-EXP(-LN(2)/2))/(LN(2)/2)*AQ53*AT53*VLOOKUP('Données projet'!$B$10,Paramètres!$A$1:$I$89,3,0)*0.475*44/12</f>
        <v>5.9451241988457233E-3</v>
      </c>
      <c r="AX53" s="23">
        <f t="shared" si="6"/>
        <v>7.7456942510982341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217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217</v>
      </c>
      <c r="BE53" s="14">
        <f>BD53*VLOOKUP('Données projet'!$B$11,Paramètres!$A$1:$I$89,3,0)*VLOOKUP('Données projet'!$B$11,Paramètres!$A$1:$I$89,5,0)</f>
        <v>186.18600000000001</v>
      </c>
      <c r="BF53" s="14">
        <f t="shared" si="37"/>
        <v>46.695739039470418</v>
      </c>
      <c r="BG53" s="22">
        <f t="shared" si="7"/>
        <v>405.60236216041102</v>
      </c>
      <c r="BH53" s="60">
        <f t="shared" si="8"/>
        <v>698.93569549374433</v>
      </c>
      <c r="BI53" s="60">
        <f ca="1">AVERAGE(OFFSET($BH$3,0,0,'Données projet'!$E$11+1,1))-AVERAGE(OFFSET($H$3,0,0,'Données projet'!$E$11+1,1))</f>
        <v>556.75475431848258</v>
      </c>
      <c r="BJ53" s="60">
        <f t="shared" si="38"/>
        <v>256.77417912163997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240.20000000000002</v>
      </c>
      <c r="BW53" s="13">
        <f>VLOOKUP(A53,'Données projet'!$A$113:$I$133,9,0)</f>
        <v>7.1199999999999992</v>
      </c>
      <c r="BX53" s="13">
        <f t="array" ref="BX53">INDEX(BW:BW,MIN(IF(ISNUMBER(BW53:BW249),ROW(BW53:BW249),"")))</f>
        <v>7.1199999999999992</v>
      </c>
      <c r="BY53" s="13">
        <f>IF('Données projet'!$A$114&gt;35,BY52+BX53-CG52,IF(A53&lt;'Données projet'!$A$114,$BV$205^A53,IF(A53='Données projet'!$A$114,'Données projet'!$B$114,BY52+BX53-CG52)))</f>
        <v>240.2000000000001</v>
      </c>
      <c r="BZ53" s="14">
        <f>BY53*VLOOKUP('Données projet'!$B$12,Paramètres!$A$1:$I$89,3,0)*VLOOKUP('Données projet'!$B$12,Paramètres!$A$1:$I$89,5,0)</f>
        <v>176.11464000000009</v>
      </c>
      <c r="CA53" s="14">
        <f t="shared" si="39"/>
        <v>44.456670383042024</v>
      </c>
      <c r="CB53" s="22">
        <f t="shared" si="10"/>
        <v>384.16169891713162</v>
      </c>
      <c r="CC53" s="60">
        <f t="shared" si="11"/>
        <v>677.49503225046487</v>
      </c>
      <c r="CD53" s="60">
        <f ca="1">AVERAGE(OFFSET($CC$3,0,0,'Données projet'!$E$12+1,1))-AVERAGE(OFFSET($H$3,0,0,'Données projet'!$E$12+1,1))</f>
        <v>290.68086183422963</v>
      </c>
      <c r="CE53" s="60">
        <f t="shared" si="40"/>
        <v>317.88330630101785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38.299999999999997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184</v>
      </c>
      <c r="CR53" s="13">
        <f>VLOOKUP(A53,'Données projet'!$A$139:$I$159,9,0)</f>
        <v>5.8</v>
      </c>
      <c r="CS53" s="13">
        <f t="array" ref="CS53">INDEX(CR:CR,MIN(IF(ISNUMBER(CR53:CR249),ROW(CR53:CR249),"")))</f>
        <v>5.8</v>
      </c>
      <c r="CT53" s="13">
        <f>IF('Données projet'!$A$140&gt;35,CT52+CS53-DB52,IF(A53&lt;'Données projet'!$A$140,$CQ$205^A53,IF(A53='Données projet'!$A$140,'Données projet'!$B$140,CT52+CS53-DB52)))</f>
        <v>184.00000000000009</v>
      </c>
      <c r="CU53" s="18">
        <f>CT53*VLOOKUP('Données projet'!$B$13,Paramètres!$A$1:$I$89,3,0)*VLOOKUP('Données projet'!$B$13,Paramètres!$A$1:$I$89,5,0)</f>
        <v>120.55680000000005</v>
      </c>
      <c r="CV53" s="14">
        <f t="shared" si="41"/>
        <v>31.804828741198808</v>
      </c>
      <c r="CW53" s="22">
        <f t="shared" si="13"/>
        <v>265.36317005758804</v>
      </c>
      <c r="CX53" s="60">
        <f t="shared" si="14"/>
        <v>558.69650339092141</v>
      </c>
      <c r="CY53" s="60">
        <f ca="1">AVERAGE(OFFSET($CX$3,0,0,'Données projet'!$E$13+1,1))-AVERAGE(OFFSET($H$3,0,0,'Données projet'!$E$13+1,1))</f>
        <v>243.04319555814601</v>
      </c>
      <c r="CZ53" s="60">
        <f t="shared" si="42"/>
        <v>235.68746142880792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0" t="e">
        <f t="shared" si="17"/>
        <v>#NUM!</v>
      </c>
      <c r="DT53" s="60">
        <f ca="1">AVERAGE(OFFSET($DS$3,0,0,'Données projet'!$E$14+1,1))-AVERAGE(OFFSET($H$3,0,0,'Données projet'!$E$14+1,1))</f>
        <v>201.4732637505823</v>
      </c>
      <c r="DU53" s="60">
        <f t="shared" si="44"/>
        <v>342.06887933351783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4.4452756551216606</v>
      </c>
      <c r="EB53" s="23">
        <f>EXP(-LN(2)/25)*EB52+(1-EXP(-LN(2)/25))/(LN(2)/25)*Calculateur!DW53*Calculateur!DY53*VLOOKUP('Données projet'!$B$14,Paramètres!$A$1:$I$89,3,0)*0.475*44/12</f>
        <v>15.186912181905988</v>
      </c>
      <c r="EC53" s="23">
        <f>EXP(-LN(2)/2)*EC52+(1-EXP(-LN(2)/2))/(LN(2)/2)*DW53*DZ53*VLOOKUP('Données projet'!$B$14,Paramètres!$A$1:$I$89,3,0)*0.475*44/12</f>
        <v>1.3083161176749986E-2</v>
      </c>
      <c r="ED53" s="24">
        <f t="shared" si="18"/>
        <v>19.645270998204399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11.642307692307689</v>
      </c>
      <c r="EJ53" s="13">
        <f>IF('Données projet'!$A$192&gt;35,EJ52+EI53-ER52,IF(A53&lt;'Données projet'!$A$192,$EG$205^A53,IF(A53='Données projet'!$A$192,'Données projet'!$B$192,EJ52+EI53-ER52)))</f>
        <v>308.53076923076895</v>
      </c>
      <c r="EK53" s="18">
        <f>EJ53*VLOOKUP('Données projet'!$B$15,Paramètres!$A$1:$I$89,3,0)*VLOOKUP('Données projet'!$B$15,Paramètres!$A$1:$I$89,5,0)</f>
        <v>184.50139999999985</v>
      </c>
      <c r="EL53" s="14">
        <f t="shared" si="45"/>
        <v>46.322220516606542</v>
      </c>
      <c r="EM53" s="22">
        <f t="shared" si="19"/>
        <v>402.01780573308946</v>
      </c>
      <c r="EN53" s="60">
        <f t="shared" si="20"/>
        <v>695.35113906642277</v>
      </c>
      <c r="EO53" s="60">
        <f ca="1">AVERAGE(OFFSET($EN$3,0,0,'Données projet'!$E$15+1,1))-AVERAGE(OFFSET($H$3,0,0,'Données projet'!$E$15+1,1))</f>
        <v>260.01925143568263</v>
      </c>
      <c r="EP53" s="60">
        <f t="shared" si="46"/>
        <v>269.95358755269427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9.5635894218827975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9.5635894218827975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228</v>
      </c>
      <c r="FC53" s="13">
        <f>VLOOKUP(A53,'Données projet'!$A$217:$I$237,9,0)</f>
        <v>7.6</v>
      </c>
      <c r="FD53" s="13">
        <f t="array" ref="FD53">INDEX(FC:FC,MIN(IF(ISNUMBER(FC53:FC249),ROW(FC53:FC249),"")))</f>
        <v>7.6</v>
      </c>
      <c r="FE53" s="13">
        <f>IF('Données projet'!$A$218&gt;35,FE52+FD53-FM52,IF(A53&lt;'Données projet'!$A$218,$FB$205^A53,IF(A53='Données projet'!$A$218,'Données projet'!$B$218,FE52+FD53-FM52)))</f>
        <v>227.99999999999997</v>
      </c>
      <c r="FF53" s="18">
        <f>FE53*VLOOKUP('Données projet'!$B$16,Paramètres!$A$1:$I$89,3,0)*VLOOKUP('Données projet'!$B$16,Paramètres!$A$1:$I$89,5,0)</f>
        <v>184.95359999999999</v>
      </c>
      <c r="FG53" s="14">
        <f t="shared" si="47"/>
        <v>46.42252355095799</v>
      </c>
      <c r="FH53" s="22">
        <f t="shared" si="22"/>
        <v>402.98008185125178</v>
      </c>
      <c r="FI53" s="60">
        <f t="shared" si="23"/>
        <v>696.3134151845851</v>
      </c>
      <c r="FJ53" s="60">
        <f ca="1">AVERAGE(OFFSET($FI$3,0,0,'Données projet'!$E$16+1,1))-AVERAGE(OFFSET($H$3,0,0,'Données projet'!$E$16+1,1))</f>
        <v>256.19915261735281</v>
      </c>
      <c r="FK53" s="60">
        <f t="shared" si="48"/>
        <v>297.47246687305056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8.3442307692307658</v>
      </c>
      <c r="FZ53" s="13">
        <f>IF('Données projet'!$A$244&gt;35,FZ52+FY53-GH52,IF(A53&lt;'Données projet'!$A$244,$FW$205^A53,IF(A53='Données projet'!$A$244,'Données projet'!$B$244,FZ52+FY53-GH52)))</f>
        <v>232.27307692307693</v>
      </c>
      <c r="GA53" s="18">
        <f>FZ53*VLOOKUP('Données projet'!$B$17,Paramètres!$A$1:$I$89,3,0)*VLOOKUP('Données projet'!$B$17,Paramètres!$A$1:$I$89,5,0)</f>
        <v>132.86020000000002</v>
      </c>
      <c r="GB53" s="14">
        <f t="shared" si="49"/>
        <v>34.656428138122386</v>
      </c>
      <c r="GC53" s="22">
        <f t="shared" si="25"/>
        <v>291.75812734056319</v>
      </c>
      <c r="GD53" s="60">
        <f t="shared" si="26"/>
        <v>585.09146067389656</v>
      </c>
      <c r="GE53" s="60">
        <f ca="1">AVERAGE(OFFSET($GD$3,0,0,'Données projet'!$E$17+1,1))-AVERAGE(OFFSET($H$3,0,0,'Données projet'!$E$17+1,1))</f>
        <v>268.71641789629319</v>
      </c>
      <c r="GF53" s="60">
        <f t="shared" si="50"/>
        <v>199.94048514486104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1.2060162494804139</v>
      </c>
      <c r="GN53" s="23">
        <f>EXP(-LN(2)/2)*GN52+(1-EXP(-LN(2)/2))/(LN(2)/2)*GH53*GK53*VLOOKUP('Données projet'!$B$17,Paramètres!$A$1:$I$89,3,0)*0.475*44/12</f>
        <v>6.812221943349816E-3</v>
      </c>
      <c r="GO53" s="23">
        <f t="shared" si="27"/>
        <v>1.2128284714237636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291.0846153846154</v>
      </c>
      <c r="GS53" s="13">
        <f>VLOOKUP(A53,'Données projet'!$A$269:$I$289,9,0)</f>
        <v>11.861538461538462</v>
      </c>
      <c r="GT53" s="13">
        <f t="array" ref="GT53">INDEX(GS:GS,MIN(IF(ISNUMBER(GS53:GS249),ROW(GS53:GS249),"")))</f>
        <v>11.861538461538462</v>
      </c>
      <c r="GU53" s="13">
        <f>IF('Données projet'!$A$270&gt;35,GU52+GT53-HC52,IF(A53&lt;'Données projet'!$A$270,$GR$205^A53,IF(A53='Données projet'!$A$270,'Données projet'!$B$270,GU52+GT53-HC52)))</f>
        <v>291.0846153846154</v>
      </c>
      <c r="GV53" s="18">
        <f>GU53*VLOOKUP('Données projet'!$B$18,Paramètres!$A$1:$I$89,3,0)*VLOOKUP('Données projet'!$B$18,Paramètres!$A$1:$I$89,5,0)</f>
        <v>174.06860000000003</v>
      </c>
      <c r="GW53" s="14">
        <f t="shared" si="51"/>
        <v>43.999996552753835</v>
      </c>
      <c r="GX53" s="22">
        <f t="shared" si="28"/>
        <v>379.80280566271296</v>
      </c>
      <c r="GY53" s="60">
        <f t="shared" si="29"/>
        <v>673.13613899604627</v>
      </c>
      <c r="GZ53" s="60">
        <f ca="1">AVERAGE(OFFSET($GY$3,0,0,'Données projet'!$E$18+1,1))-AVERAGE(OFFSET($H$3,0,0,'Données projet'!$E$18+1,1))</f>
        <v>289.12367833861299</v>
      </c>
      <c r="HA53" s="60">
        <f t="shared" si="52"/>
        <v>229.06617320689003</v>
      </c>
      <c r="HB53" s="16">
        <f>IF(ISNA(VLOOKUP(A53,'Données projet'!$A$269:$I$289,3,0)),0,VLOOKUP(A53,'Données projet'!$A$269:$I$289,3,0))</f>
        <v>5</v>
      </c>
      <c r="HC53" s="16">
        <f>IF(ISNA(VLOOKUP(A53,'Données projet'!$A$269:$I$289,4,0)),0,VLOOKUP(A53,'Données projet'!$A$269:$I$289,4,0))</f>
        <v>55.292307692307688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4.049643630884228E-3</v>
      </c>
      <c r="HJ53" s="24">
        <f t="shared" si="30"/>
        <v>4.049643630884228E-3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0">
        <f t="shared" si="0"/>
        <v>660.82542368329359</v>
      </c>
      <c r="S54" s="60">
        <f ca="1">AVERAGE(OFFSET($R$3,0,0,'Données projet'!$E$9+1,1))-AVERAGE(OFFSET($H$3,0,0,'Données projet'!$E$9+1,1))</f>
        <v>430.11660085503223</v>
      </c>
      <c r="T54" s="60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16.227472527472521</v>
      </c>
      <c r="AI54" s="14">
        <f>IF('Données projet'!$A$62&gt;35,AI53+AH54-AQ53,IF(A54&lt;'Données projet'!$A$62,$AF$205^A54,IF(A54='Données projet'!$A$62,'Données projet'!$B$62,AI53+AH54-AQ53)))</f>
        <v>346.57032967032973</v>
      </c>
      <c r="AJ54" s="14">
        <f>AI54*VLOOKUP('Données projet'!$B$10,Paramètres!$A$1:$I$89,3,0)*VLOOKUP('Données projet'!$B$10,Paramètres!$A$1:$I$89,5,0)</f>
        <v>193.73281428571431</v>
      </c>
      <c r="AK54" s="14">
        <f t="shared" si="35"/>
        <v>48.364288285880889</v>
      </c>
      <c r="AL54" s="22">
        <f t="shared" si="4"/>
        <v>421.65245364552828</v>
      </c>
      <c r="AM54" s="60">
        <f t="shared" si="5"/>
        <v>714.9857869788616</v>
      </c>
      <c r="AN54" s="60">
        <f ca="1">AVERAGE(OFFSET($AM$3,0,0,'Données projet'!$E$10+1,1))-AVERAGE(OFFSET($H$3,0,0,'Données projet'!$E$10+1,1))</f>
        <v>323.98185264074681</v>
      </c>
      <c r="AO54" s="60">
        <f t="shared" si="36"/>
        <v>301.22207291854005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2.944033944381991</v>
      </c>
      <c r="AV54" s="23">
        <f>EXP(-LN(2)/25)*AV53+(1-EXP(-LN(2)/25))/(LN(2)/25)*Calculateur!AQ54*Calculateur!AS54*VLOOKUP('Données projet'!$B$10,Paramètres!$A$1:$I$89,3,0)*0.475*44/12</f>
        <v>4.6073009064041326</v>
      </c>
      <c r="AW54" s="23">
        <f>EXP(-LN(2)/2)*AW53+(1-EXP(-LN(2)/2))/(LN(2)/2)*AQ54*AT54*VLOOKUP('Données projet'!$B$10,Paramètres!$A$1:$I$89,3,0)*0.475*44/12</f>
        <v>4.2038376360000514E-3</v>
      </c>
      <c r="AX54" s="23">
        <f t="shared" si="6"/>
        <v>7.5555386884221232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11</v>
      </c>
      <c r="BD54" s="13">
        <f>IF('Données projet'!$A$88&gt;35,BD53+BC54-BL53,IF(A54&lt;'Données projet'!$A$88,$BA$205^A54,IF(A54='Données projet'!$A$88,'Données projet'!$B$88,BD53+BC54-BL53)))</f>
        <v>228</v>
      </c>
      <c r="BE54" s="14">
        <f>BD54*VLOOKUP('Données projet'!$B$11,Paramètres!$A$1:$I$89,3,0)*VLOOKUP('Données projet'!$B$11,Paramètres!$A$1:$I$89,5,0)</f>
        <v>195.62400000000002</v>
      </c>
      <c r="BF54" s="14">
        <f t="shared" si="37"/>
        <v>48.781220625276006</v>
      </c>
      <c r="BG54" s="22">
        <f t="shared" si="7"/>
        <v>425.67242592235567</v>
      </c>
      <c r="BH54" s="60">
        <f t="shared" si="8"/>
        <v>719.00575925568899</v>
      </c>
      <c r="BI54" s="60">
        <f ca="1">AVERAGE(OFFSET($BH$3,0,0,'Données projet'!$E$11+1,1))-AVERAGE(OFFSET($H$3,0,0,'Données projet'!$E$11+1,1))</f>
        <v>556.75475431848258</v>
      </c>
      <c r="BJ54" s="60">
        <f t="shared" si="38"/>
        <v>256.77417912163997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6.119999999999993</v>
      </c>
      <c r="BY54" s="13">
        <f>IF('Données projet'!$A$114&gt;35,BY53+BX54-CG53,IF(A54&lt;'Données projet'!$A$114,$BV$205^A54,IF(A54='Données projet'!$A$114,'Données projet'!$B$114,BY53+BX54-CG53)))</f>
        <v>208.0200000000001</v>
      </c>
      <c r="BZ54" s="14">
        <f>BY54*VLOOKUP('Données projet'!$B$12,Paramètres!$A$1:$I$89,3,0)*VLOOKUP('Données projet'!$B$12,Paramètres!$A$1:$I$89,5,0)</f>
        <v>152.52026400000005</v>
      </c>
      <c r="CA54" s="14">
        <f t="shared" si="39"/>
        <v>39.150768069454294</v>
      </c>
      <c r="CB54" s="22">
        <f t="shared" si="10"/>
        <v>333.82704752096635</v>
      </c>
      <c r="CC54" s="60">
        <f t="shared" si="11"/>
        <v>627.16038085429966</v>
      </c>
      <c r="CD54" s="60">
        <f ca="1">AVERAGE(OFFSET($CC$3,0,0,'Données projet'!$E$12+1,1))-AVERAGE(OFFSET($H$3,0,0,'Données projet'!$E$12+1,1))</f>
        <v>290.68086183422963</v>
      </c>
      <c r="CE54" s="60">
        <f t="shared" si="40"/>
        <v>317.88330630101785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189.60000000000008</v>
      </c>
      <c r="CU54" s="18">
        <f>CT54*VLOOKUP('Données projet'!$B$13,Paramètres!$A$1:$I$89,3,0)*VLOOKUP('Données projet'!$B$13,Paramètres!$A$1:$I$89,5,0)</f>
        <v>124.22592000000006</v>
      </c>
      <c r="CV54" s="14">
        <f t="shared" si="41"/>
        <v>32.658631616019996</v>
      </c>
      <c r="CW54" s="22">
        <f t="shared" si="13"/>
        <v>273.24059406456826</v>
      </c>
      <c r="CX54" s="60">
        <f t="shared" si="14"/>
        <v>566.57392739790157</v>
      </c>
      <c r="CY54" s="60">
        <f ca="1">AVERAGE(OFFSET($CX$3,0,0,'Données projet'!$E$13+1,1))-AVERAGE(OFFSET($H$3,0,0,'Données projet'!$E$13+1,1))</f>
        <v>243.04319555814601</v>
      </c>
      <c r="CZ54" s="60">
        <f t="shared" si="42"/>
        <v>235.68746142880792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0" t="e">
        <f t="shared" si="17"/>
        <v>#NUM!</v>
      </c>
      <c r="DT54" s="60">
        <f ca="1">AVERAGE(OFFSET($DS$3,0,0,'Données projet'!$E$14+1,1))-AVERAGE(OFFSET($H$3,0,0,'Données projet'!$E$14+1,1))</f>
        <v>201.4732637505823</v>
      </c>
      <c r="DU54" s="60">
        <f t="shared" si="44"/>
        <v>342.06887933351783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4.3581065108751504</v>
      </c>
      <c r="EB54" s="23">
        <f>EXP(-LN(2)/25)*EB53+(1-EXP(-LN(2)/25))/(LN(2)/25)*Calculateur!DW54*Calculateur!DY54*VLOOKUP('Données projet'!$B$14,Paramètres!$A$1:$I$89,3,0)*0.475*44/12</f>
        <v>14.771625269646767</v>
      </c>
      <c r="EC54" s="23">
        <f>EXP(-LN(2)/2)*EC53+(1-EXP(-LN(2)/2))/(LN(2)/2)*DW54*DZ54*VLOOKUP('Données projet'!$B$14,Paramètres!$A$1:$I$89,3,0)*0.475*44/12</f>
        <v>9.2511919874364856E-3</v>
      </c>
      <c r="ED54" s="24">
        <f t="shared" si="18"/>
        <v>19.138982972509353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11.642307692307689</v>
      </c>
      <c r="EJ54" s="13">
        <f>IF('Données projet'!$A$192&gt;35,EJ53+EI54-ER53,IF(A54&lt;'Données projet'!$A$192,$EG$205^A54,IF(A54='Données projet'!$A$192,'Données projet'!$B$192,EJ53+EI54-ER53)))</f>
        <v>320.17307692307662</v>
      </c>
      <c r="EK54" s="18">
        <f>EJ54*VLOOKUP('Données projet'!$B$15,Paramètres!$A$1:$I$89,3,0)*VLOOKUP('Données projet'!$B$15,Paramètres!$A$1:$I$89,5,0)</f>
        <v>191.46349999999984</v>
      </c>
      <c r="EL54" s="14">
        <f t="shared" si="45"/>
        <v>47.863367286908044</v>
      </c>
      <c r="EM54" s="22">
        <f t="shared" si="19"/>
        <v>416.82762719136457</v>
      </c>
      <c r="EN54" s="60">
        <f t="shared" si="20"/>
        <v>710.16096052469788</v>
      </c>
      <c r="EO54" s="60">
        <f ca="1">AVERAGE(OFFSET($EN$3,0,0,'Données projet'!$E$15+1,1))-AVERAGE(OFFSET($H$3,0,0,'Données projet'!$E$15+1,1))</f>
        <v>260.01925143568263</v>
      </c>
      <c r="EP54" s="60">
        <f t="shared" si="46"/>
        <v>269.95358755269427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9.3760532665332406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9.3760532665332406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7.6</v>
      </c>
      <c r="FE54" s="13">
        <f>IF('Données projet'!$A$218&gt;35,FE53+FD54-FM53,IF(A54&lt;'Données projet'!$A$218,$FB$205^A54,IF(A54='Données projet'!$A$218,'Données projet'!$B$218,FE53+FD54-FM53)))</f>
        <v>235.59999999999997</v>
      </c>
      <c r="FF54" s="18">
        <f>FE54*VLOOKUP('Données projet'!$B$16,Paramètres!$A$1:$I$89,3,0)*VLOOKUP('Données projet'!$B$16,Paramètres!$A$1:$I$89,5,0)</f>
        <v>191.11872</v>
      </c>
      <c r="FG54" s="14">
        <f t="shared" si="47"/>
        <v>47.787201388032145</v>
      </c>
      <c r="FH54" s="22">
        <f t="shared" si="22"/>
        <v>416.09447975082259</v>
      </c>
      <c r="FI54" s="60">
        <f t="shared" si="23"/>
        <v>709.4278130841559</v>
      </c>
      <c r="FJ54" s="60">
        <f ca="1">AVERAGE(OFFSET($FI$3,0,0,'Données projet'!$E$16+1,1))-AVERAGE(OFFSET($H$3,0,0,'Données projet'!$E$16+1,1))</f>
        <v>256.19915261735281</v>
      </c>
      <c r="FK54" s="60">
        <f t="shared" si="48"/>
        <v>297.47246687305056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8.3442307692307658</v>
      </c>
      <c r="FZ54" s="13">
        <f>IF('Données projet'!$A$244&gt;35,FZ53+FY54-GH53,IF(A54&lt;'Données projet'!$A$244,$FW$205^A54,IF(A54='Données projet'!$A$244,'Données projet'!$B$244,FZ53+FY54-GH53)))</f>
        <v>240.61730769230769</v>
      </c>
      <c r="GA54" s="18">
        <f>FZ54*VLOOKUP('Données projet'!$B$17,Paramètres!$A$1:$I$89,3,0)*VLOOKUP('Données projet'!$B$17,Paramètres!$A$1:$I$89,5,0)</f>
        <v>137.63310000000001</v>
      </c>
      <c r="GB54" s="14">
        <f t="shared" si="49"/>
        <v>35.754245032021451</v>
      </c>
      <c r="GC54" s="22">
        <f t="shared" si="25"/>
        <v>301.98295926410407</v>
      </c>
      <c r="GD54" s="60">
        <f t="shared" si="26"/>
        <v>595.31629259743738</v>
      </c>
      <c r="GE54" s="60">
        <f ca="1">AVERAGE(OFFSET($GD$3,0,0,'Données projet'!$E$17+1,1))-AVERAGE(OFFSET($H$3,0,0,'Données projet'!$E$17+1,1))</f>
        <v>268.71641789629319</v>
      </c>
      <c r="GF54" s="60">
        <f t="shared" si="50"/>
        <v>199.94048514486104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1.1730376717167337</v>
      </c>
      <c r="GN54" s="23">
        <f>EXP(-LN(2)/2)*GN53+(1-EXP(-LN(2)/2))/(LN(2)/2)*GH54*GK54*VLOOKUP('Données projet'!$B$17,Paramètres!$A$1:$I$89,3,0)*0.475*44/12</f>
        <v>4.8169683310904559E-3</v>
      </c>
      <c r="GO54" s="23">
        <f t="shared" si="27"/>
        <v>1.177854640047824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10.66307692307692</v>
      </c>
      <c r="GU54" s="13">
        <f>IF('Données projet'!$A$270&gt;35,GU53+GT54-HC53,IF(A54&lt;'Données projet'!$A$270,$GR$205^A54,IF(A54='Données projet'!$A$270,'Données projet'!$B$270,GU53+GT54-HC53)))</f>
        <v>246.45538461538462</v>
      </c>
      <c r="GV54" s="18">
        <f>GU54*VLOOKUP('Données projet'!$B$18,Paramètres!$A$1:$I$89,3,0)*VLOOKUP('Données projet'!$B$18,Paramètres!$A$1:$I$89,5,0)</f>
        <v>147.38032000000001</v>
      </c>
      <c r="GW54" s="14">
        <f t="shared" si="51"/>
        <v>37.982644854557613</v>
      </c>
      <c r="GX54" s="22">
        <f t="shared" si="28"/>
        <v>322.84049712168786</v>
      </c>
      <c r="GY54" s="60">
        <f t="shared" si="29"/>
        <v>616.17383045502118</v>
      </c>
      <c r="GZ54" s="60">
        <f ca="1">AVERAGE(OFFSET($GY$3,0,0,'Données projet'!$E$18+1,1))-AVERAGE(OFFSET($H$3,0,0,'Données projet'!$E$18+1,1))</f>
        <v>289.12367833861299</v>
      </c>
      <c r="HA54" s="60">
        <f t="shared" si="52"/>
        <v>229.06617320689003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2.8635304727871497E-3</v>
      </c>
      <c r="HJ54" s="24">
        <f t="shared" si="30"/>
        <v>2.8635304727871497E-3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0">
        <f t="shared" si="0"/>
        <v>676.25217908847742</v>
      </c>
      <c r="S55" s="60">
        <f ca="1">AVERAGE(OFFSET($R$3,0,0,'Données projet'!$E$9+1,1))-AVERAGE(OFFSET($H$3,0,0,'Données projet'!$E$9+1,1))</f>
        <v>430.11660085503223</v>
      </c>
      <c r="T55" s="60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16.227472527472521</v>
      </c>
      <c r="AI55" s="14">
        <f>IF('Données projet'!$A$62&gt;35,AI54+AH55-AQ54,IF(A55&lt;'Données projet'!$A$62,$AF$205^A55,IF(A55='Données projet'!$A$62,'Données projet'!$B$62,AI54+AH55-AQ54)))</f>
        <v>362.79780219780224</v>
      </c>
      <c r="AJ55" s="14">
        <f>AI55*VLOOKUP('Données projet'!$B$10,Paramètres!$A$1:$I$89,3,0)*VLOOKUP('Données projet'!$B$10,Paramètres!$A$1:$I$89,5,0)</f>
        <v>202.80397142857146</v>
      </c>
      <c r="AK55" s="14">
        <f t="shared" si="35"/>
        <v>50.359895566849652</v>
      </c>
      <c r="AL55" s="22">
        <f t="shared" si="4"/>
        <v>440.92706835035841</v>
      </c>
      <c r="AM55" s="60">
        <f t="shared" si="5"/>
        <v>734.26040168369173</v>
      </c>
      <c r="AN55" s="60">
        <f ca="1">AVERAGE(OFFSET($AM$3,0,0,'Données projet'!$E$10+1,1))-AVERAGE(OFFSET($H$3,0,0,'Données projet'!$E$10+1,1))</f>
        <v>323.98185264074681</v>
      </c>
      <c r="AO55" s="60">
        <f t="shared" si="36"/>
        <v>301.22207291854005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2.8863032344160571</v>
      </c>
      <c r="AV55" s="23">
        <f>EXP(-LN(2)/25)*AV54+(1-EXP(-LN(2)/25))/(LN(2)/25)*Calculateur!AQ55*Calculateur!AS55*VLOOKUP('Données projet'!$B$10,Paramètres!$A$1:$I$89,3,0)*0.475*44/12</f>
        <v>4.4813140208310873</v>
      </c>
      <c r="AW55" s="23">
        <f>EXP(-LN(2)/2)*AW54+(1-EXP(-LN(2)/2))/(LN(2)/2)*AQ55*AT55*VLOOKUP('Données projet'!$B$10,Paramètres!$A$1:$I$89,3,0)*0.475*44/12</f>
        <v>2.9725620994228616E-3</v>
      </c>
      <c r="AX55" s="23">
        <f t="shared" si="6"/>
        <v>7.3705898173465672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11</v>
      </c>
      <c r="BD55" s="13">
        <f>IF('Données projet'!$A$88&gt;35,BD54+BC55-BL54,IF(A55&lt;'Données projet'!$A$88,$BA$205^A55,IF(A55='Données projet'!$A$88,'Données projet'!$B$88,BD54+BC55-BL54)))</f>
        <v>239</v>
      </c>
      <c r="BE55" s="14">
        <f>BD55*VLOOKUP('Données projet'!$B$11,Paramètres!$A$1:$I$89,3,0)*VLOOKUP('Données projet'!$B$11,Paramètres!$A$1:$I$89,5,0)</f>
        <v>205.06200000000004</v>
      </c>
      <c r="BF55" s="14">
        <f t="shared" si="37"/>
        <v>50.855018623514823</v>
      </c>
      <c r="BG55" s="22">
        <f t="shared" si="7"/>
        <v>445.72214076928839</v>
      </c>
      <c r="BH55" s="60">
        <f t="shared" si="8"/>
        <v>739.0554741026217</v>
      </c>
      <c r="BI55" s="60">
        <f ca="1">AVERAGE(OFFSET($BH$3,0,0,'Données projet'!$E$11+1,1))-AVERAGE(OFFSET($H$3,0,0,'Données projet'!$E$11+1,1))</f>
        <v>556.75475431848258</v>
      </c>
      <c r="BJ55" s="60">
        <f t="shared" si="38"/>
        <v>256.77417912163997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6.119999999999993</v>
      </c>
      <c r="BY55" s="13">
        <f>IF('Données projet'!$A$114&gt;35,BY54+BX55-CG54,IF(A55&lt;'Données projet'!$A$114,$BV$205^A55,IF(A55='Données projet'!$A$114,'Données projet'!$B$114,BY54+BX55-CG54)))</f>
        <v>214.1400000000001</v>
      </c>
      <c r="BZ55" s="14">
        <f>BY55*VLOOKUP('Données projet'!$B$12,Paramètres!$A$1:$I$89,3,0)*VLOOKUP('Données projet'!$B$12,Paramètres!$A$1:$I$89,5,0)</f>
        <v>157.00744800000007</v>
      </c>
      <c r="CA55" s="14">
        <f t="shared" si="39"/>
        <v>40.166797043165985</v>
      </c>
      <c r="CB55" s="22">
        <f t="shared" si="10"/>
        <v>343.41181011684756</v>
      </c>
      <c r="CC55" s="60">
        <f t="shared" si="11"/>
        <v>636.74514345018088</v>
      </c>
      <c r="CD55" s="60">
        <f ca="1">AVERAGE(OFFSET($CC$3,0,0,'Données projet'!$E$12+1,1))-AVERAGE(OFFSET($H$3,0,0,'Données projet'!$E$12+1,1))</f>
        <v>290.68086183422963</v>
      </c>
      <c r="CE55" s="60">
        <f t="shared" si="40"/>
        <v>317.88330630101785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195.20000000000007</v>
      </c>
      <c r="CU55" s="18">
        <f>CT55*VLOOKUP('Données projet'!$B$13,Paramètres!$A$1:$I$89,3,0)*VLOOKUP('Données projet'!$B$13,Paramètres!$A$1:$I$89,5,0)</f>
        <v>127.89504000000004</v>
      </c>
      <c r="CV55" s="14">
        <f t="shared" si="41"/>
        <v>33.509503727991913</v>
      </c>
      <c r="CW55" s="22">
        <f t="shared" si="13"/>
        <v>281.11291365958601</v>
      </c>
      <c r="CX55" s="60">
        <f t="shared" si="14"/>
        <v>574.44624699291933</v>
      </c>
      <c r="CY55" s="60">
        <f ca="1">AVERAGE(OFFSET($CX$3,0,0,'Données projet'!$E$13+1,1))-AVERAGE(OFFSET($H$3,0,0,'Données projet'!$E$13+1,1))</f>
        <v>243.04319555814601</v>
      </c>
      <c r="CZ55" s="60">
        <f t="shared" si="42"/>
        <v>235.68746142880792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0" t="e">
        <f t="shared" si="17"/>
        <v>#NUM!</v>
      </c>
      <c r="DT55" s="60">
        <f ca="1">AVERAGE(OFFSET($DS$3,0,0,'Données projet'!$E$14+1,1))-AVERAGE(OFFSET($H$3,0,0,'Données projet'!$E$14+1,1))</f>
        <v>201.4732637505823</v>
      </c>
      <c r="DU55" s="60">
        <f t="shared" si="44"/>
        <v>342.06887933351783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4.2726467003793864</v>
      </c>
      <c r="EB55" s="23">
        <f>EXP(-LN(2)/25)*EB54+(1-EXP(-LN(2)/25))/(LN(2)/25)*Calculateur!DW55*Calculateur!DY55*VLOOKUP('Données projet'!$B$14,Paramètres!$A$1:$I$89,3,0)*0.475*44/12</f>
        <v>14.367694399842264</v>
      </c>
      <c r="EC55" s="23">
        <f>EXP(-LN(2)/2)*EC54+(1-EXP(-LN(2)/2))/(LN(2)/2)*DW55*DZ55*VLOOKUP('Données projet'!$B$14,Paramètres!$A$1:$I$89,3,0)*0.475*44/12</f>
        <v>6.5415805883749928E-3</v>
      </c>
      <c r="ED55" s="24">
        <f t="shared" si="18"/>
        <v>18.646882680810027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331.81538461538463</v>
      </c>
      <c r="EH55" s="13">
        <f>VLOOKUP(A55,'Données projet'!$A$191:$I$211,9,0)</f>
        <v>11.642307692307689</v>
      </c>
      <c r="EI55" s="13">
        <f t="array" ref="EI55">INDEX(EH:EH,MIN(IF(ISNUMBER(EH55:EH251),ROW(EH55:EH251),"")))</f>
        <v>11.642307692307689</v>
      </c>
      <c r="EJ55" s="13">
        <f>IF('Données projet'!$A$192&gt;35,EJ54+EI55-ER54,IF(A55&lt;'Données projet'!$A$192,$EG$205^A55,IF(A55='Données projet'!$A$192,'Données projet'!$B$192,EJ54+EI55-ER54)))</f>
        <v>331.81538461538429</v>
      </c>
      <c r="EK55" s="18">
        <f>EJ55*VLOOKUP('Données projet'!$B$15,Paramètres!$A$1:$I$89,3,0)*VLOOKUP('Données projet'!$B$15,Paramètres!$A$1:$I$89,5,0)</f>
        <v>198.42559999999983</v>
      </c>
      <c r="EL55" s="14">
        <f t="shared" si="45"/>
        <v>49.398003268862617</v>
      </c>
      <c r="EM55" s="22">
        <f t="shared" si="19"/>
        <v>431.62610902660208</v>
      </c>
      <c r="EN55" s="60">
        <f t="shared" si="20"/>
        <v>724.95944235993534</v>
      </c>
      <c r="EO55" s="60">
        <f ca="1">AVERAGE(OFFSET($EN$3,0,0,'Données projet'!$E$15+1,1))-AVERAGE(OFFSET($H$3,0,0,'Données projet'!$E$15+1,1))</f>
        <v>260.01925143568263</v>
      </c>
      <c r="EP55" s="60">
        <f t="shared" si="46"/>
        <v>269.95358755269427</v>
      </c>
      <c r="EQ55" s="16">
        <f>IF(ISNA(VLOOKUP(A55,'Données projet'!$A$191:$I$211,3,0)),0,VLOOKUP(A55,'Données projet'!$A$191:$I$211,3,0))</f>
        <v>6</v>
      </c>
      <c r="ER55" s="16">
        <f>IF(ISNA(VLOOKUP(A55,'Données projet'!$A$191:$I$211,4,0)),0,VLOOKUP(A55,'Données projet'!$A$191:$I$211,4,0))</f>
        <v>61.784615384615378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9.1921945808043297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9.1921945808043297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7.6</v>
      </c>
      <c r="FE55" s="13">
        <f>IF('Données projet'!$A$218&gt;35,FE54+FD55-FM54,IF(A55&lt;'Données projet'!$A$218,$FB$205^A55,IF(A55='Données projet'!$A$218,'Données projet'!$B$218,FE54+FD55-FM54)))</f>
        <v>243.19999999999996</v>
      </c>
      <c r="FF55" s="18">
        <f>FE55*VLOOKUP('Données projet'!$B$16,Paramètres!$A$1:$I$89,3,0)*VLOOKUP('Données projet'!$B$16,Paramètres!$A$1:$I$89,5,0)</f>
        <v>197.28383999999997</v>
      </c>
      <c r="FG55" s="14">
        <f t="shared" si="47"/>
        <v>49.146763750789503</v>
      </c>
      <c r="FH55" s="22">
        <f t="shared" si="22"/>
        <v>429.19996819929173</v>
      </c>
      <c r="FI55" s="60">
        <f t="shared" si="23"/>
        <v>722.53330153262505</v>
      </c>
      <c r="FJ55" s="60">
        <f ca="1">AVERAGE(OFFSET($FI$3,0,0,'Données projet'!$E$16+1,1))-AVERAGE(OFFSET($H$3,0,0,'Données projet'!$E$16+1,1))</f>
        <v>256.19915261735281</v>
      </c>
      <c r="FK55" s="60">
        <f t="shared" si="48"/>
        <v>297.47246687305056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>
        <f>VLOOKUP(A55,'Données projet'!$A$243:$I$263,2,0)</f>
        <v>248.96153846153842</v>
      </c>
      <c r="FX55" s="13">
        <f>VLOOKUP(A55,'Données projet'!$A$243:$I$263,9,0)</f>
        <v>8.3442307692307658</v>
      </c>
      <c r="FY55" s="13">
        <f t="array" ref="FY55">INDEX(FX:FX,MIN(IF(ISNUMBER(FX55:FX251),ROW(FX55:FX251),"")))</f>
        <v>8.3442307692307658</v>
      </c>
      <c r="FZ55" s="13">
        <f>IF('Données projet'!$A$244&gt;35,FZ54+FY55-GH54,IF(A55&lt;'Données projet'!$A$244,$FW$205^A55,IF(A55='Données projet'!$A$244,'Données projet'!$B$244,FZ54+FY55-GH54)))</f>
        <v>248.96153846153845</v>
      </c>
      <c r="GA55" s="18">
        <f>FZ55*VLOOKUP('Données projet'!$B$17,Paramètres!$A$1:$I$89,3,0)*VLOOKUP('Données projet'!$B$17,Paramètres!$A$1:$I$89,5,0)</f>
        <v>142.40600000000001</v>
      </c>
      <c r="GB55" s="14">
        <f t="shared" si="49"/>
        <v>36.84763850709556</v>
      </c>
      <c r="GC55" s="22">
        <f t="shared" si="25"/>
        <v>312.20008706652476</v>
      </c>
      <c r="GD55" s="60">
        <f t="shared" si="26"/>
        <v>605.53342039985807</v>
      </c>
      <c r="GE55" s="60">
        <f ca="1">AVERAGE(OFFSET($GD$3,0,0,'Données projet'!$E$17+1,1))-AVERAGE(OFFSET($H$3,0,0,'Données projet'!$E$17+1,1))</f>
        <v>268.71641789629319</v>
      </c>
      <c r="GF55" s="60">
        <f t="shared" si="50"/>
        <v>199.94048514486104</v>
      </c>
      <c r="GG55" s="16">
        <f>IF(ISNA(VLOOKUP(A55,'Données projet'!$A$243:$I$263,3,0)),0,VLOOKUP(A55,'Données projet'!$A$243:$I$263,3,0))</f>
        <v>5</v>
      </c>
      <c r="GH55" s="16">
        <f>IF(ISNA(VLOOKUP(A55,'Données projet'!$A$243:$I$263,4,0)),0,VLOOKUP(A55,'Données projet'!$A$243:$I$263,4,0))</f>
        <v>42.038461538461533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1.1409608948962695</v>
      </c>
      <c r="GN55" s="23">
        <f>EXP(-LN(2)/2)*GN54+(1-EXP(-LN(2)/2))/(LN(2)/2)*GH55*GK55*VLOOKUP('Données projet'!$B$17,Paramètres!$A$1:$I$89,3,0)*0.475*44/12</f>
        <v>3.406110971674908E-3</v>
      </c>
      <c r="GO55" s="23">
        <f t="shared" si="27"/>
        <v>1.1443670058679445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10.66307692307692</v>
      </c>
      <c r="GU55" s="13">
        <f>IF('Données projet'!$A$270&gt;35,GU54+GT55-HC54,IF(A55&lt;'Données projet'!$A$270,$GR$205^A55,IF(A55='Données projet'!$A$270,'Données projet'!$B$270,GU54+GT55-HC54)))</f>
        <v>257.11846153846153</v>
      </c>
      <c r="GV55" s="18">
        <f>GU55*VLOOKUP('Données projet'!$B$18,Paramètres!$A$1:$I$89,3,0)*VLOOKUP('Données projet'!$B$18,Paramètres!$A$1:$I$89,5,0)</f>
        <v>153.75684000000001</v>
      </c>
      <c r="GW55" s="14">
        <f t="shared" si="51"/>
        <v>39.431107959482766</v>
      </c>
      <c r="GX55" s="22">
        <f t="shared" si="28"/>
        <v>336.4690093627658</v>
      </c>
      <c r="GY55" s="60">
        <f t="shared" si="29"/>
        <v>629.80234269609912</v>
      </c>
      <c r="GZ55" s="60">
        <f ca="1">AVERAGE(OFFSET($GY$3,0,0,'Données projet'!$E$18+1,1))-AVERAGE(OFFSET($H$3,0,0,'Données projet'!$E$18+1,1))</f>
        <v>289.12367833861299</v>
      </c>
      <c r="HA55" s="60">
        <f t="shared" si="52"/>
        <v>229.06617320689003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2.024821815442114E-3</v>
      </c>
      <c r="HJ55" s="24">
        <f t="shared" si="30"/>
        <v>2.024821815442114E-3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0">
        <f t="shared" si="0"/>
        <v>691.66542748190773</v>
      </c>
      <c r="S56" s="60">
        <f ca="1">AVERAGE(OFFSET($R$3,0,0,'Données projet'!$E$9+1,1))-AVERAGE(OFFSET($H$3,0,0,'Données projet'!$E$9+1,1))</f>
        <v>430.11660085503223</v>
      </c>
      <c r="T56" s="60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16.227472527472521</v>
      </c>
      <c r="AI56" s="14">
        <f>IF('Données projet'!$A$62&gt;35,AI55+AH56-AQ55,IF(A56&lt;'Données projet'!$A$62,$AF$205^A56,IF(A56='Données projet'!$A$62,'Données projet'!$B$62,AI55+AH56-AQ55)))</f>
        <v>379.02527472527476</v>
      </c>
      <c r="AJ56" s="14">
        <f>AI56*VLOOKUP('Données projet'!$B$10,Paramètres!$A$1:$I$89,3,0)*VLOOKUP('Données projet'!$B$10,Paramètres!$A$1:$I$89,5,0)</f>
        <v>211.87512857142858</v>
      </c>
      <c r="AK56" s="14">
        <f t="shared" si="35"/>
        <v>52.345136228066735</v>
      </c>
      <c r="AL56" s="22">
        <f t="shared" si="4"/>
        <v>460.18362785912103</v>
      </c>
      <c r="AM56" s="60">
        <f t="shared" si="5"/>
        <v>753.51696119245435</v>
      </c>
      <c r="AN56" s="60">
        <f ca="1">AVERAGE(OFFSET($AM$3,0,0,'Données projet'!$E$10+1,1))-AVERAGE(OFFSET($H$3,0,0,'Données projet'!$E$10+1,1))</f>
        <v>323.98185264074681</v>
      </c>
      <c r="AO56" s="60">
        <f t="shared" si="36"/>
        <v>301.22207291854005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2.8297045884602992</v>
      </c>
      <c r="AV56" s="23">
        <f>EXP(-LN(2)/25)*AV55+(1-EXP(-LN(2)/25))/(LN(2)/25)*Calculateur!AQ56*Calculateur!AS56*VLOOKUP('Données projet'!$B$10,Paramètres!$A$1:$I$89,3,0)*0.475*44/12</f>
        <v>4.3587722532693993</v>
      </c>
      <c r="AW56" s="23">
        <f>EXP(-LN(2)/2)*AW55+(1-EXP(-LN(2)/2))/(LN(2)/2)*AQ56*AT56*VLOOKUP('Données projet'!$B$10,Paramètres!$A$1:$I$89,3,0)*0.475*44/12</f>
        <v>2.1019188180000257E-3</v>
      </c>
      <c r="AX56" s="23">
        <f t="shared" si="6"/>
        <v>7.190578760547699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11</v>
      </c>
      <c r="BD56" s="13">
        <f>IF('Données projet'!$A$88&gt;35,BD55+BC56-BL55,IF(A56&lt;'Données projet'!$A$88,$BA$205^A56,IF(A56='Données projet'!$A$88,'Données projet'!$B$88,BD55+BC56-BL55)))</f>
        <v>250</v>
      </c>
      <c r="BE56" s="14">
        <f>BD56*VLOOKUP('Données projet'!$B$11,Paramètres!$A$1:$I$89,3,0)*VLOOKUP('Données projet'!$B$11,Paramètres!$A$1:$I$89,5,0)</f>
        <v>214.5</v>
      </c>
      <c r="BF56" s="14">
        <f t="shared" si="37"/>
        <v>52.917732192436588</v>
      </c>
      <c r="BG56" s="22">
        <f t="shared" si="7"/>
        <v>465.7525502351603</v>
      </c>
      <c r="BH56" s="60">
        <f t="shared" si="8"/>
        <v>759.08588356849361</v>
      </c>
      <c r="BI56" s="60">
        <f ca="1">AVERAGE(OFFSET($BH$3,0,0,'Données projet'!$E$11+1,1))-AVERAGE(OFFSET($H$3,0,0,'Données projet'!$E$11+1,1))</f>
        <v>556.75475431848258</v>
      </c>
      <c r="BJ56" s="60">
        <f t="shared" si="38"/>
        <v>256.77417912163997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6.119999999999993</v>
      </c>
      <c r="BY56" s="13">
        <f>IF('Données projet'!$A$114&gt;35,BY55+BX56-CG55,IF(A56&lt;'Données projet'!$A$114,$BV$205^A56,IF(A56='Données projet'!$A$114,'Données projet'!$B$114,BY55+BX56-CG55)))</f>
        <v>220.2600000000001</v>
      </c>
      <c r="BZ56" s="14">
        <f>BY56*VLOOKUP('Données projet'!$B$12,Paramètres!$A$1:$I$89,3,0)*VLOOKUP('Données projet'!$B$12,Paramètres!$A$1:$I$89,5,0)</f>
        <v>161.49463200000008</v>
      </c>
      <c r="CA56" s="14">
        <f t="shared" si="39"/>
        <v>41.179451178341104</v>
      </c>
      <c r="CB56" s="22">
        <f t="shared" si="10"/>
        <v>352.99069486894427</v>
      </c>
      <c r="CC56" s="60">
        <f t="shared" si="11"/>
        <v>646.32402820227753</v>
      </c>
      <c r="CD56" s="60">
        <f ca="1">AVERAGE(OFFSET($CC$3,0,0,'Données projet'!$E$12+1,1))-AVERAGE(OFFSET($H$3,0,0,'Données projet'!$E$12+1,1))</f>
        <v>290.68086183422963</v>
      </c>
      <c r="CE56" s="60">
        <f t="shared" si="40"/>
        <v>317.88330630101785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200.80000000000007</v>
      </c>
      <c r="CU56" s="18">
        <f>CT56*VLOOKUP('Données projet'!$B$13,Paramètres!$A$1:$I$89,3,0)*VLOOKUP('Données projet'!$B$13,Paramètres!$A$1:$I$89,5,0)</f>
        <v>131.56416000000004</v>
      </c>
      <c r="CV56" s="14">
        <f t="shared" si="41"/>
        <v>34.357538812709066</v>
      </c>
      <c r="CW56" s="22">
        <f t="shared" si="13"/>
        <v>288.98029209880167</v>
      </c>
      <c r="CX56" s="60">
        <f t="shared" si="14"/>
        <v>582.31362543213504</v>
      </c>
      <c r="CY56" s="60">
        <f ca="1">AVERAGE(OFFSET($CX$3,0,0,'Données projet'!$E$13+1,1))-AVERAGE(OFFSET($H$3,0,0,'Données projet'!$E$13+1,1))</f>
        <v>243.04319555814601</v>
      </c>
      <c r="CZ56" s="60">
        <f t="shared" si="42"/>
        <v>235.68746142880792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0" t="e">
        <f t="shared" si="17"/>
        <v>#NUM!</v>
      </c>
      <c r="DT56" s="60">
        <f ca="1">AVERAGE(OFFSET($DS$3,0,0,'Données projet'!$E$14+1,1))-AVERAGE(OFFSET($H$3,0,0,'Données projet'!$E$14+1,1))</f>
        <v>201.4732637505823</v>
      </c>
      <c r="DU56" s="60">
        <f t="shared" si="44"/>
        <v>342.06887933351783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4.1888627046421067</v>
      </c>
      <c r="EB56" s="23">
        <f>EXP(-LN(2)/25)*EB55+(1-EXP(-LN(2)/25))/(LN(2)/25)*Calculateur!DW56*Calculateur!DY56*VLOOKUP('Données projet'!$B$14,Paramètres!$A$1:$I$89,3,0)*0.475*44/12</f>
        <v>13.974809040914367</v>
      </c>
      <c r="EC56" s="23">
        <f>EXP(-LN(2)/2)*EC55+(1-EXP(-LN(2)/2))/(LN(2)/2)*DW56*DZ56*VLOOKUP('Données projet'!$B$14,Paramètres!$A$1:$I$89,3,0)*0.475*44/12</f>
        <v>4.6255959937182428E-3</v>
      </c>
      <c r="ED56" s="24">
        <f t="shared" si="18"/>
        <v>18.168297341550193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10.433653846153845</v>
      </c>
      <c r="EJ56" s="13">
        <f>IF('Données projet'!$A$192&gt;35,EJ55+EI56-ER55,IF(A56&lt;'Données projet'!$A$192,$EG$205^A56,IF(A56='Données projet'!$A$192,'Données projet'!$B$192,EJ55+EI56-ER55)))</f>
        <v>280.46442307692274</v>
      </c>
      <c r="EK56" s="18">
        <f>EJ56*VLOOKUP('Données projet'!$B$15,Paramètres!$A$1:$I$89,3,0)*VLOOKUP('Données projet'!$B$15,Paramètres!$A$1:$I$89,5,0)</f>
        <v>167.7177249999998</v>
      </c>
      <c r="EL56" s="14">
        <f t="shared" si="45"/>
        <v>42.578468510426148</v>
      </c>
      <c r="EM56" s="22">
        <f t="shared" si="19"/>
        <v>366.26587036399184</v>
      </c>
      <c r="EN56" s="60">
        <f t="shared" si="20"/>
        <v>659.59920369732515</v>
      </c>
      <c r="EO56" s="60">
        <f ca="1">AVERAGE(OFFSET($EN$3,0,0,'Données projet'!$E$15+1,1))-AVERAGE(OFFSET($H$3,0,0,'Données projet'!$E$15+1,1))</f>
        <v>260.01925143568263</v>
      </c>
      <c r="EP56" s="60">
        <f t="shared" si="46"/>
        <v>269.95358755269427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9.0119412517598363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9.0119412517598363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7.6</v>
      </c>
      <c r="FE56" s="13">
        <f>IF('Données projet'!$A$218&gt;35,FE55+FD56-FM55,IF(A56&lt;'Données projet'!$A$218,$FB$205^A56,IF(A56='Données projet'!$A$218,'Données projet'!$B$218,FE55+FD56-FM55)))</f>
        <v>250.79999999999995</v>
      </c>
      <c r="FF56" s="18">
        <f>FE56*VLOOKUP('Données projet'!$B$16,Paramètres!$A$1:$I$89,3,0)*VLOOKUP('Données projet'!$B$16,Paramètres!$A$1:$I$89,5,0)</f>
        <v>203.44895999999997</v>
      </c>
      <c r="FG56" s="14">
        <f t="shared" si="47"/>
        <v>50.501388840000267</v>
      </c>
      <c r="FH56" s="22">
        <f t="shared" si="22"/>
        <v>442.2968575630004</v>
      </c>
      <c r="FI56" s="60">
        <f t="shared" si="23"/>
        <v>735.63019089633372</v>
      </c>
      <c r="FJ56" s="60">
        <f ca="1">AVERAGE(OFFSET($FI$3,0,0,'Données projet'!$E$16+1,1))-AVERAGE(OFFSET($H$3,0,0,'Données projet'!$E$16+1,1))</f>
        <v>256.19915261735281</v>
      </c>
      <c r="FK56" s="60">
        <f t="shared" si="48"/>
        <v>297.47246687305056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7.3624999999999972</v>
      </c>
      <c r="FZ56" s="13">
        <f>IF('Données projet'!$A$244&gt;35,FZ55+FY56-GH55,IF(A56&lt;'Données projet'!$A$244,$FW$205^A56,IF(A56='Données projet'!$A$244,'Données projet'!$B$244,FZ55+FY56-GH55)))</f>
        <v>214.28557692307692</v>
      </c>
      <c r="GA56" s="18">
        <f>FZ56*VLOOKUP('Données projet'!$B$17,Paramètres!$A$1:$I$89,3,0)*VLOOKUP('Données projet'!$B$17,Paramètres!$A$1:$I$89,5,0)</f>
        <v>122.57135000000001</v>
      </c>
      <c r="GB56" s="14">
        <f t="shared" si="49"/>
        <v>32.273982432385175</v>
      </c>
      <c r="GC56" s="22">
        <f t="shared" si="25"/>
        <v>269.68895398640416</v>
      </c>
      <c r="GD56" s="60">
        <f t="shared" si="26"/>
        <v>563.02228731973742</v>
      </c>
      <c r="GE56" s="60">
        <f ca="1">AVERAGE(OFFSET($GD$3,0,0,'Données projet'!$E$17+1,1))-AVERAGE(OFFSET($H$3,0,0,'Données projet'!$E$17+1,1))</f>
        <v>268.71641789629319</v>
      </c>
      <c r="GF56" s="60">
        <f t="shared" si="50"/>
        <v>199.94048514486104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1.1097612592248052</v>
      </c>
      <c r="GN56" s="23">
        <f>EXP(-LN(2)/2)*GN55+(1-EXP(-LN(2)/2))/(LN(2)/2)*GH56*GK56*VLOOKUP('Données projet'!$B$17,Paramètres!$A$1:$I$89,3,0)*0.475*44/12</f>
        <v>2.4084841655452279E-3</v>
      </c>
      <c r="GO56" s="23">
        <f t="shared" si="27"/>
        <v>1.1121697433903504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10.66307692307692</v>
      </c>
      <c r="GU56" s="13">
        <f>IF('Données projet'!$A$270&gt;35,GU55+GT56-HC55,IF(A56&lt;'Données projet'!$A$270,$GR$205^A56,IF(A56='Données projet'!$A$270,'Données projet'!$B$270,GU55+GT56-HC55)))</f>
        <v>267.78153846153845</v>
      </c>
      <c r="GV56" s="18">
        <f>GU56*VLOOKUP('Données projet'!$B$18,Paramètres!$A$1:$I$89,3,0)*VLOOKUP('Données projet'!$B$18,Paramètres!$A$1:$I$89,5,0)</f>
        <v>160.13336000000001</v>
      </c>
      <c r="GW56" s="14">
        <f t="shared" si="51"/>
        <v>40.872593668242253</v>
      </c>
      <c r="GX56" s="22">
        <f t="shared" si="28"/>
        <v>350.08536930552191</v>
      </c>
      <c r="GY56" s="60">
        <f t="shared" si="29"/>
        <v>643.41870263885517</v>
      </c>
      <c r="GZ56" s="60">
        <f ca="1">AVERAGE(OFFSET($GY$3,0,0,'Données projet'!$E$18+1,1))-AVERAGE(OFFSET($H$3,0,0,'Données projet'!$E$18+1,1))</f>
        <v>289.12367833861299</v>
      </c>
      <c r="HA56" s="60">
        <f t="shared" si="52"/>
        <v>229.06617320689003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1.4317652363935748E-3</v>
      </c>
      <c r="HJ56" s="24">
        <f t="shared" si="30"/>
        <v>1.4317652363935748E-3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0">
        <f t="shared" si="0"/>
        <v>707.06576500384506</v>
      </c>
      <c r="S57" s="60">
        <f ca="1">AVERAGE(OFFSET($R$3,0,0,'Données projet'!$E$9+1,1))-AVERAGE(OFFSET($H$3,0,0,'Données projet'!$E$9+1,1))</f>
        <v>430.11660085503223</v>
      </c>
      <c r="T57" s="60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16.227472527472521</v>
      </c>
      <c r="AI57" s="14">
        <f>IF('Données projet'!$A$62&gt;35,AI56+AH57-AQ56,IF(A57&lt;'Données projet'!$A$62,$AF$205^A57,IF(A57='Données projet'!$A$62,'Données projet'!$B$62,AI56+AH57-AQ56)))</f>
        <v>395.25274725274727</v>
      </c>
      <c r="AJ57" s="14">
        <f>AI57*VLOOKUP('Données projet'!$B$10,Paramètres!$A$1:$I$89,3,0)*VLOOKUP('Données projet'!$B$10,Paramètres!$A$1:$I$89,5,0)</f>
        <v>220.94628571428572</v>
      </c>
      <c r="AK57" s="14">
        <f t="shared" si="35"/>
        <v>54.320504840756463</v>
      </c>
      <c r="AL57" s="22">
        <f t="shared" si="4"/>
        <v>479.42299355003178</v>
      </c>
      <c r="AM57" s="60">
        <f t="shared" si="5"/>
        <v>772.75632688336509</v>
      </c>
      <c r="AN57" s="60">
        <f ca="1">AVERAGE(OFFSET($AM$3,0,0,'Données projet'!$E$10+1,1))-AVERAGE(OFFSET($H$3,0,0,'Données projet'!$E$10+1,1))</f>
        <v>323.98185264074681</v>
      </c>
      <c r="AO57" s="60">
        <f t="shared" si="36"/>
        <v>301.22207291854005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2.7742158074299681</v>
      </c>
      <c r="AV57" s="23">
        <f>EXP(-LN(2)/25)*AV56+(1-EXP(-LN(2)/25))/(LN(2)/25)*Calculateur!AQ57*Calculateur!AS57*VLOOKUP('Données projet'!$B$10,Paramètres!$A$1:$I$89,3,0)*0.475*44/12</f>
        <v>4.2395813967858773</v>
      </c>
      <c r="AW57" s="23">
        <f>EXP(-LN(2)/2)*AW56+(1-EXP(-LN(2)/2))/(LN(2)/2)*AQ57*AT57*VLOOKUP('Données projet'!$B$10,Paramètres!$A$1:$I$89,3,0)*0.475*44/12</f>
        <v>1.4862810497114308E-3</v>
      </c>
      <c r="AX57" s="23">
        <f t="shared" si="6"/>
        <v>7.0152834852655568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11</v>
      </c>
      <c r="BD57" s="13">
        <f>IF('Données projet'!$A$88&gt;35,BD56+BC57-BL56,IF(A57&lt;'Données projet'!$A$88,$BA$205^A57,IF(A57='Données projet'!$A$88,'Données projet'!$B$88,BD56+BC57-BL56)))</f>
        <v>261</v>
      </c>
      <c r="BE57" s="14">
        <f>BD57*VLOOKUP('Données projet'!$B$11,Paramètres!$A$1:$I$89,3,0)*VLOOKUP('Données projet'!$B$11,Paramètres!$A$1:$I$89,5,0)</f>
        <v>223.93800000000002</v>
      </c>
      <c r="BF57" s="14">
        <f t="shared" si="37"/>
        <v>54.969904783066404</v>
      </c>
      <c r="BG57" s="22">
        <f t="shared" si="7"/>
        <v>485.76460083050733</v>
      </c>
      <c r="BH57" s="60">
        <f t="shared" si="8"/>
        <v>779.09793416384059</v>
      </c>
      <c r="BI57" s="60">
        <f ca="1">AVERAGE(OFFSET($BH$3,0,0,'Données projet'!$E$11+1,1))-AVERAGE(OFFSET($H$3,0,0,'Données projet'!$E$11+1,1))</f>
        <v>556.75475431848258</v>
      </c>
      <c r="BJ57" s="60">
        <f t="shared" si="38"/>
        <v>256.77417912163997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6.119999999999993</v>
      </c>
      <c r="BY57" s="13">
        <f>IF('Données projet'!$A$114&gt;35,BY56+BX57-CG56,IF(A57&lt;'Données projet'!$A$114,$BV$205^A57,IF(A57='Données projet'!$A$114,'Données projet'!$B$114,BY56+BX57-CG56)))</f>
        <v>226.38000000000011</v>
      </c>
      <c r="BZ57" s="14">
        <f>BY57*VLOOKUP('Données projet'!$B$12,Paramètres!$A$1:$I$89,3,0)*VLOOKUP('Données projet'!$B$12,Paramètres!$A$1:$I$89,5,0)</f>
        <v>165.98181600000007</v>
      </c>
      <c r="CA57" s="14">
        <f t="shared" si="39"/>
        <v>42.188835019125143</v>
      </c>
      <c r="CB57" s="22">
        <f t="shared" si="10"/>
        <v>362.56388385830974</v>
      </c>
      <c r="CC57" s="60">
        <f t="shared" si="11"/>
        <v>655.89721719164299</v>
      </c>
      <c r="CD57" s="60">
        <f ca="1">AVERAGE(OFFSET($CC$3,0,0,'Données projet'!$E$12+1,1))-AVERAGE(OFFSET($H$3,0,0,'Données projet'!$E$12+1,1))</f>
        <v>290.68086183422963</v>
      </c>
      <c r="CE57" s="60">
        <f t="shared" si="40"/>
        <v>317.88330630101785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206.40000000000006</v>
      </c>
      <c r="CU57" s="18">
        <f>CT57*VLOOKUP('Données projet'!$B$13,Paramètres!$A$1:$I$89,3,0)*VLOOKUP('Données projet'!$B$13,Paramètres!$A$1:$I$89,5,0)</f>
        <v>135.23328000000004</v>
      </c>
      <c r="CV57" s="14">
        <f t="shared" si="41"/>
        <v>35.202825080004466</v>
      </c>
      <c r="CW57" s="22">
        <f t="shared" si="13"/>
        <v>296.84288301434111</v>
      </c>
      <c r="CX57" s="60">
        <f t="shared" si="14"/>
        <v>590.17621634767443</v>
      </c>
      <c r="CY57" s="60">
        <f ca="1">AVERAGE(OFFSET($CX$3,0,0,'Données projet'!$E$13+1,1))-AVERAGE(OFFSET($H$3,0,0,'Données projet'!$E$13+1,1))</f>
        <v>243.04319555814601</v>
      </c>
      <c r="CZ57" s="60">
        <f t="shared" si="42"/>
        <v>235.68746142880792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0" t="e">
        <f t="shared" si="17"/>
        <v>#NUM!</v>
      </c>
      <c r="DT57" s="60">
        <f ca="1">AVERAGE(OFFSET($DS$3,0,0,'Données projet'!$E$14+1,1))-AVERAGE(OFFSET($H$3,0,0,'Données projet'!$E$14+1,1))</f>
        <v>201.4732637505823</v>
      </c>
      <c r="DU57" s="60">
        <f t="shared" si="44"/>
        <v>342.06887933351783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4.1067216619580442</v>
      </c>
      <c r="EB57" s="23">
        <f>EXP(-LN(2)/25)*EB56+(1-EXP(-LN(2)/25))/(LN(2)/25)*Calculateur!DW57*Calculateur!DY57*VLOOKUP('Données projet'!$B$14,Paramètres!$A$1:$I$89,3,0)*0.475*44/12</f>
        <v>13.592667152787296</v>
      </c>
      <c r="EC57" s="23">
        <f>EXP(-LN(2)/2)*EC56+(1-EXP(-LN(2)/2))/(LN(2)/2)*DW57*DZ57*VLOOKUP('Données projet'!$B$14,Paramètres!$A$1:$I$89,3,0)*0.475*44/12</f>
        <v>3.2707902941874964E-3</v>
      </c>
      <c r="ED57" s="24">
        <f t="shared" si="18"/>
        <v>17.702659605039528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10.433653846153845</v>
      </c>
      <c r="EJ57" s="13">
        <f>IF('Données projet'!$A$192&gt;35,EJ56+EI57-ER56,IF(A57&lt;'Données projet'!$A$192,$EG$205^A57,IF(A57='Données projet'!$A$192,'Données projet'!$B$192,EJ56+EI57-ER56)))</f>
        <v>290.89807692307659</v>
      </c>
      <c r="EK57" s="18">
        <f>EJ57*VLOOKUP('Données projet'!$B$15,Paramètres!$A$1:$I$89,3,0)*VLOOKUP('Données projet'!$B$15,Paramètres!$A$1:$I$89,5,0)</f>
        <v>173.95704999999981</v>
      </c>
      <c r="EL57" s="14">
        <f t="shared" si="45"/>
        <v>43.975080818549252</v>
      </c>
      <c r="EM57" s="22">
        <f t="shared" si="19"/>
        <v>379.56512784230631</v>
      </c>
      <c r="EN57" s="60">
        <f t="shared" si="20"/>
        <v>672.89846117563957</v>
      </c>
      <c r="EO57" s="60">
        <f ca="1">AVERAGE(OFFSET($EN$3,0,0,'Données projet'!$E$15+1,1))-AVERAGE(OFFSET($H$3,0,0,'Données projet'!$E$15+1,1))</f>
        <v>260.01925143568263</v>
      </c>
      <c r="EP57" s="60">
        <f t="shared" si="46"/>
        <v>269.95358755269427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8.8352225805542322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8.8352225805542322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7.6</v>
      </c>
      <c r="FE57" s="13">
        <f>IF('Données projet'!$A$218&gt;35,FE56+FD57-FM56,IF(A57&lt;'Données projet'!$A$218,$FB$205^A57,IF(A57='Données projet'!$A$218,'Données projet'!$B$218,FE56+FD57-FM56)))</f>
        <v>258.39999999999998</v>
      </c>
      <c r="FF57" s="18">
        <f>FE57*VLOOKUP('Données projet'!$B$16,Paramètres!$A$1:$I$89,3,0)*VLOOKUP('Données projet'!$B$16,Paramètres!$A$1:$I$89,5,0)</f>
        <v>209.61408</v>
      </c>
      <c r="FG57" s="14">
        <f t="shared" si="47"/>
        <v>51.851243442662593</v>
      </c>
      <c r="FH57" s="22">
        <f t="shared" si="22"/>
        <v>455.38543832930395</v>
      </c>
      <c r="FI57" s="60">
        <f t="shared" si="23"/>
        <v>748.71877166263721</v>
      </c>
      <c r="FJ57" s="60">
        <f ca="1">AVERAGE(OFFSET($FI$3,0,0,'Données projet'!$E$16+1,1))-AVERAGE(OFFSET($H$3,0,0,'Données projet'!$E$16+1,1))</f>
        <v>256.19915261735281</v>
      </c>
      <c r="FK57" s="60">
        <f t="shared" si="48"/>
        <v>297.47246687305056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7.3624999999999972</v>
      </c>
      <c r="FZ57" s="13">
        <f>IF('Données projet'!$A$244&gt;35,FZ56+FY57-GH56,IF(A57&lt;'Données projet'!$A$244,$FW$205^A57,IF(A57='Données projet'!$A$244,'Données projet'!$B$244,FZ56+FY57-GH56)))</f>
        <v>221.64807692307693</v>
      </c>
      <c r="GA57" s="18">
        <f>FZ57*VLOOKUP('Données projet'!$B$17,Paramètres!$A$1:$I$89,3,0)*VLOOKUP('Données projet'!$B$17,Paramètres!$A$1:$I$89,5,0)</f>
        <v>126.78270000000002</v>
      </c>
      <c r="GB57" s="14">
        <f t="shared" si="49"/>
        <v>33.25185497377214</v>
      </c>
      <c r="GC57" s="22">
        <f t="shared" si="25"/>
        <v>278.72684991265322</v>
      </c>
      <c r="GD57" s="60">
        <f t="shared" si="26"/>
        <v>572.06018324598654</v>
      </c>
      <c r="GE57" s="60">
        <f ca="1">AVERAGE(OFFSET($GD$3,0,0,'Données projet'!$E$17+1,1))-AVERAGE(OFFSET($H$3,0,0,'Données projet'!$E$17+1,1))</f>
        <v>268.71641789629319</v>
      </c>
      <c r="GF57" s="60">
        <f t="shared" si="50"/>
        <v>199.94048514486104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1.0794147792314948</v>
      </c>
      <c r="GN57" s="23">
        <f>EXP(-LN(2)/2)*GN56+(1-EXP(-LN(2)/2))/(LN(2)/2)*GH57*GK57*VLOOKUP('Données projet'!$B$17,Paramètres!$A$1:$I$89,3,0)*0.475*44/12</f>
        <v>1.703055485837454E-3</v>
      </c>
      <c r="GO57" s="23">
        <f t="shared" si="27"/>
        <v>1.0811178347173322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10.66307692307692</v>
      </c>
      <c r="GU57" s="13">
        <f>IF('Données projet'!$A$270&gt;35,GU56+GT57-HC56,IF(A57&lt;'Données projet'!$A$270,$GR$205^A57,IF(A57='Données projet'!$A$270,'Données projet'!$B$270,GU56+GT57-HC56)))</f>
        <v>278.44461538461536</v>
      </c>
      <c r="GV57" s="18">
        <f>GU57*VLOOKUP('Données projet'!$B$18,Paramètres!$A$1:$I$89,3,0)*VLOOKUP('Données projet'!$B$18,Paramètres!$A$1:$I$89,5,0)</f>
        <v>166.50987999999998</v>
      </c>
      <c r="GW57" s="14">
        <f t="shared" si="51"/>
        <v>42.307411610776938</v>
      </c>
      <c r="GX57" s="22">
        <f t="shared" si="28"/>
        <v>363.69011622210314</v>
      </c>
      <c r="GY57" s="60">
        <f t="shared" si="29"/>
        <v>657.0234495554364</v>
      </c>
      <c r="GZ57" s="60">
        <f ca="1">AVERAGE(OFFSET($GY$3,0,0,'Données projet'!$E$18+1,1))-AVERAGE(OFFSET($H$3,0,0,'Données projet'!$E$18+1,1))</f>
        <v>289.12367833861299</v>
      </c>
      <c r="HA57" s="60">
        <f t="shared" si="52"/>
        <v>229.06617320689003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1.012410907721057E-3</v>
      </c>
      <c r="HJ57" s="24">
        <f t="shared" si="30"/>
        <v>1.012410907721057E-3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0">
        <f t="shared" si="0"/>
        <v>722.45373980181387</v>
      </c>
      <c r="S58" s="60">
        <f ca="1">AVERAGE(OFFSET($R$3,0,0,'Données projet'!$E$9+1,1))-AVERAGE(OFFSET($H$3,0,0,'Données projet'!$E$9+1,1))</f>
        <v>430.11660085503223</v>
      </c>
      <c r="T58" s="60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16.227472527472521</v>
      </c>
      <c r="AI58" s="14">
        <f>IF('Données projet'!$A$62&gt;35,AI57+AH58-AQ57,IF(A58&lt;'Données projet'!$A$62,$AF$205^A58,IF(A58='Données projet'!$A$62,'Données projet'!$B$62,AI57+AH58-AQ57)))</f>
        <v>411.48021978021978</v>
      </c>
      <c r="AJ58" s="14">
        <f>AI58*VLOOKUP('Données projet'!$B$10,Paramètres!$A$1:$I$89,3,0)*VLOOKUP('Données projet'!$B$10,Paramètres!$A$1:$I$89,5,0)</f>
        <v>230.01744285714284</v>
      </c>
      <c r="AK58" s="14">
        <f t="shared" si="35"/>
        <v>56.286453068022915</v>
      </c>
      <c r="AL58" s="22">
        <f t="shared" si="4"/>
        <v>498.64595206966368</v>
      </c>
      <c r="AM58" s="60">
        <f t="shared" si="5"/>
        <v>791.97928540299699</v>
      </c>
      <c r="AN58" s="60">
        <f ca="1">AVERAGE(OFFSET($AM$3,0,0,'Données projet'!$E$10+1,1))-AVERAGE(OFFSET($H$3,0,0,'Données projet'!$E$10+1,1))</f>
        <v>323.98185264074681</v>
      </c>
      <c r="AO58" s="60">
        <f t="shared" si="36"/>
        <v>301.22207291854005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2.7198151275508273</v>
      </c>
      <c r="AV58" s="23">
        <f>EXP(-LN(2)/25)*AV57+(1-EXP(-LN(2)/25))/(LN(2)/25)*Calculateur!AQ58*Calculateur!AS58*VLOOKUP('Données projet'!$B$10,Paramètres!$A$1:$I$89,3,0)*0.475*44/12</f>
        <v>4.1236498205408711</v>
      </c>
      <c r="AW58" s="23">
        <f>EXP(-LN(2)/2)*AW57+(1-EXP(-LN(2)/2))/(LN(2)/2)*AQ58*AT58*VLOOKUP('Données projet'!$B$10,Paramètres!$A$1:$I$89,3,0)*0.475*44/12</f>
        <v>1.0509594090000129E-3</v>
      </c>
      <c r="AX58" s="23">
        <f t="shared" si="6"/>
        <v>6.844515907500698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272</v>
      </c>
      <c r="BB58" s="13">
        <f>VLOOKUP(A58,'Données projet'!$A$87:$I$107,9,0)</f>
        <v>11</v>
      </c>
      <c r="BC58" s="13">
        <f t="array" ref="BC58">INDEX(BB:BB,MIN(IF(ISNUMBER(BB58:BB254),ROW(BB58:BB254),"")))</f>
        <v>11</v>
      </c>
      <c r="BD58" s="13">
        <f>IF('Données projet'!$A$88&gt;35,BD57+BC58-BL57,IF(A58&lt;'Données projet'!$A$88,$BA$205^A58,IF(A58='Données projet'!$A$88,'Données projet'!$B$88,BD57+BC58-BL57)))</f>
        <v>272</v>
      </c>
      <c r="BE58" s="14">
        <f>BD58*VLOOKUP('Données projet'!$B$11,Paramètres!$A$1:$I$89,3,0)*VLOOKUP('Données projet'!$B$11,Paramètres!$A$1:$I$89,5,0)</f>
        <v>233.37600000000003</v>
      </c>
      <c r="BF58" s="14">
        <f t="shared" si="37"/>
        <v>57.012031446990107</v>
      </c>
      <c r="BG58" s="22">
        <f t="shared" si="7"/>
        <v>505.75915477017446</v>
      </c>
      <c r="BH58" s="60">
        <f t="shared" si="8"/>
        <v>799.09248810350778</v>
      </c>
      <c r="BI58" s="60">
        <f ca="1">AVERAGE(OFFSET($BH$3,0,0,'Données projet'!$E$11+1,1))-AVERAGE(OFFSET($H$3,0,0,'Données projet'!$E$11+1,1))</f>
        <v>556.75475431848258</v>
      </c>
      <c r="BJ58" s="60">
        <f t="shared" si="38"/>
        <v>256.77417912163997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232.5</v>
      </c>
      <c r="BW58" s="13">
        <f>VLOOKUP(A58,'Données projet'!$A$113:$I$133,9,0)</f>
        <v>6.119999999999993</v>
      </c>
      <c r="BX58" s="13">
        <f t="array" ref="BX58">INDEX(BW:BW,MIN(IF(ISNUMBER(BW58:BW254),ROW(BW58:BW254),"")))</f>
        <v>6.119999999999993</v>
      </c>
      <c r="BY58" s="13">
        <f>IF('Données projet'!$A$114&gt;35,BY57+BX58-CG57,IF(A58&lt;'Données projet'!$A$114,$BV$205^A58,IF(A58='Données projet'!$A$114,'Données projet'!$B$114,BY57+BX58-CG57)))</f>
        <v>232.50000000000011</v>
      </c>
      <c r="BZ58" s="14">
        <f>BY58*VLOOKUP('Données projet'!$B$12,Paramètres!$A$1:$I$89,3,0)*VLOOKUP('Données projet'!$B$12,Paramètres!$A$1:$I$89,5,0)</f>
        <v>170.46900000000008</v>
      </c>
      <c r="CA58" s="14">
        <f t="shared" si="39"/>
        <v>43.195047135356397</v>
      </c>
      <c r="CB58" s="22">
        <f t="shared" si="10"/>
        <v>372.13154876074583</v>
      </c>
      <c r="CC58" s="60">
        <f t="shared" si="11"/>
        <v>665.46488209407914</v>
      </c>
      <c r="CD58" s="60">
        <f ca="1">AVERAGE(OFFSET($CC$3,0,0,'Données projet'!$E$12+1,1))-AVERAGE(OFFSET($H$3,0,0,'Données projet'!$E$12+1,1))</f>
        <v>290.68086183422963</v>
      </c>
      <c r="CE58" s="60">
        <f t="shared" si="40"/>
        <v>317.88330630101785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212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212.00000000000006</v>
      </c>
      <c r="CU58" s="18">
        <f>CT58*VLOOKUP('Données projet'!$B$13,Paramètres!$A$1:$I$89,3,0)*VLOOKUP('Données projet'!$B$13,Paramètres!$A$1:$I$89,5,0)</f>
        <v>138.90240000000003</v>
      </c>
      <c r="CV58" s="14">
        <f t="shared" si="41"/>
        <v>36.045445680666461</v>
      </c>
      <c r="CW58" s="22">
        <f t="shared" si="13"/>
        <v>304.70083122716079</v>
      </c>
      <c r="CX58" s="60">
        <f t="shared" si="14"/>
        <v>598.0341645604941</v>
      </c>
      <c r="CY58" s="60">
        <f ca="1">AVERAGE(OFFSET($CX$3,0,0,'Données projet'!$E$13+1,1))-AVERAGE(OFFSET($H$3,0,0,'Données projet'!$E$13+1,1))</f>
        <v>243.04319555814601</v>
      </c>
      <c r="CZ58" s="60">
        <f t="shared" si="42"/>
        <v>235.68746142880792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0" t="e">
        <f t="shared" si="17"/>
        <v>#NUM!</v>
      </c>
      <c r="DT58" s="60">
        <f ca="1">AVERAGE(OFFSET($DS$3,0,0,'Données projet'!$E$14+1,1))-AVERAGE(OFFSET($H$3,0,0,'Données projet'!$E$14+1,1))</f>
        <v>201.4732637505823</v>
      </c>
      <c r="DU58" s="60">
        <f t="shared" si="44"/>
        <v>342.06887933351783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4.0261913550199271</v>
      </c>
      <c r="EB58" s="23">
        <f>EXP(-LN(2)/25)*EB57+(1-EXP(-LN(2)/25))/(LN(2)/25)*Calculateur!DW58*Calculateur!DY58*VLOOKUP('Données projet'!$B$14,Paramètres!$A$1:$I$89,3,0)*0.475*44/12</f>
        <v>13.220974954687028</v>
      </c>
      <c r="EC58" s="23">
        <f>EXP(-LN(2)/2)*EC57+(1-EXP(-LN(2)/2))/(LN(2)/2)*DW58*DZ58*VLOOKUP('Données projet'!$B$14,Paramètres!$A$1:$I$89,3,0)*0.475*44/12</f>
        <v>2.3127979968591214E-3</v>
      </c>
      <c r="ED58" s="24">
        <f t="shared" si="18"/>
        <v>17.249479107703813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10.433653846153845</v>
      </c>
      <c r="EJ58" s="13">
        <f>IF('Données projet'!$A$192&gt;35,EJ57+EI58-ER57,IF(A58&lt;'Données projet'!$A$192,$EG$205^A58,IF(A58='Données projet'!$A$192,'Données projet'!$B$192,EJ57+EI58-ER57)))</f>
        <v>301.33173076923043</v>
      </c>
      <c r="EK58" s="18">
        <f>EJ58*VLOOKUP('Données projet'!$B$15,Paramètres!$A$1:$I$89,3,0)*VLOOKUP('Données projet'!$B$15,Paramètres!$A$1:$I$89,5,0)</f>
        <v>180.19637499999982</v>
      </c>
      <c r="EL58" s="14">
        <f t="shared" si="45"/>
        <v>45.365873213127962</v>
      </c>
      <c r="EM58" s="22">
        <f t="shared" si="19"/>
        <v>392.85424897119748</v>
      </c>
      <c r="EN58" s="60">
        <f t="shared" si="20"/>
        <v>686.18758230453079</v>
      </c>
      <c r="EO58" s="60">
        <f ca="1">AVERAGE(OFFSET($EN$3,0,0,'Données projet'!$E$15+1,1))-AVERAGE(OFFSET($H$3,0,0,'Données projet'!$E$15+1,1))</f>
        <v>260.01925143568263</v>
      </c>
      <c r="EP58" s="60">
        <f t="shared" si="46"/>
        <v>269.95358755269427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8.661969254703223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8.661969254703223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266</v>
      </c>
      <c r="FC58" s="13">
        <f>VLOOKUP(A58,'Données projet'!$A$217:$I$237,9,0)</f>
        <v>7.6</v>
      </c>
      <c r="FD58" s="13">
        <f t="array" ref="FD58">INDEX(FC:FC,MIN(IF(ISNUMBER(FC58:FC254),ROW(FC58:FC254),"")))</f>
        <v>7.6</v>
      </c>
      <c r="FE58" s="13">
        <f>IF('Données projet'!$A$218&gt;35,FE57+FD58-FM57,IF(A58&lt;'Données projet'!$A$218,$FB$205^A58,IF(A58='Données projet'!$A$218,'Données projet'!$B$218,FE57+FD58-FM57)))</f>
        <v>266</v>
      </c>
      <c r="FF58" s="18">
        <f>FE58*VLOOKUP('Données projet'!$B$16,Paramètres!$A$1:$I$89,3,0)*VLOOKUP('Données projet'!$B$16,Paramètres!$A$1:$I$89,5,0)</f>
        <v>215.7792</v>
      </c>
      <c r="FG58" s="14">
        <f t="shared" si="47"/>
        <v>53.196483976998607</v>
      </c>
      <c r="FH58" s="22">
        <f t="shared" si="22"/>
        <v>468.46598292660588</v>
      </c>
      <c r="FI58" s="60">
        <f t="shared" si="23"/>
        <v>761.79931625993913</v>
      </c>
      <c r="FJ58" s="60">
        <f ca="1">AVERAGE(OFFSET($FI$3,0,0,'Données projet'!$E$16+1,1))-AVERAGE(OFFSET($H$3,0,0,'Données projet'!$E$16+1,1))</f>
        <v>256.19915261735281</v>
      </c>
      <c r="FK58" s="60">
        <f t="shared" si="48"/>
        <v>297.47246687305056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7.3624999999999972</v>
      </c>
      <c r="FZ58" s="13">
        <f>IF('Données projet'!$A$244&gt;35,FZ57+FY58-GH57,IF(A58&lt;'Données projet'!$A$244,$FW$205^A58,IF(A58='Données projet'!$A$244,'Données projet'!$B$244,FZ57+FY58-GH57)))</f>
        <v>229.01057692307694</v>
      </c>
      <c r="GA58" s="18">
        <f>FZ58*VLOOKUP('Données projet'!$B$17,Paramètres!$A$1:$I$89,3,0)*VLOOKUP('Données projet'!$B$17,Paramètres!$A$1:$I$89,5,0)</f>
        <v>130.99405000000002</v>
      </c>
      <c r="GB58" s="14">
        <f t="shared" si="49"/>
        <v>34.225953169853511</v>
      </c>
      <c r="GC58" s="22">
        <f t="shared" si="25"/>
        <v>287.75817218749484</v>
      </c>
      <c r="GD58" s="60">
        <f t="shared" si="26"/>
        <v>581.09150552082815</v>
      </c>
      <c r="GE58" s="60">
        <f ca="1">AVERAGE(OFFSET($GD$3,0,0,'Données projet'!$E$17+1,1))-AVERAGE(OFFSET($H$3,0,0,'Données projet'!$E$17+1,1))</f>
        <v>268.71641789629319</v>
      </c>
      <c r="GF58" s="60">
        <f t="shared" si="50"/>
        <v>199.94048514486104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1.0498981253294533</v>
      </c>
      <c r="GN58" s="23">
        <f>EXP(-LN(2)/2)*GN57+(1-EXP(-LN(2)/2))/(LN(2)/2)*GH58*GK58*VLOOKUP('Données projet'!$B$17,Paramètres!$A$1:$I$89,3,0)*0.475*44/12</f>
        <v>1.204242082772614E-3</v>
      </c>
      <c r="GO58" s="23">
        <f t="shared" si="27"/>
        <v>1.051102367412226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10.66307692307692</v>
      </c>
      <c r="GU58" s="13">
        <f>IF('Données projet'!$A$270&gt;35,GU57+GT58-HC57,IF(A58&lt;'Données projet'!$A$270,$GR$205^A58,IF(A58='Données projet'!$A$270,'Données projet'!$B$270,GU57+GT58-HC57)))</f>
        <v>289.10769230769228</v>
      </c>
      <c r="GV58" s="18">
        <f>GU58*VLOOKUP('Données projet'!$B$18,Paramètres!$A$1:$I$89,3,0)*VLOOKUP('Données projet'!$B$18,Paramètres!$A$1:$I$89,5,0)</f>
        <v>172.88639999999998</v>
      </c>
      <c r="GW58" s="14">
        <f t="shared" si="51"/>
        <v>43.735846359314316</v>
      </c>
      <c r="GX58" s="22">
        <f t="shared" si="28"/>
        <v>377.28374574247232</v>
      </c>
      <c r="GY58" s="60">
        <f t="shared" si="29"/>
        <v>670.61707907580558</v>
      </c>
      <c r="GZ58" s="60">
        <f ca="1">AVERAGE(OFFSET($GY$3,0,0,'Données projet'!$E$18+1,1))-AVERAGE(OFFSET($H$3,0,0,'Données projet'!$E$18+1,1))</f>
        <v>289.12367833861299</v>
      </c>
      <c r="HA58" s="60">
        <f t="shared" si="52"/>
        <v>229.06617320689003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7.1588261819678742E-4</v>
      </c>
      <c r="HJ58" s="24">
        <f t="shared" si="30"/>
        <v>7.1588261819678742E-4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0">
        <f t="shared" si="0"/>
        <v>656.19466748139871</v>
      </c>
      <c r="S59" s="60">
        <f ca="1">AVERAGE(OFFSET($R$3,0,0,'Données projet'!$E$9+1,1))-AVERAGE(OFFSET($H$3,0,0,'Données projet'!$E$9+1,1))</f>
        <v>430.11660085503223</v>
      </c>
      <c r="T59" s="60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427.7076923076923</v>
      </c>
      <c r="AG59" s="13">
        <f>VLOOKUP(A59,'Données projet'!$A$61:$I$81,9,0)</f>
        <v>16.227472527472521</v>
      </c>
      <c r="AH59" s="13">
        <f t="array" ref="AH59">INDEX(AG:AG,MIN(IF(ISNUMBER(AG59:AG255),ROW(AG59:AG255),"")))</f>
        <v>16.227472527472521</v>
      </c>
      <c r="AI59" s="14">
        <f>IF('Données projet'!$A$62&gt;35,AI58+AH59-AQ58,IF(A59&lt;'Données projet'!$A$62,$AF$205^A59,IF(A59='Données projet'!$A$62,'Données projet'!$B$62,AI58+AH59-AQ58)))</f>
        <v>427.7076923076923</v>
      </c>
      <c r="AJ59" s="14">
        <f>AI59*VLOOKUP('Données projet'!$B$10,Paramètres!$A$1:$I$89,3,0)*VLOOKUP('Données projet'!$B$10,Paramètres!$A$1:$I$89,5,0)</f>
        <v>239.08860000000001</v>
      </c>
      <c r="AK59" s="14">
        <f t="shared" si="35"/>
        <v>58.243394931850105</v>
      </c>
      <c r="AL59" s="22">
        <f t="shared" si="4"/>
        <v>517.85322450630554</v>
      </c>
      <c r="AM59" s="60">
        <f t="shared" si="5"/>
        <v>811.18655783963891</v>
      </c>
      <c r="AN59" s="60">
        <f ca="1">AVERAGE(OFFSET($AM$3,0,0,'Données projet'!$E$10+1,1))-AVERAGE(OFFSET($H$3,0,0,'Données projet'!$E$10+1,1))</f>
        <v>323.98185264074681</v>
      </c>
      <c r="AO59" s="60">
        <f t="shared" si="36"/>
        <v>301.22207291854005</v>
      </c>
      <c r="AP59" s="16">
        <f>IF(ISNA(VLOOKUP(A59,'Données projet'!$A$61:$I$81,3,0)),0,VLOOKUP(A59,'Données projet'!$A$61:$I$81,3,0))</f>
        <v>6</v>
      </c>
      <c r="AQ59" s="16">
        <f>IF(ISNA(VLOOKUP(A59,'Données projet'!$A$61:$I$81,4,0)),0,VLOOKUP(A59,'Données projet'!$A$61:$I$81,4,0))</f>
        <v>75.869230769230768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2.6664812118229784</v>
      </c>
      <c r="AV59" s="23">
        <f>EXP(-LN(2)/25)*AV58+(1-EXP(-LN(2)/25))/(LN(2)/25)*Calculateur!AQ59*Calculateur!AS59*VLOOKUP('Données projet'!$B$10,Paramètres!$A$1:$I$89,3,0)*0.475*44/12</f>
        <v>4.0108883993448616</v>
      </c>
      <c r="AW59" s="23">
        <f>EXP(-LN(2)/2)*AW58+(1-EXP(-LN(2)/2))/(LN(2)/2)*AQ59*AT59*VLOOKUP('Données projet'!$B$10,Paramètres!$A$1:$I$89,3,0)*0.475*44/12</f>
        <v>7.4314052485571541E-4</v>
      </c>
      <c r="AX59" s="23">
        <f t="shared" si="6"/>
        <v>6.6781127516926961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10.8</v>
      </c>
      <c r="BD59" s="13">
        <f>IF('Données projet'!$A$88&gt;35,BD58+BC59-BL58,IF(A59&lt;'Données projet'!$A$88,$BA$205^A59,IF(A59='Données projet'!$A$88,'Données projet'!$B$88,BD58+BC59-BL58)))</f>
        <v>226.8</v>
      </c>
      <c r="BE59" s="14">
        <f>BD59*VLOOKUP('Données projet'!$B$11,Paramètres!$A$1:$I$89,3,0)*VLOOKUP('Données projet'!$B$11,Paramètres!$A$1:$I$89,5,0)</f>
        <v>194.59440000000004</v>
      </c>
      <c r="BF59" s="14">
        <f t="shared" si="37"/>
        <v>48.554292648263456</v>
      </c>
      <c r="BG59" s="22">
        <f t="shared" si="7"/>
        <v>423.48397302905886</v>
      </c>
      <c r="BH59" s="60">
        <f t="shared" si="8"/>
        <v>716.81730636239217</v>
      </c>
      <c r="BI59" s="60">
        <f ca="1">AVERAGE(OFFSET($BH$3,0,0,'Données projet'!$E$11+1,1))-AVERAGE(OFFSET($H$3,0,0,'Données projet'!$E$11+1,1))</f>
        <v>556.75475431848258</v>
      </c>
      <c r="BJ59" s="60">
        <f t="shared" si="38"/>
        <v>256.77417912163997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5.1600000000000019</v>
      </c>
      <c r="BY59" s="13">
        <f>IF('Données projet'!$A$114&gt;35,BY58+BX59-CG58,IF(A59&lt;'Données projet'!$A$114,$BV$205^A59,IF(A59='Données projet'!$A$114,'Données projet'!$B$114,BY58+BX59-CG58)))</f>
        <v>237.66000000000011</v>
      </c>
      <c r="BZ59" s="14">
        <f>BY59*VLOOKUP('Données projet'!$B$12,Paramètres!$A$1:$I$89,3,0)*VLOOKUP('Données projet'!$B$12,Paramètres!$A$1:$I$89,5,0)</f>
        <v>174.25231200000007</v>
      </c>
      <c r="CA59" s="14">
        <f t="shared" si="39"/>
        <v>44.04102629341314</v>
      </c>
      <c r="CB59" s="22">
        <f t="shared" si="10"/>
        <v>380.19423086102802</v>
      </c>
      <c r="CC59" s="60">
        <f t="shared" si="11"/>
        <v>673.52756419436128</v>
      </c>
      <c r="CD59" s="60">
        <f ca="1">AVERAGE(OFFSET($CC$3,0,0,'Données projet'!$E$12+1,1))-AVERAGE(OFFSET($H$3,0,0,'Données projet'!$E$12+1,1))</f>
        <v>290.68086183422963</v>
      </c>
      <c r="CE59" s="60">
        <f t="shared" si="40"/>
        <v>317.88330630101785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176.00000000000006</v>
      </c>
      <c r="CU59" s="18">
        <f>CT59*VLOOKUP('Données projet'!$B$13,Paramètres!$A$1:$I$89,3,0)*VLOOKUP('Données projet'!$B$13,Paramètres!$A$1:$I$89,5,0)</f>
        <v>115.31520000000003</v>
      </c>
      <c r="CV59" s="14">
        <f t="shared" si="41"/>
        <v>30.579827148797317</v>
      </c>
      <c r="CW59" s="22">
        <f t="shared" si="13"/>
        <v>254.10050561748869</v>
      </c>
      <c r="CX59" s="60">
        <f t="shared" si="14"/>
        <v>547.43383895082206</v>
      </c>
      <c r="CY59" s="60">
        <f ca="1">AVERAGE(OFFSET($CX$3,0,0,'Données projet'!$E$13+1,1))-AVERAGE(OFFSET($H$3,0,0,'Données projet'!$E$13+1,1))</f>
        <v>243.04319555814601</v>
      </c>
      <c r="CZ59" s="60">
        <f t="shared" si="42"/>
        <v>235.68746142880792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0" t="e">
        <f t="shared" si="17"/>
        <v>#NUM!</v>
      </c>
      <c r="DT59" s="60">
        <f ca="1">AVERAGE(OFFSET($DS$3,0,0,'Données projet'!$E$14+1,1))-AVERAGE(OFFSET($H$3,0,0,'Données projet'!$E$14+1,1))</f>
        <v>201.4732637505823</v>
      </c>
      <c r="DU59" s="60">
        <f t="shared" si="44"/>
        <v>342.06887933351783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3.9472401982822292</v>
      </c>
      <c r="EB59" s="23">
        <f>EXP(-LN(2)/25)*EB58+(1-EXP(-LN(2)/25))/(LN(2)/25)*Calculateur!DW59*Calculateur!DY59*VLOOKUP('Données projet'!$B$14,Paramètres!$A$1:$I$89,3,0)*0.475*44/12</f>
        <v>12.859446699290256</v>
      </c>
      <c r="EC59" s="23">
        <f>EXP(-LN(2)/2)*EC58+(1-EXP(-LN(2)/2))/(LN(2)/2)*DW59*DZ59*VLOOKUP('Données projet'!$B$14,Paramètres!$A$1:$I$89,3,0)*0.475*44/12</f>
        <v>1.6353951470937482E-3</v>
      </c>
      <c r="ED59" s="24">
        <f t="shared" si="18"/>
        <v>16.808322292719581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10.433653846153845</v>
      </c>
      <c r="EJ59" s="13">
        <f>IF('Données projet'!$A$192&gt;35,EJ58+EI59-ER58,IF(A59&lt;'Données projet'!$A$192,$EG$205^A59,IF(A59='Données projet'!$A$192,'Données projet'!$B$192,EJ58+EI59-ER58)))</f>
        <v>311.76538461538428</v>
      </c>
      <c r="EK59" s="18">
        <f>EJ59*VLOOKUP('Données projet'!$B$15,Paramètres!$A$1:$I$89,3,0)*VLOOKUP('Données projet'!$B$15,Paramètres!$A$1:$I$89,5,0)</f>
        <v>186.4356999999998</v>
      </c>
      <c r="EL59" s="14">
        <f t="shared" si="45"/>
        <v>46.751070304344353</v>
      </c>
      <c r="EM59" s="22">
        <f t="shared" si="19"/>
        <v>406.13362494673265</v>
      </c>
      <c r="EN59" s="60">
        <f t="shared" si="20"/>
        <v>699.46695828006591</v>
      </c>
      <c r="EO59" s="60">
        <f ca="1">AVERAGE(OFFSET($EN$3,0,0,'Données projet'!$E$15+1,1))-AVERAGE(OFFSET($H$3,0,0,'Données projet'!$E$15+1,1))</f>
        <v>260.01925143568263</v>
      </c>
      <c r="EP59" s="60">
        <f t="shared" si="46"/>
        <v>269.95358755269427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8.4921133208980581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8.4921133208980581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7.4</v>
      </c>
      <c r="FE59" s="13">
        <f>IF('Données projet'!$A$218&gt;35,FE58+FD59-FM58,IF(A59&lt;'Données projet'!$A$218,$FB$205^A59,IF(A59='Données projet'!$A$218,'Données projet'!$B$218,FE58+FD59-FM58)))</f>
        <v>273.39999999999998</v>
      </c>
      <c r="FF59" s="18">
        <f>FE59*VLOOKUP('Données projet'!$B$16,Paramètres!$A$1:$I$89,3,0)*VLOOKUP('Données projet'!$B$16,Paramètres!$A$1:$I$89,5,0)</f>
        <v>221.78208000000001</v>
      </c>
      <c r="FG59" s="14">
        <f t="shared" si="47"/>
        <v>54.502029950220781</v>
      </c>
      <c r="FH59" s="22">
        <f t="shared" si="22"/>
        <v>481.19482482996779</v>
      </c>
      <c r="FI59" s="60">
        <f t="shared" si="23"/>
        <v>774.5281581633011</v>
      </c>
      <c r="FJ59" s="60">
        <f ca="1">AVERAGE(OFFSET($FI$3,0,0,'Données projet'!$E$16+1,1))-AVERAGE(OFFSET($H$3,0,0,'Données projet'!$E$16+1,1))</f>
        <v>256.19915261735281</v>
      </c>
      <c r="FK59" s="60">
        <f t="shared" si="48"/>
        <v>297.47246687305056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7.3624999999999972</v>
      </c>
      <c r="FZ59" s="13">
        <f>IF('Données projet'!$A$244&gt;35,FZ58+FY59-GH58,IF(A59&lt;'Données projet'!$A$244,$FW$205^A59,IF(A59='Données projet'!$A$244,'Données projet'!$B$244,FZ58+FY59-GH58)))</f>
        <v>236.37307692307695</v>
      </c>
      <c r="GA59" s="18">
        <f>FZ59*VLOOKUP('Données projet'!$B$17,Paramètres!$A$1:$I$89,3,0)*VLOOKUP('Données projet'!$B$17,Paramètres!$A$1:$I$89,5,0)</f>
        <v>135.20540000000003</v>
      </c>
      <c r="GB59" s="14">
        <f t="shared" si="49"/>
        <v>35.196412281061924</v>
      </c>
      <c r="GC59" s="22">
        <f t="shared" si="25"/>
        <v>296.78315638951619</v>
      </c>
      <c r="GD59" s="60">
        <f t="shared" si="26"/>
        <v>590.11648972284956</v>
      </c>
      <c r="GE59" s="60">
        <f ca="1">AVERAGE(OFFSET($GD$3,0,0,'Données projet'!$E$17+1,1))-AVERAGE(OFFSET($H$3,0,0,'Données projet'!$E$17+1,1))</f>
        <v>268.71641789629319</v>
      </c>
      <c r="GF59" s="60">
        <f t="shared" si="50"/>
        <v>199.94048514486104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1.0211886058805766</v>
      </c>
      <c r="GN59" s="23">
        <f>EXP(-LN(2)/2)*GN58+(1-EXP(-LN(2)/2))/(LN(2)/2)*GH59*GK59*VLOOKUP('Données projet'!$B$17,Paramètres!$A$1:$I$89,3,0)*0.475*44/12</f>
        <v>8.5152774291872701E-4</v>
      </c>
      <c r="GO59" s="23">
        <f t="shared" si="27"/>
        <v>1.0220401336234952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10.66307692307692</v>
      </c>
      <c r="GU59" s="13">
        <f>IF('Données projet'!$A$270&gt;35,GU58+GT59-HC58,IF(A59&lt;'Données projet'!$A$270,$GR$205^A59,IF(A59='Données projet'!$A$270,'Données projet'!$B$270,GU58+GT59-HC58)))</f>
        <v>299.77076923076919</v>
      </c>
      <c r="GV59" s="18">
        <f>GU59*VLOOKUP('Données projet'!$B$18,Paramètres!$A$1:$I$89,3,0)*VLOOKUP('Données projet'!$B$18,Paramètres!$A$1:$I$89,5,0)</f>
        <v>179.26291999999998</v>
      </c>
      <c r="GW59" s="14">
        <f t="shared" si="51"/>
        <v>45.158160305042841</v>
      </c>
      <c r="GX59" s="22">
        <f t="shared" si="28"/>
        <v>390.8667148646162</v>
      </c>
      <c r="GY59" s="60">
        <f t="shared" si="29"/>
        <v>684.20004819794951</v>
      </c>
      <c r="GZ59" s="60">
        <f ca="1">AVERAGE(OFFSET($GY$3,0,0,'Données projet'!$E$18+1,1))-AVERAGE(OFFSET($H$3,0,0,'Données projet'!$E$18+1,1))</f>
        <v>289.12367833861299</v>
      </c>
      <c r="HA59" s="60">
        <f t="shared" si="52"/>
        <v>229.06617320689003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5.062054538605285E-4</v>
      </c>
      <c r="HJ59" s="24">
        <f t="shared" si="30"/>
        <v>5.062054538605285E-4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0">
        <f t="shared" si="0"/>
        <v>670.85438320142657</v>
      </c>
      <c r="S60" s="60">
        <f ca="1">AVERAGE(OFFSET($R$3,0,0,'Données projet'!$E$9+1,1))-AVERAGE(OFFSET($H$3,0,0,'Données projet'!$E$9+1,1))</f>
        <v>430.11660085503223</v>
      </c>
      <c r="T60" s="60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14.839560439560435</v>
      </c>
      <c r="AI60" s="14">
        <f>IF('Données projet'!$A$62&gt;35,AI59+AH60-AQ59,IF(A60&lt;'Données projet'!$A$62,$AF$205^A60,IF(A60='Données projet'!$A$62,'Données projet'!$B$62,AI59+AH60-AQ59)))</f>
        <v>366.678021978022</v>
      </c>
      <c r="AJ60" s="14">
        <f>AI60*VLOOKUP('Données projet'!$B$10,Paramètres!$A$1:$I$89,3,0)*VLOOKUP('Données projet'!$B$10,Paramètres!$A$1:$I$89,5,0)</f>
        <v>204.9730142857143</v>
      </c>
      <c r="AK60" s="14">
        <f t="shared" si="35"/>
        <v>50.835518579260878</v>
      </c>
      <c r="AL60" s="22">
        <f t="shared" si="4"/>
        <v>445.53319473983174</v>
      </c>
      <c r="AM60" s="60">
        <f t="shared" si="5"/>
        <v>738.866528073165</v>
      </c>
      <c r="AN60" s="60">
        <f ca="1">AVERAGE(OFFSET($AM$3,0,0,'Données projet'!$E$10+1,1))-AVERAGE(OFFSET($H$3,0,0,'Données projet'!$E$10+1,1))</f>
        <v>323.98185264074681</v>
      </c>
      <c r="AO60" s="60">
        <f t="shared" si="36"/>
        <v>301.22207291854005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2.6141931416520761</v>
      </c>
      <c r="AV60" s="23">
        <f>EXP(-LN(2)/25)*AV59+(1-EXP(-LN(2)/25))/(LN(2)/25)*Calculateur!AQ60*Calculateur!AS60*VLOOKUP('Données projet'!$B$10,Paramètres!$A$1:$I$89,3,0)*0.475*44/12</f>
        <v>3.9012104451413223</v>
      </c>
      <c r="AW60" s="23">
        <f>EXP(-LN(2)/2)*AW59+(1-EXP(-LN(2)/2))/(LN(2)/2)*AQ60*AT60*VLOOKUP('Données projet'!$B$10,Paramètres!$A$1:$I$89,3,0)*0.475*44/12</f>
        <v>5.2547970450000643E-4</v>
      </c>
      <c r="AX60" s="23">
        <f t="shared" si="6"/>
        <v>6.5159290664978986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10.8</v>
      </c>
      <c r="BD60" s="13">
        <f>IF('Données projet'!$A$88&gt;35,BD59+BC60-BL59,IF(A60&lt;'Données projet'!$A$88,$BA$205^A60,IF(A60='Données projet'!$A$88,'Données projet'!$B$88,BD59+BC60-BL59)))</f>
        <v>237.60000000000002</v>
      </c>
      <c r="BE60" s="14">
        <f>BD60*VLOOKUP('Données projet'!$B$11,Paramètres!$A$1:$I$89,3,0)*VLOOKUP('Données projet'!$B$11,Paramètres!$A$1:$I$89,5,0)</f>
        <v>203.86080000000007</v>
      </c>
      <c r="BF60" s="14">
        <f t="shared" si="37"/>
        <v>50.591708220421786</v>
      </c>
      <c r="BG60" s="22">
        <f t="shared" si="7"/>
        <v>443.17145181723475</v>
      </c>
      <c r="BH60" s="60">
        <f t="shared" si="8"/>
        <v>736.50478515056807</v>
      </c>
      <c r="BI60" s="60">
        <f ca="1">AVERAGE(OFFSET($BH$3,0,0,'Données projet'!$E$11+1,1))-AVERAGE(OFFSET($H$3,0,0,'Données projet'!$E$11+1,1))</f>
        <v>556.75475431848258</v>
      </c>
      <c r="BJ60" s="60">
        <f t="shared" si="38"/>
        <v>256.77417912163997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5.1600000000000019</v>
      </c>
      <c r="BY60" s="13">
        <f>IF('Données projet'!$A$114&gt;35,BY59+BX60-CG59,IF(A60&lt;'Données projet'!$A$114,$BV$205^A60,IF(A60='Données projet'!$A$114,'Données projet'!$B$114,BY59+BX60-CG59)))</f>
        <v>242.82000000000011</v>
      </c>
      <c r="BZ60" s="14">
        <f>BY60*VLOOKUP('Données projet'!$B$12,Paramètres!$A$1:$I$89,3,0)*VLOOKUP('Données projet'!$B$12,Paramètres!$A$1:$I$89,5,0)</f>
        <v>178.03562400000007</v>
      </c>
      <c r="CA60" s="14">
        <f t="shared" si="39"/>
        <v>44.884869980598666</v>
      </c>
      <c r="CB60" s="22">
        <f t="shared" si="10"/>
        <v>388.25319368287614</v>
      </c>
      <c r="CC60" s="60">
        <f t="shared" si="11"/>
        <v>681.5865270162094</v>
      </c>
      <c r="CD60" s="60">
        <f ca="1">AVERAGE(OFFSET($CC$3,0,0,'Données projet'!$E$12+1,1))-AVERAGE(OFFSET($H$3,0,0,'Données projet'!$E$12+1,1))</f>
        <v>290.68086183422963</v>
      </c>
      <c r="CE60" s="60">
        <f t="shared" si="40"/>
        <v>317.88330630101785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181.00000000000006</v>
      </c>
      <c r="CU60" s="18">
        <f>CT60*VLOOKUP('Données projet'!$B$13,Paramètres!$A$1:$I$89,3,0)*VLOOKUP('Données projet'!$B$13,Paramètres!$A$1:$I$89,5,0)</f>
        <v>118.59120000000004</v>
      </c>
      <c r="CV60" s="14">
        <f t="shared" si="41"/>
        <v>31.346194334434067</v>
      </c>
      <c r="CW60" s="22">
        <f t="shared" si="13"/>
        <v>261.1409617991394</v>
      </c>
      <c r="CX60" s="60">
        <f t="shared" si="14"/>
        <v>554.47429513247266</v>
      </c>
      <c r="CY60" s="60">
        <f ca="1">AVERAGE(OFFSET($CX$3,0,0,'Données projet'!$E$13+1,1))-AVERAGE(OFFSET($H$3,0,0,'Données projet'!$E$13+1,1))</f>
        <v>243.04319555814601</v>
      </c>
      <c r="CZ60" s="60">
        <f t="shared" si="42"/>
        <v>235.68746142880792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0" t="e">
        <f t="shared" si="17"/>
        <v>#NUM!</v>
      </c>
      <c r="DT60" s="60">
        <f ca="1">AVERAGE(OFFSET($DS$3,0,0,'Données projet'!$E$14+1,1))-AVERAGE(OFFSET($H$3,0,0,'Données projet'!$E$14+1,1))</f>
        <v>201.4732637505823</v>
      </c>
      <c r="DU60" s="60">
        <f t="shared" si="44"/>
        <v>342.06887933351783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3.8698372255727072</v>
      </c>
      <c r="EB60" s="23">
        <f>EXP(-LN(2)/25)*EB59+(1-EXP(-LN(2)/25))/(LN(2)/25)*Calculateur!DW60*Calculateur!DY60*VLOOKUP('Données projet'!$B$14,Paramètres!$A$1:$I$89,3,0)*0.475*44/12</f>
        <v>12.507804453049253</v>
      </c>
      <c r="EC60" s="23">
        <f>EXP(-LN(2)/2)*EC59+(1-EXP(-LN(2)/2))/(LN(2)/2)*DW60*DZ60*VLOOKUP('Données projet'!$B$14,Paramètres!$A$1:$I$89,3,0)*0.475*44/12</f>
        <v>1.1563989984295607E-3</v>
      </c>
      <c r="ED60" s="24">
        <f t="shared" si="18"/>
        <v>16.378798077620388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10.433653846153845</v>
      </c>
      <c r="EJ60" s="13">
        <f>IF('Données projet'!$A$192&gt;35,EJ59+EI60-ER59,IF(A60&lt;'Données projet'!$A$192,$EG$205^A60,IF(A60='Données projet'!$A$192,'Données projet'!$B$192,EJ59+EI60-ER59)))</f>
        <v>322.19903846153812</v>
      </c>
      <c r="EK60" s="18">
        <f>EJ60*VLOOKUP('Données projet'!$B$15,Paramètres!$A$1:$I$89,3,0)*VLOOKUP('Données projet'!$B$15,Paramètres!$A$1:$I$89,5,0)</f>
        <v>192.67502499999981</v>
      </c>
      <c r="EL60" s="14">
        <f t="shared" si="45"/>
        <v>48.130880815569739</v>
      </c>
      <c r="EM60" s="22">
        <f t="shared" si="19"/>
        <v>419.40361929545026</v>
      </c>
      <c r="EN60" s="60">
        <f t="shared" si="20"/>
        <v>712.73695262878357</v>
      </c>
      <c r="EO60" s="60">
        <f ca="1">AVERAGE(OFFSET($EN$3,0,0,'Données projet'!$E$15+1,1))-AVERAGE(OFFSET($H$3,0,0,'Données projet'!$E$15+1,1))</f>
        <v>260.01925143568263</v>
      </c>
      <c r="EP60" s="60">
        <f t="shared" si="46"/>
        <v>269.95358755269427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8.3255881583529217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8.3255881583529217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7.4</v>
      </c>
      <c r="FE60" s="13">
        <f>IF('Données projet'!$A$218&gt;35,FE59+FD60-FM59,IF(A60&lt;'Données projet'!$A$218,$FB$205^A60,IF(A60='Données projet'!$A$218,'Données projet'!$B$218,FE59+FD60-FM59)))</f>
        <v>280.79999999999995</v>
      </c>
      <c r="FF60" s="18">
        <f>FE60*VLOOKUP('Données projet'!$B$16,Paramètres!$A$1:$I$89,3,0)*VLOOKUP('Données projet'!$B$16,Paramètres!$A$1:$I$89,5,0)</f>
        <v>227.78495999999998</v>
      </c>
      <c r="FG60" s="14">
        <f t="shared" si="47"/>
        <v>55.803468680001743</v>
      </c>
      <c r="FH60" s="22">
        <f t="shared" si="22"/>
        <v>493.91651328433619</v>
      </c>
      <c r="FI60" s="60">
        <f t="shared" si="23"/>
        <v>787.2498466176695</v>
      </c>
      <c r="FJ60" s="60">
        <f ca="1">AVERAGE(OFFSET($FI$3,0,0,'Données projet'!$E$16+1,1))-AVERAGE(OFFSET($H$3,0,0,'Données projet'!$E$16+1,1))</f>
        <v>256.19915261735281</v>
      </c>
      <c r="FK60" s="60">
        <f t="shared" si="48"/>
        <v>297.47246687305056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7.3624999999999972</v>
      </c>
      <c r="FZ60" s="13">
        <f>IF('Données projet'!$A$244&gt;35,FZ59+FY60-GH59,IF(A60&lt;'Données projet'!$A$244,$FW$205^A60,IF(A60='Données projet'!$A$244,'Données projet'!$B$244,FZ59+FY60-GH59)))</f>
        <v>243.73557692307696</v>
      </c>
      <c r="GA60" s="18">
        <f>FZ60*VLOOKUP('Données projet'!$B$17,Paramètres!$A$1:$I$89,3,0)*VLOOKUP('Données projet'!$B$17,Paramètres!$A$1:$I$89,5,0)</f>
        <v>139.41675000000004</v>
      </c>
      <c r="GB60" s="14">
        <f t="shared" si="49"/>
        <v>36.163358663077204</v>
      </c>
      <c r="GC60" s="22">
        <f t="shared" si="25"/>
        <v>305.80202258819287</v>
      </c>
      <c r="GD60" s="60">
        <f t="shared" si="26"/>
        <v>599.13535592152618</v>
      </c>
      <c r="GE60" s="60">
        <f ca="1">AVERAGE(OFFSET($GD$3,0,0,'Données projet'!$E$17+1,1))-AVERAGE(OFFSET($H$3,0,0,'Données projet'!$E$17+1,1))</f>
        <v>268.71641789629319</v>
      </c>
      <c r="GF60" s="60">
        <f t="shared" si="50"/>
        <v>199.94048514486104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0.99326414975079735</v>
      </c>
      <c r="GN60" s="23">
        <f>EXP(-LN(2)/2)*GN59+(1-EXP(-LN(2)/2))/(LN(2)/2)*GH60*GK60*VLOOKUP('Données projet'!$B$17,Paramètres!$A$1:$I$89,3,0)*0.475*44/12</f>
        <v>6.0212104138630698E-4</v>
      </c>
      <c r="GO60" s="23">
        <f t="shared" si="27"/>
        <v>0.9938662707921837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10.66307692307692</v>
      </c>
      <c r="GU60" s="13">
        <f>IF('Données projet'!$A$270&gt;35,GU59+GT60-HC59,IF(A60&lt;'Données projet'!$A$270,$GR$205^A60,IF(A60='Données projet'!$A$270,'Données projet'!$B$270,GU59+GT60-HC59)))</f>
        <v>310.4338461538461</v>
      </c>
      <c r="GV60" s="18">
        <f>GU60*VLOOKUP('Données projet'!$B$18,Paramètres!$A$1:$I$89,3,0)*VLOOKUP('Données projet'!$B$18,Paramètres!$A$1:$I$89,5,0)</f>
        <v>185.63943999999998</v>
      </c>
      <c r="GW60" s="14">
        <f t="shared" si="51"/>
        <v>46.574596113982338</v>
      </c>
      <c r="GX60" s="22">
        <f t="shared" si="28"/>
        <v>404.43944623185251</v>
      </c>
      <c r="GY60" s="60">
        <f t="shared" si="29"/>
        <v>697.77277956518583</v>
      </c>
      <c r="GZ60" s="60">
        <f ca="1">AVERAGE(OFFSET($GY$3,0,0,'Données projet'!$E$18+1,1))-AVERAGE(OFFSET($H$3,0,0,'Données projet'!$E$18+1,1))</f>
        <v>289.12367833861299</v>
      </c>
      <c r="HA60" s="60">
        <f t="shared" si="52"/>
        <v>229.06617320689003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3.5794130909839371E-4</v>
      </c>
      <c r="HJ60" s="24">
        <f t="shared" si="30"/>
        <v>3.5794130909839371E-4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0">
        <f t="shared" si="0"/>
        <v>685.50170967350618</v>
      </c>
      <c r="S61" s="60">
        <f ca="1">AVERAGE(OFFSET($R$3,0,0,'Données projet'!$E$9+1,1))-AVERAGE(OFFSET($H$3,0,0,'Données projet'!$E$9+1,1))</f>
        <v>430.11660085503223</v>
      </c>
      <c r="T61" s="60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14.839560439560435</v>
      </c>
      <c r="AI61" s="14">
        <f>IF('Données projet'!$A$62&gt;35,AI60+AH61-AQ60,IF(A61&lt;'Données projet'!$A$62,$AF$205^A61,IF(A61='Données projet'!$A$62,'Données projet'!$B$62,AI60+AH61-AQ60)))</f>
        <v>381.51758241758245</v>
      </c>
      <c r="AJ61" s="14">
        <f>AI61*VLOOKUP('Données projet'!$B$10,Paramètres!$A$1:$I$89,3,0)*VLOOKUP('Données projet'!$B$10,Paramètres!$A$1:$I$89,5,0)</f>
        <v>213.26832857142858</v>
      </c>
      <c r="AK61" s="14">
        <f t="shared" si="35"/>
        <v>52.649154508451623</v>
      </c>
      <c r="AL61" s="22">
        <f t="shared" si="4"/>
        <v>463.13961636412461</v>
      </c>
      <c r="AM61" s="60">
        <f t="shared" si="5"/>
        <v>756.47294969745792</v>
      </c>
      <c r="AN61" s="60">
        <f ca="1">AVERAGE(OFFSET($AM$3,0,0,'Données projet'!$E$10+1,1))-AVERAGE(OFFSET($H$3,0,0,'Données projet'!$E$10+1,1))</f>
        <v>323.98185264074681</v>
      </c>
      <c r="AO61" s="60">
        <f t="shared" si="36"/>
        <v>301.22207291854005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2.5629304086446516</v>
      </c>
      <c r="AV61" s="23">
        <f>EXP(-LN(2)/25)*AV60+(1-EXP(-LN(2)/25))/(LN(2)/25)*Calculateur!AQ61*Calculateur!AS61*VLOOKUP('Données projet'!$B$10,Paramètres!$A$1:$I$89,3,0)*0.475*44/12</f>
        <v>3.7945316403631919</v>
      </c>
      <c r="AW61" s="23">
        <f>EXP(-LN(2)/2)*AW60+(1-EXP(-LN(2)/2))/(LN(2)/2)*AQ61*AT61*VLOOKUP('Données projet'!$B$10,Paramètres!$A$1:$I$89,3,0)*0.475*44/12</f>
        <v>3.7157026242785771E-4</v>
      </c>
      <c r="AX61" s="23">
        <f t="shared" si="6"/>
        <v>6.3578336192702709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10.8</v>
      </c>
      <c r="BD61" s="13">
        <f>IF('Données projet'!$A$88&gt;35,BD60+BC61-BL60,IF(A61&lt;'Données projet'!$A$88,$BA$205^A61,IF(A61='Données projet'!$A$88,'Données projet'!$B$88,BD60+BC61-BL60)))</f>
        <v>248.40000000000003</v>
      </c>
      <c r="BE61" s="14">
        <f>BD61*VLOOKUP('Données projet'!$B$11,Paramètres!$A$1:$I$89,3,0)*VLOOKUP('Données projet'!$B$11,Paramètres!$A$1:$I$89,5,0)</f>
        <v>213.12720000000004</v>
      </c>
      <c r="BF61" s="14">
        <f t="shared" si="37"/>
        <v>52.618368568459893</v>
      </c>
      <c r="BG61" s="22">
        <f t="shared" si="7"/>
        <v>462.8401985900677</v>
      </c>
      <c r="BH61" s="60">
        <f t="shared" si="8"/>
        <v>756.17353192340101</v>
      </c>
      <c r="BI61" s="60">
        <f ca="1">AVERAGE(OFFSET($BH$3,0,0,'Données projet'!$E$11+1,1))-AVERAGE(OFFSET($H$3,0,0,'Données projet'!$E$11+1,1))</f>
        <v>556.75475431848258</v>
      </c>
      <c r="BJ61" s="60">
        <f t="shared" si="38"/>
        <v>256.77417912163997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5.1600000000000019</v>
      </c>
      <c r="BY61" s="13">
        <f>IF('Données projet'!$A$114&gt;35,BY60+BX61-CG60,IF(A61&lt;'Données projet'!$A$114,$BV$205^A61,IF(A61='Données projet'!$A$114,'Données projet'!$B$114,BY60+BX61-CG60)))</f>
        <v>247.9800000000001</v>
      </c>
      <c r="BZ61" s="14">
        <f>BY61*VLOOKUP('Données projet'!$B$12,Paramètres!$A$1:$I$89,3,0)*VLOOKUP('Données projet'!$B$12,Paramètres!$A$1:$I$89,5,0)</f>
        <v>181.81893600000006</v>
      </c>
      <c r="CA61" s="14">
        <f t="shared" si="39"/>
        <v>45.726628803579182</v>
      </c>
      <c r="CB61" s="22">
        <f t="shared" si="10"/>
        <v>396.30852536623382</v>
      </c>
      <c r="CC61" s="60">
        <f t="shared" si="11"/>
        <v>689.64185869956714</v>
      </c>
      <c r="CD61" s="60">
        <f ca="1">AVERAGE(OFFSET($CC$3,0,0,'Données projet'!$E$12+1,1))-AVERAGE(OFFSET($H$3,0,0,'Données projet'!$E$12+1,1))</f>
        <v>290.68086183422963</v>
      </c>
      <c r="CE61" s="60">
        <f t="shared" si="40"/>
        <v>317.88330630101785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186.00000000000006</v>
      </c>
      <c r="CU61" s="18">
        <f>CT61*VLOOKUP('Données projet'!$B$13,Paramètres!$A$1:$I$89,3,0)*VLOOKUP('Données projet'!$B$13,Paramètres!$A$1:$I$89,5,0)</f>
        <v>121.86720000000004</v>
      </c>
      <c r="CV61" s="14">
        <f t="shared" si="41"/>
        <v>32.110100916567376</v>
      </c>
      <c r="CW61" s="22">
        <f t="shared" si="13"/>
        <v>268.17713242968824</v>
      </c>
      <c r="CX61" s="60">
        <f t="shared" si="14"/>
        <v>561.51046576302156</v>
      </c>
      <c r="CY61" s="60">
        <f ca="1">AVERAGE(OFFSET($CX$3,0,0,'Données projet'!$E$13+1,1))-AVERAGE(OFFSET($H$3,0,0,'Données projet'!$E$13+1,1))</f>
        <v>243.04319555814601</v>
      </c>
      <c r="CZ61" s="60">
        <f t="shared" si="42"/>
        <v>235.68746142880792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0" t="e">
        <f t="shared" si="17"/>
        <v>#NUM!</v>
      </c>
      <c r="DT61" s="60">
        <f ca="1">AVERAGE(OFFSET($DS$3,0,0,'Données projet'!$E$14+1,1))-AVERAGE(OFFSET($H$3,0,0,'Données projet'!$E$14+1,1))</f>
        <v>201.4732637505823</v>
      </c>
      <c r="DU61" s="60">
        <f t="shared" si="44"/>
        <v>342.06887933351783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3.7939520779468672</v>
      </c>
      <c r="EB61" s="23">
        <f>EXP(-LN(2)/25)*EB60+(1-EXP(-LN(2)/25))/(LN(2)/25)*Calculateur!DW61*Calculateur!DY61*VLOOKUP('Données projet'!$B$14,Paramètres!$A$1:$I$89,3,0)*0.475*44/12</f>
        <v>12.165777882523772</v>
      </c>
      <c r="EC61" s="23">
        <f>EXP(-LN(2)/2)*EC60+(1-EXP(-LN(2)/2))/(LN(2)/2)*DW61*DZ61*VLOOKUP('Données projet'!$B$14,Paramètres!$A$1:$I$89,3,0)*0.475*44/12</f>
        <v>8.176975735468741E-4</v>
      </c>
      <c r="ED61" s="24">
        <f t="shared" si="18"/>
        <v>15.960547658044186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10.433653846153845</v>
      </c>
      <c r="EJ61" s="13">
        <f>IF('Données projet'!$A$192&gt;35,EJ60+EI61-ER60,IF(A61&lt;'Données projet'!$A$192,$EG$205^A61,IF(A61='Données projet'!$A$192,'Données projet'!$B$192,EJ60+EI61-ER60)))</f>
        <v>332.63269230769197</v>
      </c>
      <c r="EK61" s="18">
        <f>EJ61*VLOOKUP('Données projet'!$B$15,Paramètres!$A$1:$I$89,3,0)*VLOOKUP('Données projet'!$B$15,Paramètres!$A$1:$I$89,5,0)</f>
        <v>198.91434999999981</v>
      </c>
      <c r="EL61" s="14">
        <f t="shared" si="45"/>
        <v>49.505499184742547</v>
      </c>
      <c r="EM61" s="22">
        <f t="shared" si="19"/>
        <v>432.66457066342628</v>
      </c>
      <c r="EN61" s="60">
        <f t="shared" si="20"/>
        <v>725.99790399675953</v>
      </c>
      <c r="EO61" s="60">
        <f ca="1">AVERAGE(OFFSET($EN$3,0,0,'Données projet'!$E$15+1,1))-AVERAGE(OFFSET($H$3,0,0,'Données projet'!$E$15+1,1))</f>
        <v>260.01925143568263</v>
      </c>
      <c r="EP61" s="60">
        <f t="shared" si="46"/>
        <v>269.95358755269427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8.1623284526749753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8.1623284526749753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7.4</v>
      </c>
      <c r="FE61" s="13">
        <f>IF('Données projet'!$A$218&gt;35,FE60+FD61-FM60,IF(A61&lt;'Données projet'!$A$218,$FB$205^A61,IF(A61='Données projet'!$A$218,'Données projet'!$B$218,FE60+FD61-FM60)))</f>
        <v>288.19999999999993</v>
      </c>
      <c r="FF61" s="18">
        <f>FE61*VLOOKUP('Données projet'!$B$16,Paramètres!$A$1:$I$89,3,0)*VLOOKUP('Données projet'!$B$16,Paramètres!$A$1:$I$89,5,0)</f>
        <v>233.78783999999996</v>
      </c>
      <c r="FG61" s="14">
        <f t="shared" si="47"/>
        <v>57.100920847849451</v>
      </c>
      <c r="FH61" s="22">
        <f t="shared" si="22"/>
        <v>506.63125847667106</v>
      </c>
      <c r="FI61" s="60">
        <f t="shared" si="23"/>
        <v>799.96459181000432</v>
      </c>
      <c r="FJ61" s="60">
        <f ca="1">AVERAGE(OFFSET($FI$3,0,0,'Données projet'!$E$16+1,1))-AVERAGE(OFFSET($H$3,0,0,'Données projet'!$E$16+1,1))</f>
        <v>256.19915261735281</v>
      </c>
      <c r="FK61" s="60">
        <f t="shared" si="48"/>
        <v>297.47246687305056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7.3624999999999972</v>
      </c>
      <c r="FZ61" s="13">
        <f>IF('Données projet'!$A$244&gt;35,FZ60+FY61-GH60,IF(A61&lt;'Données projet'!$A$244,$FW$205^A61,IF(A61='Données projet'!$A$244,'Données projet'!$B$244,FZ60+FY61-GH60)))</f>
        <v>251.09807692307697</v>
      </c>
      <c r="GA61" s="18">
        <f>FZ61*VLOOKUP('Données projet'!$B$17,Paramètres!$A$1:$I$89,3,0)*VLOOKUP('Données projet'!$B$17,Paramètres!$A$1:$I$89,5,0)</f>
        <v>143.62810000000005</v>
      </c>
      <c r="GB61" s="14">
        <f t="shared" si="49"/>
        <v>37.126910604137187</v>
      </c>
      <c r="GC61" s="22">
        <f t="shared" si="25"/>
        <v>314.81497680220565</v>
      </c>
      <c r="GD61" s="60">
        <f t="shared" si="26"/>
        <v>608.14831013553896</v>
      </c>
      <c r="GE61" s="60">
        <f ca="1">AVERAGE(OFFSET($GD$3,0,0,'Données projet'!$E$17+1,1))-AVERAGE(OFFSET($H$3,0,0,'Données projet'!$E$17+1,1))</f>
        <v>268.71641789629319</v>
      </c>
      <c r="GF61" s="60">
        <f t="shared" si="50"/>
        <v>199.94048514486104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0.96610328934237033</v>
      </c>
      <c r="GN61" s="23">
        <f>EXP(-LN(2)/2)*GN60+(1-EXP(-LN(2)/2))/(LN(2)/2)*GH61*GK61*VLOOKUP('Données projet'!$B$17,Paramètres!$A$1:$I$89,3,0)*0.475*44/12</f>
        <v>4.257638714593635E-4</v>
      </c>
      <c r="GO61" s="23">
        <f t="shared" si="27"/>
        <v>0.96652905321382965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10.66307692307692</v>
      </c>
      <c r="GU61" s="13">
        <f>IF('Données projet'!$A$270&gt;35,GU60+GT61-HC60,IF(A61&lt;'Données projet'!$A$270,$GR$205^A61,IF(A61='Données projet'!$A$270,'Données projet'!$B$270,GU60+GT61-HC60)))</f>
        <v>321.09692307692302</v>
      </c>
      <c r="GV61" s="18">
        <f>GU61*VLOOKUP('Données projet'!$B$18,Paramètres!$A$1:$I$89,3,0)*VLOOKUP('Données projet'!$B$18,Paramètres!$A$1:$I$89,5,0)</f>
        <v>192.01595999999998</v>
      </c>
      <c r="GW61" s="14">
        <f t="shared" si="51"/>
        <v>47.985378835949042</v>
      </c>
      <c r="GX61" s="22">
        <f t="shared" si="28"/>
        <v>418.00233180594455</v>
      </c>
      <c r="GY61" s="60">
        <f t="shared" si="29"/>
        <v>711.33566513927781</v>
      </c>
      <c r="GZ61" s="60">
        <f ca="1">AVERAGE(OFFSET($GY$3,0,0,'Données projet'!$E$18+1,1))-AVERAGE(OFFSET($H$3,0,0,'Données projet'!$E$18+1,1))</f>
        <v>289.12367833861299</v>
      </c>
      <c r="HA61" s="60">
        <f t="shared" si="52"/>
        <v>229.06617320689003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2.5310272693026425E-4</v>
      </c>
      <c r="HJ61" s="24">
        <f t="shared" si="30"/>
        <v>2.5310272693026425E-4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0">
        <f t="shared" si="0"/>
        <v>700.13717474882014</v>
      </c>
      <c r="S62" s="60">
        <f ca="1">AVERAGE(OFFSET($R$3,0,0,'Données projet'!$E$9+1,1))-AVERAGE(OFFSET($H$3,0,0,'Données projet'!$E$9+1,1))</f>
        <v>430.11660085503223</v>
      </c>
      <c r="T62" s="60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14.839560439560435</v>
      </c>
      <c r="AI62" s="14">
        <f>IF('Données projet'!$A$62&gt;35,AI61+AH62-AQ61,IF(A62&lt;'Données projet'!$A$62,$AF$205^A62,IF(A62='Données projet'!$A$62,'Données projet'!$B$62,AI61+AH62-AQ61)))</f>
        <v>396.35714285714289</v>
      </c>
      <c r="AJ62" s="14">
        <f>AI62*VLOOKUP('Données projet'!$B$10,Paramètres!$A$1:$I$89,3,0)*VLOOKUP('Données projet'!$B$10,Paramètres!$A$1:$I$89,5,0)</f>
        <v>221.56364285714287</v>
      </c>
      <c r="AK62" s="14">
        <f t="shared" si="35"/>
        <v>54.45459555983345</v>
      </c>
      <c r="AL62" s="22">
        <f t="shared" si="4"/>
        <v>480.73176524290039</v>
      </c>
      <c r="AM62" s="60">
        <f t="shared" si="5"/>
        <v>774.06509857623371</v>
      </c>
      <c r="AN62" s="60">
        <f ca="1">AVERAGE(OFFSET($AM$3,0,0,'Données projet'!$E$10+1,1))-AVERAGE(OFFSET($H$3,0,0,'Données projet'!$E$10+1,1))</f>
        <v>323.98185264074681</v>
      </c>
      <c r="AO62" s="60">
        <f t="shared" si="36"/>
        <v>301.22207291854005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2.512672906564323</v>
      </c>
      <c r="AV62" s="23">
        <f>EXP(-LN(2)/25)*AV61+(1-EXP(-LN(2)/25))/(LN(2)/25)*Calculateur!AQ62*Calculateur!AS62*VLOOKUP('Données projet'!$B$10,Paramètres!$A$1:$I$89,3,0)*0.475*44/12</f>
        <v>3.6907699731117138</v>
      </c>
      <c r="AW62" s="23">
        <f>EXP(-LN(2)/2)*AW61+(1-EXP(-LN(2)/2))/(LN(2)/2)*AQ62*AT62*VLOOKUP('Données projet'!$B$10,Paramètres!$A$1:$I$89,3,0)*0.475*44/12</f>
        <v>2.6273985225000321E-4</v>
      </c>
      <c r="AX62" s="23">
        <f t="shared" si="6"/>
        <v>6.2037056195282867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10.8</v>
      </c>
      <c r="BD62" s="13">
        <f>IF('Données projet'!$A$88&gt;35,BD61+BC62-BL61,IF(A62&lt;'Données projet'!$A$88,$BA$205^A62,IF(A62='Données projet'!$A$88,'Données projet'!$B$88,BD61+BC62-BL61)))</f>
        <v>259.20000000000005</v>
      </c>
      <c r="BE62" s="14">
        <f>BD62*VLOOKUP('Données projet'!$B$11,Paramètres!$A$1:$I$89,3,0)*VLOOKUP('Données projet'!$B$11,Paramètres!$A$1:$I$89,5,0)</f>
        <v>222.39360000000005</v>
      </c>
      <c r="BF62" s="14">
        <f t="shared" si="37"/>
        <v>54.634794757949287</v>
      </c>
      <c r="BG62" s="22">
        <f t="shared" si="7"/>
        <v>482.49112087009513</v>
      </c>
      <c r="BH62" s="60">
        <f t="shared" si="8"/>
        <v>775.82445420342844</v>
      </c>
      <c r="BI62" s="60">
        <f ca="1">AVERAGE(OFFSET($BH$3,0,0,'Données projet'!$E$11+1,1))-AVERAGE(OFFSET($H$3,0,0,'Données projet'!$E$11+1,1))</f>
        <v>556.75475431848258</v>
      </c>
      <c r="BJ62" s="60">
        <f t="shared" si="38"/>
        <v>256.77417912163997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5.1600000000000019</v>
      </c>
      <c r="BY62" s="13">
        <f>IF('Données projet'!$A$114&gt;35,BY61+BX62-CG61,IF(A62&lt;'Données projet'!$A$114,$BV$205^A62,IF(A62='Données projet'!$A$114,'Données projet'!$B$114,BY61+BX62-CG61)))</f>
        <v>253.1400000000001</v>
      </c>
      <c r="BZ62" s="14">
        <f>BY62*VLOOKUP('Données projet'!$B$12,Paramètres!$A$1:$I$89,3,0)*VLOOKUP('Données projet'!$B$12,Paramètres!$A$1:$I$89,5,0)</f>
        <v>185.60224800000006</v>
      </c>
      <c r="CA62" s="14">
        <f t="shared" si="39"/>
        <v>46.5663511426025</v>
      </c>
      <c r="CB62" s="22">
        <f t="shared" si="10"/>
        <v>404.36031017336609</v>
      </c>
      <c r="CC62" s="60">
        <f t="shared" si="11"/>
        <v>697.69364350669935</v>
      </c>
      <c r="CD62" s="60">
        <f ca="1">AVERAGE(OFFSET($CC$3,0,0,'Données projet'!$E$12+1,1))-AVERAGE(OFFSET($H$3,0,0,'Données projet'!$E$12+1,1))</f>
        <v>290.68086183422963</v>
      </c>
      <c r="CE62" s="60">
        <f t="shared" si="40"/>
        <v>317.88330630101785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191.00000000000006</v>
      </c>
      <c r="CU62" s="18">
        <f>CT62*VLOOKUP('Données projet'!$B$13,Paramètres!$A$1:$I$89,3,0)*VLOOKUP('Données projet'!$B$13,Paramètres!$A$1:$I$89,5,0)</f>
        <v>125.14320000000005</v>
      </c>
      <c r="CV62" s="14">
        <f t="shared" si="41"/>
        <v>32.871620642334356</v>
      </c>
      <c r="CW62" s="22">
        <f t="shared" si="13"/>
        <v>275.20914595206574</v>
      </c>
      <c r="CX62" s="60">
        <f t="shared" si="14"/>
        <v>568.54247928539905</v>
      </c>
      <c r="CY62" s="60">
        <f ca="1">AVERAGE(OFFSET($CX$3,0,0,'Données projet'!$E$13+1,1))-AVERAGE(OFFSET($H$3,0,0,'Données projet'!$E$13+1,1))</f>
        <v>243.04319555814601</v>
      </c>
      <c r="CZ62" s="60">
        <f t="shared" si="42"/>
        <v>235.68746142880792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0" t="e">
        <f t="shared" si="17"/>
        <v>#NUM!</v>
      </c>
      <c r="DT62" s="60">
        <f ca="1">AVERAGE(OFFSET($DS$3,0,0,'Données projet'!$E$14+1,1))-AVERAGE(OFFSET($H$3,0,0,'Données projet'!$E$14+1,1))</f>
        <v>201.4732637505823</v>
      </c>
      <c r="DU62" s="60">
        <f t="shared" si="44"/>
        <v>342.06887933351783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3.7195549917805999</v>
      </c>
      <c r="EB62" s="23">
        <f>EXP(-LN(2)/25)*EB61+(1-EXP(-LN(2)/25))/(LN(2)/25)*Calculateur!DW62*Calculateur!DY62*VLOOKUP('Données projet'!$B$14,Paramètres!$A$1:$I$89,3,0)*0.475*44/12</f>
        <v>11.833104046555706</v>
      </c>
      <c r="EC62" s="23">
        <f>EXP(-LN(2)/2)*EC61+(1-EXP(-LN(2)/2))/(LN(2)/2)*DW62*DZ62*VLOOKUP('Données projet'!$B$14,Paramètres!$A$1:$I$89,3,0)*0.475*44/12</f>
        <v>5.7819949921478035E-4</v>
      </c>
      <c r="ED62" s="24">
        <f t="shared" si="18"/>
        <v>15.553237237835519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10.433653846153845</v>
      </c>
      <c r="EJ62" s="13">
        <f>IF('Données projet'!$A$192&gt;35,EJ61+EI62-ER61,IF(A62&lt;'Données projet'!$A$192,$EG$205^A62,IF(A62='Données projet'!$A$192,'Données projet'!$B$192,EJ61+EI62-ER61)))</f>
        <v>343.06634615384581</v>
      </c>
      <c r="EK62" s="18">
        <f>EJ62*VLOOKUP('Données projet'!$B$15,Paramètres!$A$1:$I$89,3,0)*VLOOKUP('Données projet'!$B$15,Paramètres!$A$1:$I$89,5,0)</f>
        <v>205.15367499999979</v>
      </c>
      <c r="EL62" s="14">
        <f t="shared" si="45"/>
        <v>50.875106959180371</v>
      </c>
      <c r="EM62" s="22">
        <f t="shared" si="19"/>
        <v>445.91679524557208</v>
      </c>
      <c r="EN62" s="60">
        <f t="shared" si="20"/>
        <v>739.25012857890533</v>
      </c>
      <c r="EO62" s="60">
        <f ca="1">AVERAGE(OFFSET($EN$3,0,0,'Données projet'!$E$15+1,1))-AVERAGE(OFFSET($H$3,0,0,'Données projet'!$E$15+1,1))</f>
        <v>260.01925143568263</v>
      </c>
      <c r="EP62" s="60">
        <f t="shared" si="46"/>
        <v>269.95358755269427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8.0022701702467867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8.0022701702467867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7.4</v>
      </c>
      <c r="FE62" s="13">
        <f>IF('Données projet'!$A$218&gt;35,FE61+FD62-FM61,IF(A62&lt;'Données projet'!$A$218,$FB$205^A62,IF(A62='Données projet'!$A$218,'Données projet'!$B$218,FE61+FD62-FM61)))</f>
        <v>295.59999999999991</v>
      </c>
      <c r="FF62" s="18">
        <f>FE62*VLOOKUP('Données projet'!$B$16,Paramètres!$A$1:$I$89,3,0)*VLOOKUP('Données projet'!$B$16,Paramètres!$A$1:$I$89,5,0)</f>
        <v>239.79071999999994</v>
      </c>
      <c r="FG62" s="14">
        <f t="shared" si="47"/>
        <v>58.394500584818381</v>
      </c>
      <c r="FH62" s="22">
        <f t="shared" si="22"/>
        <v>519.33925918522516</v>
      </c>
      <c r="FI62" s="60">
        <f t="shared" si="23"/>
        <v>812.67259251855853</v>
      </c>
      <c r="FJ62" s="60">
        <f ca="1">AVERAGE(OFFSET($FI$3,0,0,'Données projet'!$E$16+1,1))-AVERAGE(OFFSET($H$3,0,0,'Données projet'!$E$16+1,1))</f>
        <v>256.19915261735281</v>
      </c>
      <c r="FK62" s="60">
        <f t="shared" si="48"/>
        <v>297.47246687305056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7.3624999999999972</v>
      </c>
      <c r="FZ62" s="13">
        <f>IF('Données projet'!$A$244&gt;35,FZ61+FY62-GH61,IF(A62&lt;'Données projet'!$A$244,$FW$205^A62,IF(A62='Données projet'!$A$244,'Données projet'!$B$244,FZ61+FY62-GH61)))</f>
        <v>258.46057692307699</v>
      </c>
      <c r="GA62" s="18">
        <f>FZ62*VLOOKUP('Données projet'!$B$17,Paramètres!$A$1:$I$89,3,0)*VLOOKUP('Données projet'!$B$17,Paramètres!$A$1:$I$89,5,0)</f>
        <v>147.83945000000006</v>
      </c>
      <c r="GB62" s="14">
        <f t="shared" si="49"/>
        <v>38.087179061385385</v>
      </c>
      <c r="GC62" s="22">
        <f t="shared" si="25"/>
        <v>323.82221228191293</v>
      </c>
      <c r="GD62" s="60">
        <f t="shared" si="26"/>
        <v>617.15554561524618</v>
      </c>
      <c r="GE62" s="60">
        <f ca="1">AVERAGE(OFFSET($GD$3,0,0,'Données projet'!$E$17+1,1))-AVERAGE(OFFSET($H$3,0,0,'Données projet'!$E$17+1,1))</f>
        <v>268.71641789629319</v>
      </c>
      <c r="GF62" s="60">
        <f t="shared" si="50"/>
        <v>199.94048514486104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0.93968514409013926</v>
      </c>
      <c r="GN62" s="23">
        <f>EXP(-LN(2)/2)*GN61+(1-EXP(-LN(2)/2))/(LN(2)/2)*GH62*GK62*VLOOKUP('Données projet'!$B$17,Paramètres!$A$1:$I$89,3,0)*0.475*44/12</f>
        <v>3.0106052069315349E-4</v>
      </c>
      <c r="GO62" s="23">
        <f t="shared" si="27"/>
        <v>0.93998620461083238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10.66307692307692</v>
      </c>
      <c r="GU62" s="13">
        <f>IF('Données projet'!$A$270&gt;35,GU61+GT62-HC61,IF(A62&lt;'Données projet'!$A$270,$GR$205^A62,IF(A62='Données projet'!$A$270,'Données projet'!$B$270,GU61+GT62-HC61)))</f>
        <v>331.75999999999993</v>
      </c>
      <c r="GV62" s="18">
        <f>GU62*VLOOKUP('Données projet'!$B$18,Paramètres!$A$1:$I$89,3,0)*VLOOKUP('Données projet'!$B$18,Paramètres!$A$1:$I$89,5,0)</f>
        <v>198.39247999999998</v>
      </c>
      <c r="GW62" s="14">
        <f t="shared" si="51"/>
        <v>49.39071772551025</v>
      </c>
      <c r="GX62" s="22">
        <f t="shared" si="28"/>
        <v>431.55573603859693</v>
      </c>
      <c r="GY62" s="60">
        <f t="shared" si="29"/>
        <v>724.88906937193019</v>
      </c>
      <c r="GZ62" s="60">
        <f ca="1">AVERAGE(OFFSET($GY$3,0,0,'Données projet'!$E$18+1,1))-AVERAGE(OFFSET($H$3,0,0,'Données projet'!$E$18+1,1))</f>
        <v>289.12367833861299</v>
      </c>
      <c r="HA62" s="60">
        <f t="shared" si="52"/>
        <v>229.06617320689003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1.7897065454919686E-4</v>
      </c>
      <c r="HJ62" s="24">
        <f t="shared" si="30"/>
        <v>1.7897065454919686E-4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0">
        <f t="shared" si="0"/>
        <v>714.76126520309413</v>
      </c>
      <c r="S63" s="60">
        <f ca="1">AVERAGE(OFFSET($R$3,0,0,'Données projet'!$E$9+1,1))-AVERAGE(OFFSET($H$3,0,0,'Données projet'!$E$9+1,1))</f>
        <v>430.11660085503223</v>
      </c>
      <c r="T63" s="60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14.839560439560435</v>
      </c>
      <c r="AI63" s="14">
        <f>IF('Données projet'!$A$62&gt;35,AI62+AH63-AQ62,IF(A63&lt;'Données projet'!$A$62,$AF$205^A63,IF(A63='Données projet'!$A$62,'Données projet'!$B$62,AI62+AH63-AQ62)))</f>
        <v>411.19670329670333</v>
      </c>
      <c r="AJ63" s="14">
        <f>AI63*VLOOKUP('Données projet'!$B$10,Paramètres!$A$1:$I$89,3,0)*VLOOKUP('Données projet'!$B$10,Paramètres!$A$1:$I$89,5,0)</f>
        <v>229.85895714285718</v>
      </c>
      <c r="AK63" s="14">
        <f t="shared" si="35"/>
        <v>56.252183679167004</v>
      </c>
      <c r="AL63" s="22">
        <f t="shared" si="4"/>
        <v>498.31023693169209</v>
      </c>
      <c r="AM63" s="60">
        <f t="shared" si="5"/>
        <v>791.64357026502535</v>
      </c>
      <c r="AN63" s="60">
        <f ca="1">AVERAGE(OFFSET($AM$3,0,0,'Données projet'!$E$10+1,1))-AVERAGE(OFFSET($H$3,0,0,'Données projet'!$E$10+1,1))</f>
        <v>323.98185264074681</v>
      </c>
      <c r="AO63" s="60">
        <f t="shared" si="36"/>
        <v>301.22207291854005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2.4634009234457399</v>
      </c>
      <c r="AV63" s="23">
        <f>EXP(-LN(2)/25)*AV62+(1-EXP(-LN(2)/25))/(LN(2)/25)*Calculateur!AQ63*Calculateur!AS63*VLOOKUP('Données projet'!$B$10,Paramètres!$A$1:$I$89,3,0)*0.475*44/12</f>
        <v>3.5898456741078166</v>
      </c>
      <c r="AW63" s="23">
        <f>EXP(-LN(2)/2)*AW62+(1-EXP(-LN(2)/2))/(LN(2)/2)*AQ63*AT63*VLOOKUP('Données projet'!$B$10,Paramètres!$A$1:$I$89,3,0)*0.475*44/12</f>
        <v>1.8578513121392885E-4</v>
      </c>
      <c r="AX63" s="23">
        <f t="shared" si="6"/>
        <v>6.0534323826847709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270</v>
      </c>
      <c r="BB63" s="13">
        <f>VLOOKUP(A63,'Données projet'!$A$87:$I$107,9,0)</f>
        <v>10.8</v>
      </c>
      <c r="BC63" s="13">
        <f t="array" ref="BC63">INDEX(BB:BB,MIN(IF(ISNUMBER(BB63:BB259),ROW(BB63:BB259),"")))</f>
        <v>10.8</v>
      </c>
      <c r="BD63" s="13">
        <f>IF('Données projet'!$A$88&gt;35,BD62+BC63-BL62,IF(A63&lt;'Données projet'!$A$88,$BA$205^A63,IF(A63='Données projet'!$A$88,'Données projet'!$B$88,BD62+BC63-BL62)))</f>
        <v>270.00000000000006</v>
      </c>
      <c r="BE63" s="14">
        <f>BD63*VLOOKUP('Données projet'!$B$11,Paramètres!$A$1:$I$89,3,0)*VLOOKUP('Données projet'!$B$11,Paramètres!$A$1:$I$89,5,0)</f>
        <v>231.66000000000011</v>
      </c>
      <c r="BF63" s="14">
        <f t="shared" si="37"/>
        <v>56.641461975682823</v>
      </c>
      <c r="BG63" s="22">
        <f t="shared" si="7"/>
        <v>502.1250462743144</v>
      </c>
      <c r="BH63" s="60">
        <f t="shared" si="8"/>
        <v>795.45837960764766</v>
      </c>
      <c r="BI63" s="60">
        <f ca="1">AVERAGE(OFFSET($BH$3,0,0,'Données projet'!$E$11+1,1))-AVERAGE(OFFSET($H$3,0,0,'Données projet'!$E$11+1,1))</f>
        <v>556.75475431848258</v>
      </c>
      <c r="BJ63" s="60">
        <f t="shared" si="38"/>
        <v>256.77417912163997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258.3</v>
      </c>
      <c r="BW63" s="13">
        <f>VLOOKUP(A63,'Données projet'!$A$113:$I$133,9,0)</f>
        <v>5.1600000000000019</v>
      </c>
      <c r="BX63" s="13">
        <f t="array" ref="BX63">INDEX(BW:BW,MIN(IF(ISNUMBER(BW63:BW259),ROW(BW63:BW259),"")))</f>
        <v>5.1600000000000019</v>
      </c>
      <c r="BY63" s="13">
        <f>IF('Données projet'!$A$114&gt;35,BY62+BX63-CG62,IF(A63&lt;'Données projet'!$A$114,$BV$205^A63,IF(A63='Données projet'!$A$114,'Données projet'!$B$114,BY62+BX63-CG62)))</f>
        <v>258.30000000000013</v>
      </c>
      <c r="BZ63" s="14">
        <f>BY63*VLOOKUP('Données projet'!$B$12,Paramètres!$A$1:$I$89,3,0)*VLOOKUP('Données projet'!$B$12,Paramètres!$A$1:$I$89,5,0)</f>
        <v>189.38556000000008</v>
      </c>
      <c r="CA63" s="14">
        <f t="shared" si="39"/>
        <v>47.404083292801978</v>
      </c>
      <c r="CB63" s="22">
        <f t="shared" si="10"/>
        <v>412.40862873496354</v>
      </c>
      <c r="CC63" s="60">
        <f t="shared" si="11"/>
        <v>705.74196206829686</v>
      </c>
      <c r="CD63" s="60">
        <f ca="1">AVERAGE(OFFSET($CC$3,0,0,'Données projet'!$E$12+1,1))-AVERAGE(OFFSET($H$3,0,0,'Données projet'!$E$12+1,1))</f>
        <v>290.68086183422963</v>
      </c>
      <c r="CE63" s="60">
        <f t="shared" si="40"/>
        <v>317.88330630101785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25.200000000000003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196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196.00000000000006</v>
      </c>
      <c r="CU63" s="18">
        <f>CT63*VLOOKUP('Données projet'!$B$13,Paramètres!$A$1:$I$89,3,0)*VLOOKUP('Données projet'!$B$13,Paramètres!$A$1:$I$89,5,0)</f>
        <v>128.41920000000005</v>
      </c>
      <c r="CV63" s="14">
        <f t="shared" si="41"/>
        <v>33.630823177860762</v>
      </c>
      <c r="CW63" s="22">
        <f t="shared" si="13"/>
        <v>282.23712370144091</v>
      </c>
      <c r="CX63" s="60">
        <f t="shared" si="14"/>
        <v>575.57045703477422</v>
      </c>
      <c r="CY63" s="60">
        <f ca="1">AVERAGE(OFFSET($CX$3,0,0,'Données projet'!$E$13+1,1))-AVERAGE(OFFSET($H$3,0,0,'Données projet'!$E$13+1,1))</f>
        <v>243.04319555814601</v>
      </c>
      <c r="CZ63" s="60">
        <f t="shared" si="42"/>
        <v>235.68746142880792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0" t="e">
        <f t="shared" si="17"/>
        <v>#NUM!</v>
      </c>
      <c r="DT63" s="60">
        <f ca="1">AVERAGE(OFFSET($DS$3,0,0,'Données projet'!$E$14+1,1))-AVERAGE(OFFSET($H$3,0,0,'Données projet'!$E$14+1,1))</f>
        <v>201.4732637505823</v>
      </c>
      <c r="DU63" s="60">
        <f t="shared" si="44"/>
        <v>342.06887933351783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3.6466167870963115</v>
      </c>
      <c r="EB63" s="23">
        <f>EXP(-LN(2)/25)*EB62+(1-EXP(-LN(2)/25))/(LN(2)/25)*Calculateur!DW63*Calculateur!DY63*VLOOKUP('Données projet'!$B$14,Paramètres!$A$1:$I$89,3,0)*0.475*44/12</f>
        <v>11.509527194126743</v>
      </c>
      <c r="EC63" s="23">
        <f>EXP(-LN(2)/2)*EC62+(1-EXP(-LN(2)/2))/(LN(2)/2)*DW63*DZ63*VLOOKUP('Données projet'!$B$14,Paramètres!$A$1:$I$89,3,0)*0.475*44/12</f>
        <v>4.0884878677343705E-4</v>
      </c>
      <c r="ED63" s="24">
        <f t="shared" si="18"/>
        <v>15.156552830009828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353.5</v>
      </c>
      <c r="EH63" s="13">
        <f>VLOOKUP(A63,'Données projet'!$A$191:$I$211,9,0)</f>
        <v>10.433653846153845</v>
      </c>
      <c r="EI63" s="13">
        <f t="array" ref="EI63">INDEX(EH:EH,MIN(IF(ISNUMBER(EH63:EH259),ROW(EH63:EH259),"")))</f>
        <v>10.433653846153845</v>
      </c>
      <c r="EJ63" s="13">
        <f>IF('Données projet'!$A$192&gt;35,EJ62+EI63-ER62,IF(A63&lt;'Données projet'!$A$192,$EG$205^A63,IF(A63='Données projet'!$A$192,'Données projet'!$B$192,EJ62+EI63-ER62)))</f>
        <v>353.49999999999966</v>
      </c>
      <c r="EK63" s="18">
        <f>EJ63*VLOOKUP('Données projet'!$B$15,Paramètres!$A$1:$I$89,3,0)*VLOOKUP('Données projet'!$B$15,Paramètres!$A$1:$I$89,5,0)</f>
        <v>211.3929999999998</v>
      </c>
      <c r="EL63" s="14">
        <f t="shared" si="45"/>
        <v>52.239874015944039</v>
      </c>
      <c r="EM63" s="22">
        <f t="shared" si="19"/>
        <v>459.1605889111022</v>
      </c>
      <c r="EN63" s="60">
        <f t="shared" si="20"/>
        <v>752.49392224443545</v>
      </c>
      <c r="EO63" s="60">
        <f ca="1">AVERAGE(OFFSET($EN$3,0,0,'Données projet'!$E$15+1,1))-AVERAGE(OFFSET($H$3,0,0,'Données projet'!$E$15+1,1))</f>
        <v>260.01925143568263</v>
      </c>
      <c r="EP63" s="60">
        <f t="shared" si="46"/>
        <v>269.95358755269427</v>
      </c>
      <c r="EQ63" s="16">
        <f>IF(ISNA(VLOOKUP(A63,'Données projet'!$A$191:$I$211,3,0)),0,VLOOKUP(A63,'Données projet'!$A$191:$I$211,3,0))</f>
        <v>7</v>
      </c>
      <c r="ER63" s="16">
        <f>IF(ISNA(VLOOKUP(A63,'Données projet'!$A$191:$I$211,4,0)),0,VLOOKUP(A63,'Données projet'!$A$191:$I$211,4,0))</f>
        <v>353.5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7.8453505331111018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7.8453505331111018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303</v>
      </c>
      <c r="FC63" s="13">
        <f>VLOOKUP(A63,'Données projet'!$A$217:$I$237,9,0)</f>
        <v>7.4</v>
      </c>
      <c r="FD63" s="13">
        <f t="array" ref="FD63">INDEX(FC:FC,MIN(IF(ISNUMBER(FC63:FC259),ROW(FC63:FC259),"")))</f>
        <v>7.4</v>
      </c>
      <c r="FE63" s="13">
        <f>IF('Données projet'!$A$218&gt;35,FE62+FD63-FM62,IF(A63&lt;'Données projet'!$A$218,$FB$205^A63,IF(A63='Données projet'!$A$218,'Données projet'!$B$218,FE62+FD63-FM62)))</f>
        <v>302.99999999999989</v>
      </c>
      <c r="FF63" s="18">
        <f>FE63*VLOOKUP('Données projet'!$B$16,Paramètres!$A$1:$I$89,3,0)*VLOOKUP('Données projet'!$B$16,Paramètres!$A$1:$I$89,5,0)</f>
        <v>245.79359999999991</v>
      </c>
      <c r="FG63" s="14">
        <f t="shared" si="47"/>
        <v>59.684315982017168</v>
      </c>
      <c r="FH63" s="22">
        <f t="shared" si="22"/>
        <v>532.04070366867973</v>
      </c>
      <c r="FI63" s="60">
        <f t="shared" si="23"/>
        <v>825.37403700201298</v>
      </c>
      <c r="FJ63" s="60">
        <f ca="1">AVERAGE(OFFSET($FI$3,0,0,'Données projet'!$E$16+1,1))-AVERAGE(OFFSET($H$3,0,0,'Données projet'!$E$16+1,1))</f>
        <v>256.19915261735281</v>
      </c>
      <c r="FK63" s="60">
        <f t="shared" si="48"/>
        <v>297.47246687305056</v>
      </c>
      <c r="FL63" s="16">
        <f>IF(ISNA(VLOOKUP(A63,'Données projet'!$A$217:$I$237,3,0)),0,VLOOKUP(A63,'Données projet'!$A$217:$I$237,3,0))</f>
        <v>3</v>
      </c>
      <c r="FM63" s="16">
        <f>IF(ISNA(VLOOKUP(A63,'Données projet'!$A$217:$I$237,4,0)),0,VLOOKUP(A63,'Données projet'!$A$217:$I$237,4,0))</f>
        <v>303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265.82307692307688</v>
      </c>
      <c r="FX63" s="13">
        <f>VLOOKUP(A63,'Données projet'!$A$243:$I$263,9,0)</f>
        <v>7.3624999999999972</v>
      </c>
      <c r="FY63" s="13">
        <f t="array" ref="FY63">INDEX(FX:FX,MIN(IF(ISNUMBER(FX63:FX259),ROW(FX63:FX259),"")))</f>
        <v>7.3624999999999972</v>
      </c>
      <c r="FZ63" s="13">
        <f>IF('Données projet'!$A$244&gt;35,FZ62+FY63-GH62,IF(A63&lt;'Données projet'!$A$244,$FW$205^A63,IF(A63='Données projet'!$A$244,'Données projet'!$B$244,FZ62+FY63-GH62)))</f>
        <v>265.823076923077</v>
      </c>
      <c r="GA63" s="18">
        <f>FZ63*VLOOKUP('Données projet'!$B$17,Paramètres!$A$1:$I$89,3,0)*VLOOKUP('Données projet'!$B$17,Paramètres!$A$1:$I$89,5,0)</f>
        <v>152.05080000000004</v>
      </c>
      <c r="GB63" s="14">
        <f t="shared" si="49"/>
        <v>39.04426831095823</v>
      </c>
      <c r="GC63" s="22">
        <f t="shared" si="25"/>
        <v>332.82391064158566</v>
      </c>
      <c r="GD63" s="60">
        <f t="shared" si="26"/>
        <v>626.15724397491897</v>
      </c>
      <c r="GE63" s="60">
        <f ca="1">AVERAGE(OFFSET($GD$3,0,0,'Données projet'!$E$17+1,1))-AVERAGE(OFFSET($H$3,0,0,'Données projet'!$E$17+1,1))</f>
        <v>268.71641789629319</v>
      </c>
      <c r="GF63" s="60">
        <f t="shared" si="50"/>
        <v>199.94048514486104</v>
      </c>
      <c r="GG63" s="16">
        <f>IF(ISNA(VLOOKUP(A63,'Données projet'!$A$243:$I$263,3,0)),0,VLOOKUP(A63,'Données projet'!$A$243:$I$263,3,0))</f>
        <v>6</v>
      </c>
      <c r="GH63" s="16">
        <f>IF(ISNA(VLOOKUP(A63,'Données projet'!$A$243:$I$263,4,0)),0,VLOOKUP(A63,'Données projet'!$A$243:$I$263,4,0))</f>
        <v>37.138461538461542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0.91398940440910037</v>
      </c>
      <c r="GN63" s="23">
        <f>EXP(-LN(2)/2)*GN62+(1-EXP(-LN(2)/2))/(LN(2)/2)*GH63*GK63*VLOOKUP('Données projet'!$B$17,Paramètres!$A$1:$I$89,3,0)*0.475*44/12</f>
        <v>2.1288193572968175E-4</v>
      </c>
      <c r="GO63" s="23">
        <f t="shared" si="27"/>
        <v>0.91420228634483003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342.42307692307691</v>
      </c>
      <c r="GS63" s="13">
        <f>VLOOKUP(A63,'Données projet'!$A$269:$I$289,9,0)</f>
        <v>10.66307692307692</v>
      </c>
      <c r="GT63" s="13">
        <f t="array" ref="GT63">INDEX(GS:GS,MIN(IF(ISNUMBER(GS63:GS259),ROW(GS63:GS259),"")))</f>
        <v>10.66307692307692</v>
      </c>
      <c r="GU63" s="13">
        <f>IF('Données projet'!$A$270&gt;35,GU62+GT63-HC62,IF(A63&lt;'Données projet'!$A$270,$GR$205^A63,IF(A63='Données projet'!$A$270,'Données projet'!$B$270,GU62+GT63-HC62)))</f>
        <v>342.42307692307685</v>
      </c>
      <c r="GV63" s="18">
        <f>GU63*VLOOKUP('Données projet'!$B$18,Paramètres!$A$1:$I$89,3,0)*VLOOKUP('Données projet'!$B$18,Paramètres!$A$1:$I$89,5,0)</f>
        <v>204.76899999999998</v>
      </c>
      <c r="GW63" s="14">
        <f t="shared" si="51"/>
        <v>50.790807822253974</v>
      </c>
      <c r="GX63" s="22">
        <f t="shared" si="28"/>
        <v>445.09999862375895</v>
      </c>
      <c r="GY63" s="60">
        <f t="shared" si="29"/>
        <v>738.43333195709226</v>
      </c>
      <c r="GZ63" s="60">
        <f ca="1">AVERAGE(OFFSET($GY$3,0,0,'Données projet'!$E$18+1,1))-AVERAGE(OFFSET($H$3,0,0,'Données projet'!$E$18+1,1))</f>
        <v>289.12367833861299</v>
      </c>
      <c r="HA63" s="60">
        <f t="shared" si="52"/>
        <v>229.06617320689003</v>
      </c>
      <c r="HB63" s="16">
        <f>IF(ISNA(VLOOKUP(A63,'Données projet'!$A$269:$I$289,3,0)),0,VLOOKUP(A63,'Données projet'!$A$269:$I$289,3,0))</f>
        <v>6</v>
      </c>
      <c r="HC63" s="16">
        <f>IF(ISNA(VLOOKUP(A63,'Données projet'!$A$269:$I$289,4,0)),0,VLOOKUP(A63,'Données projet'!$A$269:$I$289,4,0))</f>
        <v>54.261538461538464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1.2655136346513213E-4</v>
      </c>
      <c r="HJ63" s="24">
        <f t="shared" si="30"/>
        <v>1.2655136346513213E-4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0">
        <f t="shared" si="0"/>
        <v>728.60558273797562</v>
      </c>
      <c r="S64" s="60">
        <f ca="1">AVERAGE(OFFSET($R$3,0,0,'Données projet'!$E$9+1,1))-AVERAGE(OFFSET($H$3,0,0,'Données projet'!$E$9+1,1))</f>
        <v>430.11660085503223</v>
      </c>
      <c r="T64" s="60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14.839560439560435</v>
      </c>
      <c r="AI64" s="14">
        <f>IF('Données projet'!$A$62&gt;35,AI63+AH64-AQ63,IF(A64&lt;'Données projet'!$A$62,$AF$205^A64,IF(A64='Données projet'!$A$62,'Données projet'!$B$62,AI63+AH64-AQ63)))</f>
        <v>426.03626373626378</v>
      </c>
      <c r="AJ64" s="14">
        <f>AI64*VLOOKUP('Données projet'!$B$10,Paramètres!$A$1:$I$89,3,0)*VLOOKUP('Données projet'!$B$10,Paramètres!$A$1:$I$89,5,0)</f>
        <v>238.15427142857146</v>
      </c>
      <c r="AK64" s="14">
        <f t="shared" si="35"/>
        <v>58.042234732541061</v>
      </c>
      <c r="AL64" s="22">
        <f t="shared" si="4"/>
        <v>515.87558156393777</v>
      </c>
      <c r="AM64" s="60">
        <f t="shared" si="5"/>
        <v>809.20891489727114</v>
      </c>
      <c r="AN64" s="60">
        <f ca="1">AVERAGE(OFFSET($AM$3,0,0,'Données projet'!$E$10+1,1))-AVERAGE(OFFSET($H$3,0,0,'Données projet'!$E$10+1,1))</f>
        <v>323.98185264074681</v>
      </c>
      <c r="AO64" s="60">
        <f t="shared" si="36"/>
        <v>301.22207291854005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2.4150951338631703</v>
      </c>
      <c r="AV64" s="23">
        <f>EXP(-LN(2)/25)*AV63+(1-EXP(-LN(2)/25))/(LN(2)/25)*Calculateur!AQ64*Calculateur!AS64*VLOOKUP('Données projet'!$B$10,Paramètres!$A$1:$I$89,3,0)*0.475*44/12</f>
        <v>3.4916811553675591</v>
      </c>
      <c r="AW64" s="23">
        <f>EXP(-LN(2)/2)*AW63+(1-EXP(-LN(2)/2))/(LN(2)/2)*AQ64*AT64*VLOOKUP('Données projet'!$B$10,Paramètres!$A$1:$I$89,3,0)*0.475*44/12</f>
        <v>1.3136992612500161E-4</v>
      </c>
      <c r="AX64" s="23">
        <f t="shared" si="6"/>
        <v>5.9069076591568539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10.4</v>
      </c>
      <c r="BD64" s="13">
        <f>IF('Données projet'!$A$88&gt;35,BD63+BC64-BL63,IF(A64&lt;'Données projet'!$A$88,$BA$205^A64,IF(A64='Données projet'!$A$88,'Données projet'!$B$88,BD63+BC64-BL63)))</f>
        <v>280.40000000000003</v>
      </c>
      <c r="BE64" s="14">
        <f>BD64*VLOOKUP('Données projet'!$B$11,Paramètres!$A$1:$I$89,3,0)*VLOOKUP('Données projet'!$B$11,Paramètres!$A$1:$I$89,5,0)</f>
        <v>240.58320000000006</v>
      </c>
      <c r="BF64" s="14">
        <f t="shared" si="37"/>
        <v>58.564991073340046</v>
      </c>
      <c r="BG64" s="22">
        <f t="shared" si="7"/>
        <v>521.01643278606741</v>
      </c>
      <c r="BH64" s="60">
        <f t="shared" si="8"/>
        <v>814.34976611940078</v>
      </c>
      <c r="BI64" s="60">
        <f ca="1">AVERAGE(OFFSET($BH$3,0,0,'Données projet'!$E$11+1,1))-AVERAGE(OFFSET($H$3,0,0,'Données projet'!$E$11+1,1))</f>
        <v>556.75475431848258</v>
      </c>
      <c r="BJ64" s="60">
        <f t="shared" si="38"/>
        <v>256.77417912163997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4.3399999999999981</v>
      </c>
      <c r="BY64" s="13">
        <f>IF('Données projet'!$A$114&gt;35,BY63+BX64-CG63,IF(A64&lt;'Données projet'!$A$114,$BV$205^A64,IF(A64='Données projet'!$A$114,'Données projet'!$B$114,BY63+BX64-CG63)))</f>
        <v>237.44000000000011</v>
      </c>
      <c r="BZ64" s="14">
        <f>BY64*VLOOKUP('Données projet'!$B$12,Paramètres!$A$1:$I$89,3,0)*VLOOKUP('Données projet'!$B$12,Paramètres!$A$1:$I$89,5,0)</f>
        <v>174.09100800000007</v>
      </c>
      <c r="CA64" s="14">
        <f t="shared" si="39"/>
        <v>44.005001364605072</v>
      </c>
      <c r="CB64" s="22">
        <f t="shared" si="10"/>
        <v>379.85054964335399</v>
      </c>
      <c r="CC64" s="60">
        <f t="shared" si="11"/>
        <v>673.1838829766873</v>
      </c>
      <c r="CD64" s="60">
        <f ca="1">AVERAGE(OFFSET($CC$3,0,0,'Données projet'!$E$12+1,1))-AVERAGE(OFFSET($H$3,0,0,'Données projet'!$E$12+1,1))</f>
        <v>290.68086183422963</v>
      </c>
      <c r="CE64" s="60">
        <f t="shared" si="40"/>
        <v>317.88330630101785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4.8</v>
      </c>
      <c r="CT64" s="13">
        <f>IF('Données projet'!$A$140&gt;35,CT63+CS64-DB63,IF(A64&lt;'Données projet'!$A$140,$CQ$205^A64,IF(A64='Données projet'!$A$140,'Données projet'!$B$140,CT63+CS64-DB63)))</f>
        <v>200.80000000000007</v>
      </c>
      <c r="CU64" s="18">
        <f>CT64*VLOOKUP('Données projet'!$B$13,Paramètres!$A$1:$I$89,3,0)*VLOOKUP('Données projet'!$B$13,Paramètres!$A$1:$I$89,5,0)</f>
        <v>131.56416000000004</v>
      </c>
      <c r="CV64" s="14">
        <f t="shared" si="41"/>
        <v>34.357538812709066</v>
      </c>
      <c r="CW64" s="22">
        <f t="shared" si="13"/>
        <v>288.98029209880167</v>
      </c>
      <c r="CX64" s="60">
        <f t="shared" si="14"/>
        <v>582.31362543213504</v>
      </c>
      <c r="CY64" s="60">
        <f ca="1">AVERAGE(OFFSET($CX$3,0,0,'Données projet'!$E$13+1,1))-AVERAGE(OFFSET($H$3,0,0,'Données projet'!$E$13+1,1))</f>
        <v>243.04319555814601</v>
      </c>
      <c r="CZ64" s="60">
        <f t="shared" si="42"/>
        <v>235.68746142880792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0" t="e">
        <f t="shared" si="17"/>
        <v>#NUM!</v>
      </c>
      <c r="DT64" s="60">
        <f ca="1">AVERAGE(OFFSET($DS$3,0,0,'Données projet'!$E$14+1,1))-AVERAGE(OFFSET($H$3,0,0,'Données projet'!$E$14+1,1))</f>
        <v>201.4732637505823</v>
      </c>
      <c r="DU64" s="60">
        <f t="shared" si="44"/>
        <v>342.06887933351783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3.57510885611797</v>
      </c>
      <c r="EB64" s="23">
        <f>EXP(-LN(2)/25)*EB63+(1-EXP(-LN(2)/25))/(LN(2)/25)*Calculateur!DW64*Calculateur!DY64*VLOOKUP('Données projet'!$B$14,Paramètres!$A$1:$I$89,3,0)*0.475*44/12</f>
        <v>11.194798567743618</v>
      </c>
      <c r="EC64" s="23">
        <f>EXP(-LN(2)/2)*EC63+(1-EXP(-LN(2)/2))/(LN(2)/2)*DW64*DZ64*VLOOKUP('Données projet'!$B$14,Paramètres!$A$1:$I$89,3,0)*0.475*44/12</f>
        <v>2.8909974960739018E-4</v>
      </c>
      <c r="ED64" s="24">
        <f t="shared" si="18"/>
        <v>14.770196523611196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-3.4106051316484809E-13</v>
      </c>
      <c r="EK64" s="18">
        <f>EJ64*VLOOKUP('Données projet'!$B$15,Paramètres!$A$1:$I$89,3,0)*VLOOKUP('Données projet'!$B$15,Paramètres!$A$1:$I$89,5,0)</f>
        <v>-2.0395418687257919E-13</v>
      </c>
      <c r="EL64" s="14" t="e">
        <f t="shared" si="45"/>
        <v>#NUM!</v>
      </c>
      <c r="EM64" s="22" t="e">
        <f t="shared" si="19"/>
        <v>#NUM!</v>
      </c>
      <c r="EN64" s="60" t="e">
        <f t="shared" si="20"/>
        <v>#NUM!</v>
      </c>
      <c r="EO64" s="60">
        <f ca="1">AVERAGE(OFFSET($EN$3,0,0,'Données projet'!$E$15+1,1))-AVERAGE(OFFSET($H$3,0,0,'Données projet'!$E$15+1,1))</f>
        <v>260.01925143568263</v>
      </c>
      <c r="EP64" s="60">
        <f t="shared" si="46"/>
        <v>269.95358755269427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7.6915079943481199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7.6915079943481199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-1.1368683772161603E-13</v>
      </c>
      <c r="FF64" s="18">
        <f>FE64*VLOOKUP('Données projet'!$B$16,Paramètres!$A$1:$I$89,3,0)*VLOOKUP('Données projet'!$B$16,Paramètres!$A$1:$I$89,5,0)</f>
        <v>-9.2222762759774927E-14</v>
      </c>
      <c r="FG64" s="14" t="e">
        <f t="shared" si="47"/>
        <v>#NUM!</v>
      </c>
      <c r="FH64" s="22" t="e">
        <f t="shared" si="22"/>
        <v>#NUM!</v>
      </c>
      <c r="FI64" s="60" t="e">
        <f t="shared" si="23"/>
        <v>#NUM!</v>
      </c>
      <c r="FJ64" s="60">
        <f ca="1">AVERAGE(OFFSET($FI$3,0,0,'Données projet'!$E$16+1,1))-AVERAGE(OFFSET($H$3,0,0,'Données projet'!$E$16+1,1))</f>
        <v>256.19915261735281</v>
      </c>
      <c r="FK64" s="60">
        <f t="shared" si="48"/>
        <v>297.47246687305056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6.461538461538467</v>
      </c>
      <c r="FZ64" s="13">
        <f>IF('Données projet'!$A$244&gt;35,FZ63+FY64-GH63,IF(A64&lt;'Données projet'!$A$244,$FW$205^A64,IF(A64='Données projet'!$A$244,'Données projet'!$B$244,FZ63+FY64-GH63)))</f>
        <v>235.14615384615391</v>
      </c>
      <c r="GA64" s="18">
        <f>FZ64*VLOOKUP('Données projet'!$B$17,Paramètres!$A$1:$I$89,3,0)*VLOOKUP('Données projet'!$B$17,Paramètres!$A$1:$I$89,5,0)</f>
        <v>134.50360000000003</v>
      </c>
      <c r="GB64" s="14">
        <f t="shared" si="49"/>
        <v>35.034937441372058</v>
      </c>
      <c r="GC64" s="22">
        <f t="shared" si="25"/>
        <v>295.27961937705635</v>
      </c>
      <c r="GD64" s="60">
        <f t="shared" si="26"/>
        <v>588.61295271038966</v>
      </c>
      <c r="GE64" s="60">
        <f ca="1">AVERAGE(OFFSET($GD$3,0,0,'Données projet'!$E$17+1,1))-AVERAGE(OFFSET($H$3,0,0,'Données projet'!$E$17+1,1))</f>
        <v>268.71641789629319</v>
      </c>
      <c r="GF64" s="60">
        <f t="shared" si="50"/>
        <v>199.94048514486104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0.88899631608091967</v>
      </c>
      <c r="GN64" s="23">
        <f>EXP(-LN(2)/2)*GN63+(1-EXP(-LN(2)/2))/(LN(2)/2)*GH64*GK64*VLOOKUP('Données projet'!$B$17,Paramètres!$A$1:$I$89,3,0)*0.475*44/12</f>
        <v>1.5053026034657675E-4</v>
      </c>
      <c r="GO64" s="23">
        <f t="shared" si="27"/>
        <v>0.88914684634126628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9.1830769230769249</v>
      </c>
      <c r="GU64" s="13">
        <f>IF('Données projet'!$A$270&gt;35,GU63+GT64-HC63,IF(A64&lt;'Données projet'!$A$270,$GR$205^A64,IF(A64='Données projet'!$A$270,'Données projet'!$B$270,GU63+GT64-HC63)))</f>
        <v>297.34461538461534</v>
      </c>
      <c r="GV64" s="18">
        <f>GU64*VLOOKUP('Données projet'!$B$18,Paramètres!$A$1:$I$89,3,0)*VLOOKUP('Données projet'!$B$18,Paramètres!$A$1:$I$89,5,0)</f>
        <v>177.81207999999998</v>
      </c>
      <c r="GW64" s="14">
        <f t="shared" si="51"/>
        <v>44.835068353066951</v>
      </c>
      <c r="GX64" s="22">
        <f t="shared" si="28"/>
        <v>387.77711671492489</v>
      </c>
      <c r="GY64" s="60">
        <f t="shared" si="29"/>
        <v>681.11045004825814</v>
      </c>
      <c r="GZ64" s="60">
        <f ca="1">AVERAGE(OFFSET($GY$3,0,0,'Données projet'!$E$18+1,1))-AVERAGE(OFFSET($H$3,0,0,'Données projet'!$E$18+1,1))</f>
        <v>289.12367833861299</v>
      </c>
      <c r="HA64" s="60">
        <f t="shared" si="52"/>
        <v>229.06617320689003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8.9485327274598428E-5</v>
      </c>
      <c r="HJ64" s="24">
        <f t="shared" si="30"/>
        <v>8.9485327274598428E-5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0">
        <f t="shared" si="0"/>
        <v>742.44045154863397</v>
      </c>
      <c r="S65" s="60">
        <f ca="1">AVERAGE(OFFSET($R$3,0,0,'Données projet'!$E$9+1,1))-AVERAGE(OFFSET($H$3,0,0,'Données projet'!$E$9+1,1))</f>
        <v>430.11660085503223</v>
      </c>
      <c r="T65" s="60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14.839560439560435</v>
      </c>
      <c r="AI65" s="14">
        <f>IF('Données projet'!$A$62&gt;35,AI64+AH65-AQ64,IF(A65&lt;'Données projet'!$A$62,$AF$205^A65,IF(A65='Données projet'!$A$62,'Données projet'!$B$62,AI64+AH65-AQ64)))</f>
        <v>440.87582417582422</v>
      </c>
      <c r="AJ65" s="14">
        <f>AI65*VLOOKUP('Données projet'!$B$10,Paramètres!$A$1:$I$89,3,0)*VLOOKUP('Données projet'!$B$10,Paramètres!$A$1:$I$89,5,0)</f>
        <v>246.44958571428575</v>
      </c>
      <c r="AK65" s="14">
        <f t="shared" si="35"/>
        <v>59.825041333918982</v>
      </c>
      <c r="AL65" s="22">
        <f t="shared" si="4"/>
        <v>533.42830877562324</v>
      </c>
      <c r="AM65" s="60">
        <f t="shared" si="5"/>
        <v>826.76164210895649</v>
      </c>
      <c r="AN65" s="60">
        <f ca="1">AVERAGE(OFFSET($AM$3,0,0,'Données projet'!$E$10+1,1))-AVERAGE(OFFSET($H$3,0,0,'Données projet'!$E$10+1,1))</f>
        <v>323.98185264074681</v>
      </c>
      <c r="AO65" s="60">
        <f t="shared" si="36"/>
        <v>301.22207291854005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2.3677365913506923</v>
      </c>
      <c r="AV65" s="23">
        <f>EXP(-LN(2)/25)*AV64+(1-EXP(-LN(2)/25))/(LN(2)/25)*Calculateur!AQ65*Calculateur!AS65*VLOOKUP('Données projet'!$B$10,Paramètres!$A$1:$I$89,3,0)*0.475*44/12</f>
        <v>3.3962009505545017</v>
      </c>
      <c r="AW65" s="23">
        <f>EXP(-LN(2)/2)*AW64+(1-EXP(-LN(2)/2))/(LN(2)/2)*AQ65*AT65*VLOOKUP('Données projet'!$B$10,Paramètres!$A$1:$I$89,3,0)*0.475*44/12</f>
        <v>9.2892565606964426E-5</v>
      </c>
      <c r="AX65" s="23">
        <f t="shared" si="6"/>
        <v>5.7640304344708007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10.4</v>
      </c>
      <c r="BD65" s="13">
        <f>IF('Données projet'!$A$88&gt;35,BD64+BC65-BL64,IF(A65&lt;'Données projet'!$A$88,$BA$205^A65,IF(A65='Données projet'!$A$88,'Données projet'!$B$88,BD64+BC65-BL64)))</f>
        <v>290.8</v>
      </c>
      <c r="BE65" s="14">
        <f>BD65*VLOOKUP('Données projet'!$B$11,Paramètres!$A$1:$I$89,3,0)*VLOOKUP('Données projet'!$B$11,Paramètres!$A$1:$I$89,5,0)</f>
        <v>249.50640000000004</v>
      </c>
      <c r="BF65" s="14">
        <f t="shared" si="37"/>
        <v>60.480231686761137</v>
      </c>
      <c r="BG65" s="22">
        <f t="shared" si="7"/>
        <v>539.89338352110906</v>
      </c>
      <c r="BH65" s="60">
        <f t="shared" si="8"/>
        <v>833.22671685444243</v>
      </c>
      <c r="BI65" s="60">
        <f ca="1">AVERAGE(OFFSET($BH$3,0,0,'Données projet'!$E$11+1,1))-AVERAGE(OFFSET($H$3,0,0,'Données projet'!$E$11+1,1))</f>
        <v>556.75475431848258</v>
      </c>
      <c r="BJ65" s="60">
        <f t="shared" si="38"/>
        <v>256.77417912163997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4.3399999999999981</v>
      </c>
      <c r="BY65" s="13">
        <f>IF('Données projet'!$A$114&gt;35,BY64+BX65-CG64,IF(A65&lt;'Données projet'!$A$114,$BV$205^A65,IF(A65='Données projet'!$A$114,'Données projet'!$B$114,BY64+BX65-CG64)))</f>
        <v>241.78000000000011</v>
      </c>
      <c r="BZ65" s="14">
        <f>BY65*VLOOKUP('Données projet'!$B$12,Paramètres!$A$1:$I$89,3,0)*VLOOKUP('Données projet'!$B$12,Paramètres!$A$1:$I$89,5,0)</f>
        <v>177.27309600000007</v>
      </c>
      <c r="CA65" s="14">
        <f t="shared" si="39"/>
        <v>44.714962312414976</v>
      </c>
      <c r="CB65" s="22">
        <f t="shared" si="10"/>
        <v>386.62920156078945</v>
      </c>
      <c r="CC65" s="60">
        <f t="shared" si="11"/>
        <v>679.96253489412277</v>
      </c>
      <c r="CD65" s="60">
        <f ca="1">AVERAGE(OFFSET($CC$3,0,0,'Données projet'!$E$12+1,1))-AVERAGE(OFFSET($H$3,0,0,'Données projet'!$E$12+1,1))</f>
        <v>290.68086183422963</v>
      </c>
      <c r="CE65" s="60">
        <f t="shared" si="40"/>
        <v>317.88330630101785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4.8</v>
      </c>
      <c r="CT65" s="13">
        <f>IF('Données projet'!$A$140&gt;35,CT64+CS65-DB64,IF(A65&lt;'Données projet'!$A$140,$CQ$205^A65,IF(A65='Données projet'!$A$140,'Données projet'!$B$140,CT64+CS65-DB64)))</f>
        <v>205.60000000000008</v>
      </c>
      <c r="CU65" s="18">
        <f>CT65*VLOOKUP('Données projet'!$B$13,Paramètres!$A$1:$I$89,3,0)*VLOOKUP('Données projet'!$B$13,Paramètres!$A$1:$I$89,5,0)</f>
        <v>134.70912000000004</v>
      </c>
      <c r="CV65" s="14">
        <f t="shared" si="41"/>
        <v>35.082234990312983</v>
      </c>
      <c r="CW65" s="22">
        <f t="shared" si="13"/>
        <v>295.71994327479518</v>
      </c>
      <c r="CX65" s="60">
        <f t="shared" si="14"/>
        <v>589.0532766081285</v>
      </c>
      <c r="CY65" s="60">
        <f ca="1">AVERAGE(OFFSET($CX$3,0,0,'Données projet'!$E$13+1,1))-AVERAGE(OFFSET($H$3,0,0,'Données projet'!$E$13+1,1))</f>
        <v>243.04319555814601</v>
      </c>
      <c r="CZ65" s="60">
        <f t="shared" si="42"/>
        <v>235.68746142880792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0" t="e">
        <f t="shared" si="17"/>
        <v>#NUM!</v>
      </c>
      <c r="DT65" s="60">
        <f ca="1">AVERAGE(OFFSET($DS$3,0,0,'Données projet'!$E$14+1,1))-AVERAGE(OFFSET($H$3,0,0,'Données projet'!$E$14+1,1))</f>
        <v>201.4732637505823</v>
      </c>
      <c r="DU65" s="60">
        <f t="shared" si="44"/>
        <v>342.06887933351783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3.5050031520505822</v>
      </c>
      <c r="EB65" s="23">
        <f>EXP(-LN(2)/25)*EB64+(1-EXP(-LN(2)/25))/(LN(2)/25)*Calculateur!DW65*Calculateur!DY65*VLOOKUP('Données projet'!$B$14,Paramètres!$A$1:$I$89,3,0)*0.475*44/12</f>
        <v>10.888676212199798</v>
      </c>
      <c r="EC65" s="23">
        <f>EXP(-LN(2)/2)*EC64+(1-EXP(-LN(2)/2))/(LN(2)/2)*DW65*DZ65*VLOOKUP('Données projet'!$B$14,Paramètres!$A$1:$I$89,3,0)*0.475*44/12</f>
        <v>2.0442439338671852E-4</v>
      </c>
      <c r="ED65" s="24">
        <f t="shared" si="18"/>
        <v>14.393883788643766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-3.4106051316484809E-13</v>
      </c>
      <c r="EK65" s="18">
        <f>EJ65*VLOOKUP('Données projet'!$B$15,Paramètres!$A$1:$I$89,3,0)*VLOOKUP('Données projet'!$B$15,Paramètres!$A$1:$I$89,5,0)</f>
        <v>-2.0395418687257919E-13</v>
      </c>
      <c r="EL65" s="14" t="e">
        <f t="shared" si="45"/>
        <v>#NUM!</v>
      </c>
      <c r="EM65" s="22" t="e">
        <f t="shared" si="19"/>
        <v>#NUM!</v>
      </c>
      <c r="EN65" s="60" t="e">
        <f t="shared" si="20"/>
        <v>#NUM!</v>
      </c>
      <c r="EO65" s="60">
        <f ca="1">AVERAGE(OFFSET($EN$3,0,0,'Données projet'!$E$15+1,1))-AVERAGE(OFFSET($H$3,0,0,'Données projet'!$E$15+1,1))</f>
        <v>260.01925143568263</v>
      </c>
      <c r="EP65" s="60">
        <f t="shared" si="46"/>
        <v>269.95358755269427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7.5406822139355967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7.5406822139355967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-1.1368683772161603E-13</v>
      </c>
      <c r="FF65" s="18">
        <f>FE65*VLOOKUP('Données projet'!$B$16,Paramètres!$A$1:$I$89,3,0)*VLOOKUP('Données projet'!$B$16,Paramètres!$A$1:$I$89,5,0)</f>
        <v>-9.2222762759774927E-14</v>
      </c>
      <c r="FG65" s="14" t="e">
        <f t="shared" si="47"/>
        <v>#NUM!</v>
      </c>
      <c r="FH65" s="22" t="e">
        <f t="shared" si="22"/>
        <v>#NUM!</v>
      </c>
      <c r="FI65" s="60" t="e">
        <f t="shared" si="23"/>
        <v>#NUM!</v>
      </c>
      <c r="FJ65" s="60">
        <f ca="1">AVERAGE(OFFSET($FI$3,0,0,'Données projet'!$E$16+1,1))-AVERAGE(OFFSET($H$3,0,0,'Données projet'!$E$16+1,1))</f>
        <v>256.19915261735281</v>
      </c>
      <c r="FK65" s="60">
        <f t="shared" si="48"/>
        <v>297.47246687305056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6.461538461538467</v>
      </c>
      <c r="FZ65" s="13">
        <f>IF('Données projet'!$A$244&gt;35,FZ64+FY65-GH64,IF(A65&lt;'Données projet'!$A$244,$FW$205^A65,IF(A65='Données projet'!$A$244,'Données projet'!$B$244,FZ64+FY65-GH64)))</f>
        <v>241.60769230769239</v>
      </c>
      <c r="GA65" s="18">
        <f>FZ65*VLOOKUP('Données projet'!$B$17,Paramètres!$A$1:$I$89,3,0)*VLOOKUP('Données projet'!$B$17,Paramètres!$A$1:$I$89,5,0)</f>
        <v>138.19960000000006</v>
      </c>
      <c r="GB65" s="14">
        <f t="shared" si="49"/>
        <v>35.884248953313261</v>
      </c>
      <c r="GC65" s="22">
        <f t="shared" si="25"/>
        <v>303.19603692702071</v>
      </c>
      <c r="GD65" s="60">
        <f t="shared" si="26"/>
        <v>596.52937026035397</v>
      </c>
      <c r="GE65" s="60">
        <f ca="1">AVERAGE(OFFSET($GD$3,0,0,'Données projet'!$E$17+1,1))-AVERAGE(OFFSET($H$3,0,0,'Données projet'!$E$17+1,1))</f>
        <v>268.71641789629319</v>
      </c>
      <c r="GF65" s="60">
        <f t="shared" si="50"/>
        <v>199.94048514486104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0.86468666506740244</v>
      </c>
      <c r="GN65" s="23">
        <f>EXP(-LN(2)/2)*GN64+(1-EXP(-LN(2)/2))/(LN(2)/2)*GH65*GK65*VLOOKUP('Données projet'!$B$17,Paramètres!$A$1:$I$89,3,0)*0.475*44/12</f>
        <v>1.0644096786484088E-4</v>
      </c>
      <c r="GO65" s="23">
        <f t="shared" si="27"/>
        <v>0.86479310603526727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9.1830769230769249</v>
      </c>
      <c r="GU65" s="13">
        <f>IF('Données projet'!$A$270&gt;35,GU64+GT65-HC64,IF(A65&lt;'Données projet'!$A$270,$GR$205^A65,IF(A65='Données projet'!$A$270,'Données projet'!$B$270,GU64+GT65-HC64)))</f>
        <v>306.52769230769229</v>
      </c>
      <c r="GV65" s="18">
        <f>GU65*VLOOKUP('Données projet'!$B$18,Paramètres!$A$1:$I$89,3,0)*VLOOKUP('Données projet'!$B$18,Paramètres!$A$1:$I$89,5,0)</f>
        <v>183.30356</v>
      </c>
      <c r="GW65" s="14">
        <f t="shared" si="51"/>
        <v>46.056387641494027</v>
      </c>
      <c r="GX65" s="22">
        <f t="shared" si="28"/>
        <v>399.46857547560211</v>
      </c>
      <c r="GY65" s="60">
        <f t="shared" si="29"/>
        <v>692.80190880893542</v>
      </c>
      <c r="GZ65" s="60">
        <f ca="1">AVERAGE(OFFSET($GY$3,0,0,'Données projet'!$E$18+1,1))-AVERAGE(OFFSET($H$3,0,0,'Données projet'!$E$18+1,1))</f>
        <v>289.12367833861299</v>
      </c>
      <c r="HA65" s="60">
        <f t="shared" si="52"/>
        <v>229.06617320689003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6.3275681732566063E-5</v>
      </c>
      <c r="HJ65" s="24">
        <f t="shared" si="30"/>
        <v>6.3275681732566063E-5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0">
        <f t="shared" si="0"/>
        <v>756.2662036662332</v>
      </c>
      <c r="S66" s="60">
        <f ca="1">AVERAGE(OFFSET($R$3,0,0,'Données projet'!$E$9+1,1))-AVERAGE(OFFSET($H$3,0,0,'Données projet'!$E$9+1,1))</f>
        <v>430.11660085503223</v>
      </c>
      <c r="T66" s="60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455.71538461538455</v>
      </c>
      <c r="AG66" s="13">
        <f>VLOOKUP(A66,'Données projet'!$A$61:$I$81,9,0)</f>
        <v>14.839560439560435</v>
      </c>
      <c r="AH66" s="13">
        <f t="array" ref="AH66">INDEX(AG:AG,MIN(IF(ISNUMBER(AG66:AG262),ROW(AG66:AG262),"")))</f>
        <v>14.839560439560435</v>
      </c>
      <c r="AI66" s="14">
        <f>IF('Données projet'!$A$62&gt;35,AI65+AH66-AQ65,IF(A66&lt;'Données projet'!$A$62,$AF$205^A66,IF(A66='Données projet'!$A$62,'Données projet'!$B$62,AI65+AH66-AQ65)))</f>
        <v>455.71538461538466</v>
      </c>
      <c r="AJ66" s="14">
        <f>AI66*VLOOKUP('Données projet'!$B$10,Paramètres!$A$1:$I$89,3,0)*VLOOKUP('Données projet'!$B$10,Paramètres!$A$1:$I$89,5,0)</f>
        <v>254.74490000000003</v>
      </c>
      <c r="AK66" s="14">
        <f t="shared" si="35"/>
        <v>61.600875281297732</v>
      </c>
      <c r="AL66" s="22">
        <f t="shared" si="4"/>
        <v>550.96889194826019</v>
      </c>
      <c r="AM66" s="60">
        <f t="shared" si="5"/>
        <v>844.30222528159356</v>
      </c>
      <c r="AN66" s="60">
        <f ca="1">AVERAGE(OFFSET($AM$3,0,0,'Données projet'!$E$10+1,1))-AVERAGE(OFFSET($H$3,0,0,'Données projet'!$E$10+1,1))</f>
        <v>323.98185264074681</v>
      </c>
      <c r="AO66" s="60">
        <f t="shared" si="36"/>
        <v>301.22207291854005</v>
      </c>
      <c r="AP66" s="16">
        <f>IF(ISNA(VLOOKUP(A66,'Données projet'!$A$61:$I$81,3,0)),0,VLOOKUP(A66,'Données projet'!$A$61:$I$81,3,0))</f>
        <v>7</v>
      </c>
      <c r="AQ66" s="16">
        <f>IF(ISNA(VLOOKUP(A66,'Données projet'!$A$61:$I$81,4,0)),0,VLOOKUP(A66,'Données projet'!$A$61:$I$81,4,0))</f>
        <v>79.723076923076917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2.3213067209710254</v>
      </c>
      <c r="AV66" s="23">
        <f>EXP(-LN(2)/25)*AV65+(1-EXP(-LN(2)/25))/(LN(2)/25)*Calculateur!AQ66*Calculateur!AS66*VLOOKUP('Données projet'!$B$10,Paramètres!$A$1:$I$89,3,0)*0.475*44/12</f>
        <v>3.303331656963143</v>
      </c>
      <c r="AW66" s="23">
        <f>EXP(-LN(2)/2)*AW65+(1-EXP(-LN(2)/2))/(LN(2)/2)*AQ66*AT66*VLOOKUP('Données projet'!$B$10,Paramètres!$A$1:$I$89,3,0)*0.475*44/12</f>
        <v>6.5684963062500804E-5</v>
      </c>
      <c r="AX66" s="23">
        <f t="shared" si="6"/>
        <v>5.6247040628972309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10.4</v>
      </c>
      <c r="BD66" s="13">
        <f>IF('Données projet'!$A$88&gt;35,BD65+BC66-BL65,IF(A66&lt;'Données projet'!$A$88,$BA$205^A66,IF(A66='Données projet'!$A$88,'Données projet'!$B$88,BD65+BC66-BL65)))</f>
        <v>301.2</v>
      </c>
      <c r="BE66" s="14">
        <f>BD66*VLOOKUP('Données projet'!$B$11,Paramètres!$A$1:$I$89,3,0)*VLOOKUP('Données projet'!$B$11,Paramètres!$A$1:$I$89,5,0)</f>
        <v>258.42959999999999</v>
      </c>
      <c r="BF66" s="14">
        <f t="shared" si="37"/>
        <v>62.387514199596417</v>
      </c>
      <c r="BG66" s="22">
        <f t="shared" si="7"/>
        <v>558.75647389763037</v>
      </c>
      <c r="BH66" s="60">
        <f t="shared" si="8"/>
        <v>852.08980723096374</v>
      </c>
      <c r="BI66" s="60">
        <f ca="1">AVERAGE(OFFSET($BH$3,0,0,'Données projet'!$E$11+1,1))-AVERAGE(OFFSET($H$3,0,0,'Données projet'!$E$11+1,1))</f>
        <v>556.75475431848258</v>
      </c>
      <c r="BJ66" s="60">
        <f t="shared" si="38"/>
        <v>256.77417912163997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4.3399999999999981</v>
      </c>
      <c r="BY66" s="13">
        <f>IF('Données projet'!$A$114&gt;35,BY65+BX66-CG65,IF(A66&lt;'Données projet'!$A$114,$BV$205^A66,IF(A66='Données projet'!$A$114,'Données projet'!$B$114,BY65+BX66-CG65)))</f>
        <v>246.12000000000012</v>
      </c>
      <c r="BZ66" s="14">
        <f>BY66*VLOOKUP('Données projet'!$B$12,Paramètres!$A$1:$I$89,3,0)*VLOOKUP('Données projet'!$B$12,Paramètres!$A$1:$I$89,5,0)</f>
        <v>180.45518400000009</v>
      </c>
      <c r="CA66" s="14">
        <f t="shared" si="39"/>
        <v>45.423441329766014</v>
      </c>
      <c r="CB66" s="22">
        <f t="shared" si="10"/>
        <v>393.40527244934259</v>
      </c>
      <c r="CC66" s="60">
        <f t="shared" si="11"/>
        <v>686.7386057826759</v>
      </c>
      <c r="CD66" s="60">
        <f ca="1">AVERAGE(OFFSET($CC$3,0,0,'Données projet'!$E$12+1,1))-AVERAGE(OFFSET($H$3,0,0,'Données projet'!$E$12+1,1))</f>
        <v>290.68086183422963</v>
      </c>
      <c r="CE66" s="60">
        <f t="shared" si="40"/>
        <v>317.88330630101785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4.8</v>
      </c>
      <c r="CT66" s="13">
        <f>IF('Données projet'!$A$140&gt;35,CT65+CS66-DB65,IF(A66&lt;'Données projet'!$A$140,$CQ$205^A66,IF(A66='Données projet'!$A$140,'Données projet'!$B$140,CT65+CS66-DB65)))</f>
        <v>210.40000000000009</v>
      </c>
      <c r="CU66" s="18">
        <f>CT66*VLOOKUP('Données projet'!$B$13,Paramètres!$A$1:$I$89,3,0)*VLOOKUP('Données projet'!$B$13,Paramètres!$A$1:$I$89,5,0)</f>
        <v>137.85408000000007</v>
      </c>
      <c r="CV66" s="14">
        <f t="shared" si="41"/>
        <v>35.804964283629992</v>
      </c>
      <c r="CW66" s="22">
        <f t="shared" si="13"/>
        <v>302.45616879398904</v>
      </c>
      <c r="CX66" s="60">
        <f t="shared" si="14"/>
        <v>595.78950212732229</v>
      </c>
      <c r="CY66" s="60">
        <f ca="1">AVERAGE(OFFSET($CX$3,0,0,'Données projet'!$E$13+1,1))-AVERAGE(OFFSET($H$3,0,0,'Données projet'!$E$13+1,1))</f>
        <v>243.04319555814601</v>
      </c>
      <c r="CZ66" s="60">
        <f t="shared" si="42"/>
        <v>235.68746142880792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0" t="e">
        <f t="shared" si="17"/>
        <v>#NUM!</v>
      </c>
      <c r="DT66" s="60">
        <f ca="1">AVERAGE(OFFSET($DS$3,0,0,'Données projet'!$E$14+1,1))-AVERAGE(OFFSET($H$3,0,0,'Données projet'!$E$14+1,1))</f>
        <v>201.4732637505823</v>
      </c>
      <c r="DU66" s="60">
        <f t="shared" si="44"/>
        <v>342.06887933351783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3.4362721780796988</v>
      </c>
      <c r="EB66" s="23">
        <f>EXP(-LN(2)/25)*EB65+(1-EXP(-LN(2)/25))/(LN(2)/25)*Calculateur!DW66*Calculateur!DY66*VLOOKUP('Données projet'!$B$14,Paramètres!$A$1:$I$89,3,0)*0.475*44/12</f>
        <v>10.590924788566598</v>
      </c>
      <c r="EC66" s="23">
        <f>EXP(-LN(2)/2)*EC65+(1-EXP(-LN(2)/2))/(LN(2)/2)*DW66*DZ66*VLOOKUP('Données projet'!$B$14,Paramètres!$A$1:$I$89,3,0)*0.475*44/12</f>
        <v>1.4454987480369509E-4</v>
      </c>
      <c r="ED66" s="24">
        <f t="shared" si="18"/>
        <v>14.027341516521101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-3.4106051316484809E-13</v>
      </c>
      <c r="EK66" s="18">
        <f>EJ66*VLOOKUP('Données projet'!$B$15,Paramètres!$A$1:$I$89,3,0)*VLOOKUP('Données projet'!$B$15,Paramètres!$A$1:$I$89,5,0)</f>
        <v>-2.0395418687257919E-13</v>
      </c>
      <c r="EL66" s="14" t="e">
        <f t="shared" si="45"/>
        <v>#NUM!</v>
      </c>
      <c r="EM66" s="22" t="e">
        <f t="shared" si="19"/>
        <v>#NUM!</v>
      </c>
      <c r="EN66" s="60" t="e">
        <f t="shared" si="20"/>
        <v>#NUM!</v>
      </c>
      <c r="EO66" s="60">
        <f ca="1">AVERAGE(OFFSET($EN$3,0,0,'Données projet'!$E$15+1,1))-AVERAGE(OFFSET($H$3,0,0,'Données projet'!$E$15+1,1))</f>
        <v>260.01925143568263</v>
      </c>
      <c r="EP66" s="60">
        <f t="shared" si="46"/>
        <v>269.95358755269427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7.3928140350823206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7.3928140350823206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-1.1368683772161603E-13</v>
      </c>
      <c r="FF66" s="18">
        <f>FE66*VLOOKUP('Données projet'!$B$16,Paramètres!$A$1:$I$89,3,0)*VLOOKUP('Données projet'!$B$16,Paramètres!$A$1:$I$89,5,0)</f>
        <v>-9.2222762759774927E-14</v>
      </c>
      <c r="FG66" s="14" t="e">
        <f t="shared" si="47"/>
        <v>#NUM!</v>
      </c>
      <c r="FH66" s="22" t="e">
        <f t="shared" si="22"/>
        <v>#NUM!</v>
      </c>
      <c r="FI66" s="60" t="e">
        <f t="shared" si="23"/>
        <v>#NUM!</v>
      </c>
      <c r="FJ66" s="60">
        <f ca="1">AVERAGE(OFFSET($FI$3,0,0,'Données projet'!$E$16+1,1))-AVERAGE(OFFSET($H$3,0,0,'Données projet'!$E$16+1,1))</f>
        <v>256.19915261735281</v>
      </c>
      <c r="FK66" s="60">
        <f t="shared" si="48"/>
        <v>297.47246687305056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6.461538461538467</v>
      </c>
      <c r="FZ66" s="13">
        <f>IF('Données projet'!$A$244&gt;35,FZ65+FY66-GH65,IF(A66&lt;'Données projet'!$A$244,$FW$205^A66,IF(A66='Données projet'!$A$244,'Données projet'!$B$244,FZ65+FY66-GH65)))</f>
        <v>248.06923076923084</v>
      </c>
      <c r="GA66" s="18">
        <f>FZ66*VLOOKUP('Données projet'!$B$17,Paramètres!$A$1:$I$89,3,0)*VLOOKUP('Données projet'!$B$17,Paramètres!$A$1:$I$89,5,0)</f>
        <v>141.89560000000006</v>
      </c>
      <c r="GB66" s="14">
        <f t="shared" si="49"/>
        <v>36.730920342765835</v>
      </c>
      <c r="GC66" s="22">
        <f t="shared" si="25"/>
        <v>311.1078562636506</v>
      </c>
      <c r="GD66" s="60">
        <f t="shared" si="26"/>
        <v>604.44118959698392</v>
      </c>
      <c r="GE66" s="60">
        <f ca="1">AVERAGE(OFFSET($GD$3,0,0,'Données projet'!$E$17+1,1))-AVERAGE(OFFSET($H$3,0,0,'Données projet'!$E$17+1,1))</f>
        <v>268.71641789629319</v>
      </c>
      <c r="GF66" s="60">
        <f t="shared" si="50"/>
        <v>199.94048514486104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0.84104176273923892</v>
      </c>
      <c r="GN66" s="23">
        <f>EXP(-LN(2)/2)*GN65+(1-EXP(-LN(2)/2))/(LN(2)/2)*GH66*GK66*VLOOKUP('Données projet'!$B$17,Paramètres!$A$1:$I$89,3,0)*0.475*44/12</f>
        <v>7.5265130173288373E-5</v>
      </c>
      <c r="GO66" s="23">
        <f t="shared" si="27"/>
        <v>0.84111702786941223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9.1830769230769249</v>
      </c>
      <c r="GU66" s="13">
        <f>IF('Données projet'!$A$270&gt;35,GU65+GT66-HC65,IF(A66&lt;'Données projet'!$A$270,$GR$205^A66,IF(A66='Données projet'!$A$270,'Données projet'!$B$270,GU65+GT66-HC65)))</f>
        <v>315.71076923076919</v>
      </c>
      <c r="GV66" s="18">
        <f>GU66*VLOOKUP('Données projet'!$B$18,Paramètres!$A$1:$I$89,3,0)*VLOOKUP('Données projet'!$B$18,Paramètres!$A$1:$I$89,5,0)</f>
        <v>188.79504</v>
      </c>
      <c r="GW66" s="14">
        <f t="shared" si="51"/>
        <v>47.273454743056831</v>
      </c>
      <c r="GX66" s="22">
        <f t="shared" si="28"/>
        <v>411.15262834415722</v>
      </c>
      <c r="GY66" s="60">
        <f t="shared" si="29"/>
        <v>704.48596167749054</v>
      </c>
      <c r="GZ66" s="60">
        <f ca="1">AVERAGE(OFFSET($GY$3,0,0,'Données projet'!$E$18+1,1))-AVERAGE(OFFSET($H$3,0,0,'Données projet'!$E$18+1,1))</f>
        <v>289.12367833861299</v>
      </c>
      <c r="HA66" s="60">
        <f t="shared" si="52"/>
        <v>229.06617320689003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4.4742663637299214E-5</v>
      </c>
      <c r="HJ66" s="24">
        <f t="shared" si="30"/>
        <v>4.4742663637299214E-5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0">
        <f t="shared" ref="R67:R130" si="55">Q67+(I67+J67)*44/12</f>
        <v>770.08314967493436</v>
      </c>
      <c r="S67" s="60">
        <f ca="1">AVERAGE(OFFSET($R$3,0,0,'Données projet'!$E$9+1,1))-AVERAGE(OFFSET($H$3,0,0,'Données projet'!$E$9+1,1))</f>
        <v>430.11660085503223</v>
      </c>
      <c r="T67" s="60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13.373076923076932</v>
      </c>
      <c r="AI67" s="14">
        <f>IF('Données projet'!$A$62&gt;35,AI66+AH67-AQ66,IF(A67&lt;'Données projet'!$A$62,$AF$205^A67,IF(A67='Données projet'!$A$62,'Données projet'!$B$62,AI66+AH67-AQ66)))</f>
        <v>389.3653846153847</v>
      </c>
      <c r="AJ67" s="14">
        <f>AI67*VLOOKUP('Données projet'!$B$10,Paramètres!$A$1:$I$89,3,0)*VLOOKUP('Données projet'!$B$10,Paramètres!$A$1:$I$89,5,0)</f>
        <v>217.65525000000002</v>
      </c>
      <c r="AK67" s="14">
        <f t="shared" si="35"/>
        <v>53.604948518581054</v>
      </c>
      <c r="AL67" s="22">
        <f t="shared" si="4"/>
        <v>472.44484575319535</v>
      </c>
      <c r="AM67" s="60">
        <f t="shared" si="5"/>
        <v>765.77817908652867</v>
      </c>
      <c r="AN67" s="60">
        <f ca="1">AVERAGE(OFFSET($AM$3,0,0,'Données projet'!$E$10+1,1))-AVERAGE(OFFSET($H$3,0,0,'Données projet'!$E$10+1,1))</f>
        <v>323.98185264074681</v>
      </c>
      <c r="AO67" s="60">
        <f t="shared" si="36"/>
        <v>301.22207291854005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2.2757873120300789</v>
      </c>
      <c r="AV67" s="23">
        <f>EXP(-LN(2)/25)*AV66+(1-EXP(-LN(2)/25))/(LN(2)/25)*Calculateur!AQ67*Calculateur!AS67*VLOOKUP('Données projet'!$B$10,Paramètres!$A$1:$I$89,3,0)*0.475*44/12</f>
        <v>3.2130018790888237</v>
      </c>
      <c r="AW67" s="23">
        <f>EXP(-LN(2)/2)*AW66+(1-EXP(-LN(2)/2))/(LN(2)/2)*AQ67*AT67*VLOOKUP('Données projet'!$B$10,Paramètres!$A$1:$I$89,3,0)*0.475*44/12</f>
        <v>4.6446282803482213E-5</v>
      </c>
      <c r="AX67" s="23">
        <f t="shared" si="6"/>
        <v>5.4888356374017064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10.4</v>
      </c>
      <c r="BD67" s="13">
        <f>IF('Données projet'!$A$88&gt;35,BD66+BC67-BL66,IF(A67&lt;'Données projet'!$A$88,$BA$205^A67,IF(A67='Données projet'!$A$88,'Données projet'!$B$88,BD66+BC67-BL66)))</f>
        <v>311.59999999999997</v>
      </c>
      <c r="BE67" s="14">
        <f>BD67*VLOOKUP('Données projet'!$B$11,Paramètres!$A$1:$I$89,3,0)*VLOOKUP('Données projet'!$B$11,Paramètres!$A$1:$I$89,5,0)</f>
        <v>267.3528</v>
      </c>
      <c r="BF67" s="14">
        <f t="shared" si="37"/>
        <v>64.28714488617193</v>
      </c>
      <c r="BG67" s="22">
        <f t="shared" si="7"/>
        <v>577.60623734341596</v>
      </c>
      <c r="BH67" s="60">
        <f t="shared" si="8"/>
        <v>870.93957067674933</v>
      </c>
      <c r="BI67" s="60">
        <f ca="1">AVERAGE(OFFSET($BH$3,0,0,'Données projet'!$E$11+1,1))-AVERAGE(OFFSET($H$3,0,0,'Données projet'!$E$11+1,1))</f>
        <v>556.75475431848258</v>
      </c>
      <c r="BJ67" s="60">
        <f t="shared" si="38"/>
        <v>256.77417912163997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4.3399999999999981</v>
      </c>
      <c r="BY67" s="13">
        <f>IF('Données projet'!$A$114&gt;35,BY66+BX67-CG66,IF(A67&lt;'Données projet'!$A$114,$BV$205^A67,IF(A67='Données projet'!$A$114,'Données projet'!$B$114,BY66+BX67-CG66)))</f>
        <v>250.46000000000012</v>
      </c>
      <c r="BZ67" s="14">
        <f>BY67*VLOOKUP('Données projet'!$B$12,Paramètres!$A$1:$I$89,3,0)*VLOOKUP('Données projet'!$B$12,Paramètres!$A$1:$I$89,5,0)</f>
        <v>183.63727200000011</v>
      </c>
      <c r="CA67" s="14">
        <f t="shared" si="39"/>
        <v>46.130467563413795</v>
      </c>
      <c r="CB67" s="22">
        <f t="shared" si="10"/>
        <v>400.17881307294584</v>
      </c>
      <c r="CC67" s="60">
        <f t="shared" si="11"/>
        <v>693.51214640627916</v>
      </c>
      <c r="CD67" s="60">
        <f ca="1">AVERAGE(OFFSET($CC$3,0,0,'Données projet'!$E$12+1,1))-AVERAGE(OFFSET($H$3,0,0,'Données projet'!$E$12+1,1))</f>
        <v>290.68086183422963</v>
      </c>
      <c r="CE67" s="60">
        <f t="shared" si="40"/>
        <v>317.88330630101785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4.8</v>
      </c>
      <c r="CT67" s="13">
        <f>IF('Données projet'!$A$140&gt;35,CT66+CS67-DB66,IF(A67&lt;'Données projet'!$A$140,$CQ$205^A67,IF(A67='Données projet'!$A$140,'Données projet'!$B$140,CT66+CS67-DB66)))</f>
        <v>215.2000000000001</v>
      </c>
      <c r="CU67" s="18">
        <f>CT67*VLOOKUP('Données projet'!$B$13,Paramètres!$A$1:$I$89,3,0)*VLOOKUP('Données projet'!$B$13,Paramètres!$A$1:$I$89,5,0)</f>
        <v>140.99904000000006</v>
      </c>
      <c r="CV67" s="14">
        <f t="shared" si="41"/>
        <v>36.525776729948852</v>
      </c>
      <c r="CW67" s="22">
        <f t="shared" si="13"/>
        <v>309.189055804661</v>
      </c>
      <c r="CX67" s="60">
        <f t="shared" si="14"/>
        <v>602.52238913799431</v>
      </c>
      <c r="CY67" s="60">
        <f ca="1">AVERAGE(OFFSET($CX$3,0,0,'Données projet'!$E$13+1,1))-AVERAGE(OFFSET($H$3,0,0,'Données projet'!$E$13+1,1))</f>
        <v>243.04319555814601</v>
      </c>
      <c r="CZ67" s="60">
        <f t="shared" si="42"/>
        <v>235.68746142880792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0" t="e">
        <f t="shared" si="17"/>
        <v>#NUM!</v>
      </c>
      <c r="DT67" s="60">
        <f ca="1">AVERAGE(OFFSET($DS$3,0,0,'Données projet'!$E$14+1,1))-AVERAGE(OFFSET($H$3,0,0,'Données projet'!$E$14+1,1))</f>
        <v>201.4732637505823</v>
      </c>
      <c r="DU67" s="60">
        <f t="shared" si="44"/>
        <v>342.06887933351783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3.3688889765866299</v>
      </c>
      <c r="EB67" s="23">
        <f>EXP(-LN(2)/25)*EB66+(1-EXP(-LN(2)/25))/(LN(2)/25)*Calculateur!DW67*Calculateur!DY67*VLOOKUP('Données projet'!$B$14,Paramètres!$A$1:$I$89,3,0)*0.475*44/12</f>
        <v>10.301315393270716</v>
      </c>
      <c r="EC67" s="23">
        <f>EXP(-LN(2)/2)*EC66+(1-EXP(-LN(2)/2))/(LN(2)/2)*DW67*DZ67*VLOOKUP('Données projet'!$B$14,Paramètres!$A$1:$I$89,3,0)*0.475*44/12</f>
        <v>1.0221219669335926E-4</v>
      </c>
      <c r="ED67" s="24">
        <f t="shared" si="18"/>
        <v>13.670306582054041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-3.4106051316484809E-13</v>
      </c>
      <c r="EK67" s="18">
        <f>EJ67*VLOOKUP('Données projet'!$B$15,Paramètres!$A$1:$I$89,3,0)*VLOOKUP('Données projet'!$B$15,Paramètres!$A$1:$I$89,5,0)</f>
        <v>-2.0395418687257919E-13</v>
      </c>
      <c r="EL67" s="14" t="e">
        <f t="shared" si="45"/>
        <v>#NUM!</v>
      </c>
      <c r="EM67" s="22" t="e">
        <f t="shared" si="19"/>
        <v>#NUM!</v>
      </c>
      <c r="EN67" s="60" t="e">
        <f t="shared" si="20"/>
        <v>#NUM!</v>
      </c>
      <c r="EO67" s="60">
        <f ca="1">AVERAGE(OFFSET($EN$3,0,0,'Données projet'!$E$15+1,1))-AVERAGE(OFFSET($H$3,0,0,'Données projet'!$E$15+1,1))</f>
        <v>260.01925143568263</v>
      </c>
      <c r="EP67" s="60">
        <f t="shared" si="46"/>
        <v>269.95358755269427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7.2478454610256744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7.2478454610256744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-1.1368683772161603E-13</v>
      </c>
      <c r="FF67" s="18">
        <f>FE67*VLOOKUP('Données projet'!$B$16,Paramètres!$A$1:$I$89,3,0)*VLOOKUP('Données projet'!$B$16,Paramètres!$A$1:$I$89,5,0)</f>
        <v>-9.2222762759774927E-14</v>
      </c>
      <c r="FG67" s="14" t="e">
        <f t="shared" si="47"/>
        <v>#NUM!</v>
      </c>
      <c r="FH67" s="22" t="e">
        <f t="shared" si="22"/>
        <v>#NUM!</v>
      </c>
      <c r="FI67" s="60" t="e">
        <f t="shared" si="23"/>
        <v>#NUM!</v>
      </c>
      <c r="FJ67" s="60">
        <f ca="1">AVERAGE(OFFSET($FI$3,0,0,'Données projet'!$E$16+1,1))-AVERAGE(OFFSET($H$3,0,0,'Données projet'!$E$16+1,1))</f>
        <v>256.19915261735281</v>
      </c>
      <c r="FK67" s="60">
        <f t="shared" si="48"/>
        <v>297.47246687305056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6.461538461538467</v>
      </c>
      <c r="FZ67" s="13">
        <f>IF('Données projet'!$A$244&gt;35,FZ66+FY67-GH66,IF(A67&lt;'Données projet'!$A$244,$FW$205^A67,IF(A67='Données projet'!$A$244,'Données projet'!$B$244,FZ66+FY67-GH66)))</f>
        <v>254.53076923076929</v>
      </c>
      <c r="GA67" s="18">
        <f>FZ67*VLOOKUP('Données projet'!$B$17,Paramètres!$A$1:$I$89,3,0)*VLOOKUP('Données projet'!$B$17,Paramètres!$A$1:$I$89,5,0)</f>
        <v>145.59160000000006</v>
      </c>
      <c r="GB67" s="14">
        <f t="shared" si="49"/>
        <v>37.575028283733722</v>
      </c>
      <c r="GC67" s="22">
        <f t="shared" si="25"/>
        <v>319.01521092750301</v>
      </c>
      <c r="GD67" s="60">
        <f t="shared" si="26"/>
        <v>612.34854426083632</v>
      </c>
      <c r="GE67" s="60">
        <f ca="1">AVERAGE(OFFSET($GD$3,0,0,'Données projet'!$E$17+1,1))-AVERAGE(OFFSET($H$3,0,0,'Données projet'!$E$17+1,1))</f>
        <v>268.71641789629319</v>
      </c>
      <c r="GF67" s="60">
        <f t="shared" si="50"/>
        <v>199.94048514486104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0.81804343150867032</v>
      </c>
      <c r="GN67" s="23">
        <f>EXP(-LN(2)/2)*GN66+(1-EXP(-LN(2)/2))/(LN(2)/2)*GH67*GK67*VLOOKUP('Données projet'!$B$17,Paramètres!$A$1:$I$89,3,0)*0.475*44/12</f>
        <v>5.3220483932420438E-5</v>
      </c>
      <c r="GO67" s="23">
        <f t="shared" si="27"/>
        <v>0.81809665199260273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9.1830769230769249</v>
      </c>
      <c r="GU67" s="13">
        <f>IF('Données projet'!$A$270&gt;35,GU66+GT67-HC66,IF(A67&lt;'Données projet'!$A$270,$GR$205^A67,IF(A67='Données projet'!$A$270,'Données projet'!$B$270,GU66+GT67-HC66)))</f>
        <v>324.89384615384608</v>
      </c>
      <c r="GV67" s="18">
        <f>GU67*VLOOKUP('Données projet'!$B$18,Paramètres!$A$1:$I$89,3,0)*VLOOKUP('Données projet'!$B$18,Paramètres!$A$1:$I$89,5,0)</f>
        <v>194.28651999999997</v>
      </c>
      <c r="GW67" s="14">
        <f t="shared" si="51"/>
        <v>48.486407543748122</v>
      </c>
      <c r="GX67" s="22">
        <f t="shared" si="28"/>
        <v>422.82951547202788</v>
      </c>
      <c r="GY67" s="60">
        <f t="shared" si="29"/>
        <v>716.16284880536114</v>
      </c>
      <c r="GZ67" s="60">
        <f ca="1">AVERAGE(OFFSET($GY$3,0,0,'Données projet'!$E$18+1,1))-AVERAGE(OFFSET($H$3,0,0,'Données projet'!$E$18+1,1))</f>
        <v>289.12367833861299</v>
      </c>
      <c r="HA67" s="60">
        <f t="shared" si="52"/>
        <v>229.06617320689003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3.1637840866283031E-5</v>
      </c>
      <c r="HJ67" s="24">
        <f t="shared" si="30"/>
        <v>3.1637840866283031E-5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0">
        <f t="shared" si="55"/>
        <v>783.89158069165728</v>
      </c>
      <c r="S68" s="60">
        <f ca="1">AVERAGE(OFFSET($R$3,0,0,'Données projet'!$E$9+1,1))-AVERAGE(OFFSET($H$3,0,0,'Données projet'!$E$9+1,1))</f>
        <v>430.11660085503223</v>
      </c>
      <c r="T68" s="60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13.373076923076932</v>
      </c>
      <c r="AI68" s="14">
        <f>IF('Données projet'!$A$62&gt;35,AI67+AH68-AQ67,IF(A68&lt;'Données projet'!$A$62,$AF$205^A68,IF(A68='Données projet'!$A$62,'Données projet'!$B$62,AI67+AH68-AQ67)))</f>
        <v>402.73846153846165</v>
      </c>
      <c r="AJ68" s="14">
        <f>AI68*VLOOKUP('Données projet'!$B$10,Paramètres!$A$1:$I$89,3,0)*VLOOKUP('Données projet'!$B$10,Paramètres!$A$1:$I$89,5,0)</f>
        <v>225.13080000000008</v>
      </c>
      <c r="AK68" s="14">
        <f t="shared" si="35"/>
        <v>55.228539095259954</v>
      </c>
      <c r="AL68" s="22">
        <f t="shared" ref="AL68:AL131" si="58">(AJ68+AK68)*0.475*44/12</f>
        <v>488.29251559091125</v>
      </c>
      <c r="AM68" s="60">
        <f t="shared" ref="AM68:AM131" si="59">AL68+(AD68+AE68)*44/12</f>
        <v>781.62584892424456</v>
      </c>
      <c r="AN68" s="60">
        <f ca="1">AVERAGE(OFFSET($AM$3,0,0,'Données projet'!$E$10+1,1))-AVERAGE(OFFSET($H$3,0,0,'Données projet'!$E$10+1,1))</f>
        <v>323.98185264074681</v>
      </c>
      <c r="AO68" s="60">
        <f t="shared" si="36"/>
        <v>301.22207291854005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2.2311605109343664</v>
      </c>
      <c r="AV68" s="23">
        <f>EXP(-LN(2)/25)*AV67+(1-EXP(-LN(2)/25))/(LN(2)/25)*Calculateur!AQ68*Calculateur!AS68*VLOOKUP('Données projet'!$B$10,Paramètres!$A$1:$I$89,3,0)*0.475*44/12</f>
        <v>3.1251421737407146</v>
      </c>
      <c r="AW68" s="23">
        <f>EXP(-LN(2)/2)*AW67+(1-EXP(-LN(2)/2))/(LN(2)/2)*AQ68*AT68*VLOOKUP('Données projet'!$B$10,Paramètres!$A$1:$I$89,3,0)*0.475*44/12</f>
        <v>3.2842481531250402E-5</v>
      </c>
      <c r="AX68" s="23">
        <f t="shared" ref="AX68:AX131" si="60">SUM(AU68:AW68)</f>
        <v>5.3563355271566122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322</v>
      </c>
      <c r="BB68" s="13">
        <f>VLOOKUP(A68,'Données projet'!$A$87:$I$107,9,0)</f>
        <v>10.4</v>
      </c>
      <c r="BC68" s="13">
        <f t="array" ref="BC68">INDEX(BB:BB,MIN(IF(ISNUMBER(BB68:BB264),ROW(BB68:BB264),"")))</f>
        <v>10.4</v>
      </c>
      <c r="BD68" s="13">
        <f>IF('Données projet'!$A$88&gt;35,BD67+BC68-BL67,IF(A68&lt;'Données projet'!$A$88,$BA$205^A68,IF(A68='Données projet'!$A$88,'Données projet'!$B$88,BD67+BC68-BL67)))</f>
        <v>321.99999999999994</v>
      </c>
      <c r="BE68" s="14">
        <f>BD68*VLOOKUP('Données projet'!$B$11,Paramètres!$A$1:$I$89,3,0)*VLOOKUP('Données projet'!$B$11,Paramètres!$A$1:$I$89,5,0)</f>
        <v>276.27600000000001</v>
      </c>
      <c r="BF68" s="14">
        <f t="shared" si="37"/>
        <v>66.179408416217157</v>
      </c>
      <c r="BG68" s="22">
        <f t="shared" ref="BG68:BG131" si="61">(BE68+BF68)*0.475*44/12</f>
        <v>596.44316965824487</v>
      </c>
      <c r="BH68" s="60">
        <f t="shared" ref="BH68:BH131" si="62">BG68+(AY68+AZ68)*44/12</f>
        <v>889.77650299157813</v>
      </c>
      <c r="BI68" s="60">
        <f ca="1">AVERAGE(OFFSET($BH$3,0,0,'Données projet'!$E$11+1,1))-AVERAGE(OFFSET($H$3,0,0,'Données projet'!$E$11+1,1))</f>
        <v>556.75475431848258</v>
      </c>
      <c r="BJ68" s="60">
        <f t="shared" si="38"/>
        <v>256.77417912163997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254.8</v>
      </c>
      <c r="BW68" s="13">
        <f>VLOOKUP(A68,'Données projet'!$A$113:$I$133,9,0)</f>
        <v>4.3399999999999981</v>
      </c>
      <c r="BX68" s="13">
        <f t="array" ref="BX68">INDEX(BW:BW,MIN(IF(ISNUMBER(BW68:BW264),ROW(BW68:BW264),"")))</f>
        <v>4.3399999999999981</v>
      </c>
      <c r="BY68" s="13">
        <f>IF('Données projet'!$A$114&gt;35,BY67+BX68-CG67,IF(A68&lt;'Données projet'!$A$114,$BV$205^A68,IF(A68='Données projet'!$A$114,'Données projet'!$B$114,BY67+BX68-CG67)))</f>
        <v>254.80000000000013</v>
      </c>
      <c r="BZ68" s="14">
        <f>BY68*VLOOKUP('Données projet'!$B$12,Paramètres!$A$1:$I$89,3,0)*VLOOKUP('Données projet'!$B$12,Paramètres!$A$1:$I$89,5,0)</f>
        <v>186.8193600000001</v>
      </c>
      <c r="CA68" s="14">
        <f t="shared" si="39"/>
        <v>46.836069092125975</v>
      </c>
      <c r="CB68" s="22">
        <f t="shared" ref="CB68:CB131" si="64">(BZ68+CA68)*0.475*44/12</f>
        <v>406.94987233545288</v>
      </c>
      <c r="CC68" s="60">
        <f t="shared" ref="CC68:CC131" si="65">CB68+(BT68+BU68)*44/12</f>
        <v>700.2832056687862</v>
      </c>
      <c r="CD68" s="60">
        <f ca="1">AVERAGE(OFFSET($CC$3,0,0,'Données projet'!$E$12+1,1))-AVERAGE(OFFSET($H$3,0,0,'Données projet'!$E$12+1,1))</f>
        <v>290.68086183422963</v>
      </c>
      <c r="CE68" s="60">
        <f t="shared" si="40"/>
        <v>317.88330630101785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220</v>
      </c>
      <c r="CR68" s="13">
        <f>VLOOKUP(A68,'Données projet'!$A$139:$I$159,9,0)</f>
        <v>4.8</v>
      </c>
      <c r="CS68" s="13">
        <f t="array" ref="CS68">INDEX(CR:CR,MIN(IF(ISNUMBER(CR68:CR264),ROW(CR68:CR264),"")))</f>
        <v>4.8</v>
      </c>
      <c r="CT68" s="13">
        <f>IF('Données projet'!$A$140&gt;35,CT67+CS68-DB67,IF(A68&lt;'Données projet'!$A$140,$CQ$205^A68,IF(A68='Données projet'!$A$140,'Données projet'!$B$140,CT67+CS68-DB67)))</f>
        <v>220.00000000000011</v>
      </c>
      <c r="CU68" s="18">
        <f>CT68*VLOOKUP('Données projet'!$B$13,Paramètres!$A$1:$I$89,3,0)*VLOOKUP('Données projet'!$B$13,Paramètres!$A$1:$I$89,5,0)</f>
        <v>144.14400000000009</v>
      </c>
      <c r="CV68" s="14">
        <f t="shared" si="41"/>
        <v>37.244720006976287</v>
      </c>
      <c r="CW68" s="22">
        <f t="shared" ref="CW68:CW131" si="67">(CU68+CV68)*0.475*44/12</f>
        <v>315.91868734548387</v>
      </c>
      <c r="CX68" s="60">
        <f t="shared" ref="CX68:CX131" si="68">CW68+(CO68+CP68)*44/12</f>
        <v>609.25202067881719</v>
      </c>
      <c r="CY68" s="60">
        <f ca="1">AVERAGE(OFFSET($CX$3,0,0,'Données projet'!$E$13+1,1))-AVERAGE(OFFSET($H$3,0,0,'Données projet'!$E$13+1,1))</f>
        <v>243.04319555814601</v>
      </c>
      <c r="CZ68" s="60">
        <f t="shared" si="42"/>
        <v>235.68746142880792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37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0" t="e">
        <f t="shared" ref="DS68:DS131" si="71">DR68+(DJ68+DK68)*44/12</f>
        <v>#NUM!</v>
      </c>
      <c r="DT68" s="60">
        <f ca="1">AVERAGE(OFFSET($DS$3,0,0,'Données projet'!$E$14+1,1))-AVERAGE(OFFSET($H$3,0,0,'Données projet'!$E$14+1,1))</f>
        <v>201.4732637505823</v>
      </c>
      <c r="DU68" s="60">
        <f t="shared" si="44"/>
        <v>342.06887933351783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3.3028271185751454</v>
      </c>
      <c r="EB68" s="23">
        <f>EXP(-LN(2)/25)*EB67+(1-EXP(-LN(2)/25))/(LN(2)/25)*Calculateur!DW68*Calculateur!DY68*VLOOKUP('Données projet'!$B$14,Paramètres!$A$1:$I$89,3,0)*0.475*44/12</f>
        <v>10.019625382119095</v>
      </c>
      <c r="EC68" s="23">
        <f>EXP(-LN(2)/2)*EC67+(1-EXP(-LN(2)/2))/(LN(2)/2)*DW68*DZ68*VLOOKUP('Données projet'!$B$14,Paramètres!$A$1:$I$89,3,0)*0.475*44/12</f>
        <v>7.2274937401847544E-5</v>
      </c>
      <c r="ED68" s="24">
        <f t="shared" ref="ED68:ED131" si="72">SUM(EA68:EC68)</f>
        <v>13.322524775631642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-3.4106051316484809E-13</v>
      </c>
      <c r="EK68" s="18">
        <f>EJ68*VLOOKUP('Données projet'!$B$15,Paramètres!$A$1:$I$89,3,0)*VLOOKUP('Données projet'!$B$15,Paramètres!$A$1:$I$89,5,0)</f>
        <v>-2.0395418687257919E-13</v>
      </c>
      <c r="EL68" s="14" t="e">
        <f t="shared" si="45"/>
        <v>#NUM!</v>
      </c>
      <c r="EM68" s="22" t="e">
        <f t="shared" ref="EM68:EM131" si="73">(EK68+EL68)*0.475*44/12</f>
        <v>#NUM!</v>
      </c>
      <c r="EN68" s="60" t="e">
        <f t="shared" ref="EN68:EN131" si="74">EM68+(EE68+EF68)*44/12</f>
        <v>#NUM!</v>
      </c>
      <c r="EO68" s="60">
        <f ca="1">AVERAGE(OFFSET($EN$3,0,0,'Données projet'!$E$15+1,1))-AVERAGE(OFFSET($H$3,0,0,'Données projet'!$E$15+1,1))</f>
        <v>260.01925143568263</v>
      </c>
      <c r="EP68" s="60">
        <f t="shared" si="46"/>
        <v>269.95358755269427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7.1057196322841794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7.1057196322841794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-1.1368683772161603E-13</v>
      </c>
      <c r="FF68" s="18">
        <f>FE68*VLOOKUP('Données projet'!$B$16,Paramètres!$A$1:$I$89,3,0)*VLOOKUP('Données projet'!$B$16,Paramètres!$A$1:$I$89,5,0)</f>
        <v>-9.2222762759774927E-14</v>
      </c>
      <c r="FG68" s="14" t="e">
        <f t="shared" si="47"/>
        <v>#NUM!</v>
      </c>
      <c r="FH68" s="22" t="e">
        <f t="shared" ref="FH68:FH131" si="76">(FF68+FG68)*0.475*44/12</f>
        <v>#NUM!</v>
      </c>
      <c r="FI68" s="60" t="e">
        <f t="shared" ref="FI68:FI131" si="77">FH68+(EZ68+FA68)*44/12</f>
        <v>#NUM!</v>
      </c>
      <c r="FJ68" s="60">
        <f ca="1">AVERAGE(OFFSET($FI$3,0,0,'Données projet'!$E$16+1,1))-AVERAGE(OFFSET($H$3,0,0,'Données projet'!$E$16+1,1))</f>
        <v>256.19915261735281</v>
      </c>
      <c r="FK68" s="60">
        <f t="shared" si="48"/>
        <v>297.47246687305056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6.461538461538467</v>
      </c>
      <c r="FZ68" s="13">
        <f>IF('Données projet'!$A$244&gt;35,FZ67+FY68-GH67,IF(A68&lt;'Données projet'!$A$244,$FW$205^A68,IF(A68='Données projet'!$A$244,'Données projet'!$B$244,FZ67+FY68-GH67)))</f>
        <v>260.99230769230775</v>
      </c>
      <c r="GA68" s="18">
        <f>FZ68*VLOOKUP('Données projet'!$B$17,Paramètres!$A$1:$I$89,3,0)*VLOOKUP('Données projet'!$B$17,Paramètres!$A$1:$I$89,5,0)</f>
        <v>149.28760000000005</v>
      </c>
      <c r="GB68" s="14">
        <f t="shared" si="49"/>
        <v>38.416645335496554</v>
      </c>
      <c r="GC68" s="22">
        <f t="shared" ref="GC68:GC131" si="79">(GA68+GB68)*0.475*44/12</f>
        <v>326.91822729265658</v>
      </c>
      <c r="GD68" s="60">
        <f t="shared" ref="GD68:GD131" si="80">GC68+(FU68+FV68)*44/12</f>
        <v>620.2515606259899</v>
      </c>
      <c r="GE68" s="60">
        <f ca="1">AVERAGE(OFFSET($GD$3,0,0,'Données projet'!$E$17+1,1))-AVERAGE(OFFSET($H$3,0,0,'Données projet'!$E$17+1,1))</f>
        <v>268.71641789629319</v>
      </c>
      <c r="GF68" s="60">
        <f t="shared" si="50"/>
        <v>199.94048514486104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0.79567399085503132</v>
      </c>
      <c r="GN68" s="23">
        <f>EXP(-LN(2)/2)*GN67+(1-EXP(-LN(2)/2))/(LN(2)/2)*GH68*GK68*VLOOKUP('Données projet'!$B$17,Paramètres!$A$1:$I$89,3,0)*0.475*44/12</f>
        <v>3.7632565086644186E-5</v>
      </c>
      <c r="GO68" s="23">
        <f t="shared" ref="GO68:GO131" si="81">SUM(GL68:GN68)</f>
        <v>0.79571162342011792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9.1830769230769249</v>
      </c>
      <c r="GU68" s="13">
        <f>IF('Données projet'!$A$270&gt;35,GU67+GT68-HC67,IF(A68&lt;'Données projet'!$A$270,$GR$205^A68,IF(A68='Données projet'!$A$270,'Données projet'!$B$270,GU67+GT68-HC67)))</f>
        <v>334.07692307692298</v>
      </c>
      <c r="GV68" s="18">
        <f>GU68*VLOOKUP('Données projet'!$B$18,Paramètres!$A$1:$I$89,3,0)*VLOOKUP('Données projet'!$B$18,Paramètres!$A$1:$I$89,5,0)</f>
        <v>199.77799999999996</v>
      </c>
      <c r="GW68" s="14">
        <f t="shared" si="51"/>
        <v>49.695375691492842</v>
      </c>
      <c r="GX68" s="22">
        <f t="shared" ref="GX68:GX131" si="82">(GV68+GW68)*0.475*44/12</f>
        <v>434.4994626626833</v>
      </c>
      <c r="GY68" s="60">
        <f t="shared" ref="GY68:GY131" si="83">GX68+(GP68+GQ68)*44/12</f>
        <v>727.83279599601656</v>
      </c>
      <c r="GZ68" s="60">
        <f ca="1">AVERAGE(OFFSET($GY$3,0,0,'Données projet'!$E$18+1,1))-AVERAGE(OFFSET($H$3,0,0,'Données projet'!$E$18+1,1))</f>
        <v>289.12367833861299</v>
      </c>
      <c r="HA68" s="60">
        <f t="shared" si="52"/>
        <v>229.06617320689003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2.2371331818649607E-5</v>
      </c>
      <c r="HJ68" s="24">
        <f t="shared" ref="HJ68:HJ131" si="84">SUM(HG68:HI68)</f>
        <v>2.2371331818649607E-5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0">
        <f t="shared" si="55"/>
        <v>716.30000015441908</v>
      </c>
      <c r="S69" s="60">
        <f ca="1">AVERAGE(OFFSET($R$3,0,0,'Données projet'!$E$9+1,1))-AVERAGE(OFFSET($H$3,0,0,'Données projet'!$E$9+1,1))</f>
        <v>430.11660085503223</v>
      </c>
      <c r="T69" s="60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13.373076923076932</v>
      </c>
      <c r="AI69" s="14">
        <f>IF('Données projet'!$A$62&gt;35,AI68+AH69-AQ68,IF(A69&lt;'Données projet'!$A$62,$AF$205^A69,IF(A69='Données projet'!$A$62,'Données projet'!$B$62,AI68+AH69-AQ68)))</f>
        <v>416.1115384615386</v>
      </c>
      <c r="AJ69" s="14">
        <f>AI69*VLOOKUP('Données projet'!$B$10,Paramètres!$A$1:$I$89,3,0)*VLOOKUP('Données projet'!$B$10,Paramètres!$A$1:$I$89,5,0)</f>
        <v>232.60635000000008</v>
      </c>
      <c r="AK69" s="14">
        <f t="shared" ref="AK69:AK132" si="89">EXP(-1.0587+0.8836*LN(AJ69)+0.284)</f>
        <v>56.845865220702599</v>
      </c>
      <c r="AL69" s="22">
        <f t="shared" si="58"/>
        <v>504.12927484272382</v>
      </c>
      <c r="AM69" s="60">
        <f t="shared" si="59"/>
        <v>797.46260817605707</v>
      </c>
      <c r="AN69" s="60">
        <f ca="1">AVERAGE(OFFSET($AM$3,0,0,'Données projet'!$E$10+1,1))-AVERAGE(OFFSET($H$3,0,0,'Données projet'!$E$10+1,1))</f>
        <v>323.98185264074681</v>
      </c>
      <c r="AO69" s="60">
        <f t="shared" ref="AO69:AO132" si="90">$AO$3</f>
        <v>301.22207291854005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2.1874088141884802</v>
      </c>
      <c r="AV69" s="23">
        <f>EXP(-LN(2)/25)*AV68+(1-EXP(-LN(2)/25))/(LN(2)/25)*Calculateur!AQ69*Calculateur!AS69*VLOOKUP('Données projet'!$B$10,Paramètres!$A$1:$I$89,3,0)*0.475*44/12</f>
        <v>3.0396849966556903</v>
      </c>
      <c r="AW69" s="23">
        <f>EXP(-LN(2)/2)*AW68+(1-EXP(-LN(2)/2))/(LN(2)/2)*AQ69*AT69*VLOOKUP('Données projet'!$B$10,Paramètres!$A$1:$I$89,3,0)*0.475*44/12</f>
        <v>2.3223141401741107E-5</v>
      </c>
      <c r="AX69" s="23">
        <f t="shared" si="60"/>
        <v>5.2271170339855724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10</v>
      </c>
      <c r="BD69" s="13">
        <f>IF('Données projet'!$A$88&gt;35,BD68+BC69-BL68,IF(A69&lt;'Données projet'!$A$88,$BA$205^A69,IF(A69='Données projet'!$A$88,'Données projet'!$B$88,BD68+BC69-BL68)))</f>
        <v>275.99999999999994</v>
      </c>
      <c r="BE69" s="14">
        <f>BD69*VLOOKUP('Données projet'!$B$11,Paramètres!$A$1:$I$89,3,0)*VLOOKUP('Données projet'!$B$11,Paramètres!$A$1:$I$89,5,0)</f>
        <v>236.80799999999999</v>
      </c>
      <c r="BF69" s="14">
        <f t="shared" ref="BF69:BF132" si="91">EXP(-1.0587+0.8836*LN(BE69)+0.284)</f>
        <v>57.752221878398714</v>
      </c>
      <c r="BG69" s="22">
        <f t="shared" si="61"/>
        <v>513.02571977154435</v>
      </c>
      <c r="BH69" s="60">
        <f t="shared" si="62"/>
        <v>806.3590531048776</v>
      </c>
      <c r="BI69" s="60">
        <f ca="1">AVERAGE(OFFSET($BH$3,0,0,'Données projet'!$E$11+1,1))-AVERAGE(OFFSET($H$3,0,0,'Données projet'!$E$11+1,1))</f>
        <v>556.75475431848258</v>
      </c>
      <c r="BJ69" s="60">
        <f t="shared" ref="BJ69:BJ132" si="92">$BJ$3</f>
        <v>256.77417912163997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3.7599999999999909</v>
      </c>
      <c r="BY69" s="13">
        <f>IF('Données projet'!$A$114&gt;35,BY68+BX69-CG68,IF(A69&lt;'Données projet'!$A$114,$BV$205^A69,IF(A69='Données projet'!$A$114,'Données projet'!$B$114,BY68+BX69-CG68)))</f>
        <v>258.56000000000012</v>
      </c>
      <c r="BZ69" s="14">
        <f>BY69*VLOOKUP('Données projet'!$B$12,Paramètres!$A$1:$I$89,3,0)*VLOOKUP('Données projet'!$B$12,Paramètres!$A$1:$I$89,5,0)</f>
        <v>189.57619200000008</v>
      </c>
      <c r="CA69" s="14">
        <f t="shared" ref="CA69:CA132" si="93">EXP(-1.0587+0.8836*LN(BZ69)+0.284)</f>
        <v>47.446242745856559</v>
      </c>
      <c r="CB69" s="22">
        <f t="shared" si="64"/>
        <v>412.8140738490336</v>
      </c>
      <c r="CC69" s="60">
        <f t="shared" si="65"/>
        <v>706.14740718236692</v>
      </c>
      <c r="CD69" s="60">
        <f ca="1">AVERAGE(OFFSET($CC$3,0,0,'Données projet'!$E$12+1,1))-AVERAGE(OFFSET($H$3,0,0,'Données projet'!$E$12+1,1))</f>
        <v>290.68086183422963</v>
      </c>
      <c r="CE69" s="60">
        <f t="shared" ref="CE69:CE132" si="94">$CE$3</f>
        <v>317.88330630101785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4.4000000000000004</v>
      </c>
      <c r="CT69" s="13">
        <f>IF('Données projet'!$A$140&gt;35,CT68+CS69-DB68,IF(A69&lt;'Données projet'!$A$140,$CQ$205^A69,IF(A69='Données projet'!$A$140,'Données projet'!$B$140,CT68+CS69-DB68)))</f>
        <v>187.40000000000012</v>
      </c>
      <c r="CU69" s="18">
        <f>CT69*VLOOKUP('Données projet'!$B$13,Paramètres!$A$1:$I$89,3,0)*VLOOKUP('Données projet'!$B$13,Paramètres!$A$1:$I$89,5,0)</f>
        <v>122.78448000000007</v>
      </c>
      <c r="CV69" s="14">
        <f t="shared" ref="CV69:CV132" si="95">EXP(-1.0587+0.8836*LN(CU69)+0.284)</f>
        <v>32.323563966100259</v>
      </c>
      <c r="CW69" s="22">
        <f t="shared" si="67"/>
        <v>270.1465099076247</v>
      </c>
      <c r="CX69" s="60">
        <f t="shared" si="68"/>
        <v>563.47984324095796</v>
      </c>
      <c r="CY69" s="60">
        <f ca="1">AVERAGE(OFFSET($CX$3,0,0,'Données projet'!$E$13+1,1))-AVERAGE(OFFSET($H$3,0,0,'Données projet'!$E$13+1,1))</f>
        <v>243.04319555814601</v>
      </c>
      <c r="CZ69" s="60">
        <f t="shared" ref="CZ69:CZ132" si="96">$CZ$3</f>
        <v>235.68746142880792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0" t="e">
        <f t="shared" si="71"/>
        <v>#NUM!</v>
      </c>
      <c r="DT69" s="60">
        <f ca="1">AVERAGE(OFFSET($DS$3,0,0,'Données projet'!$E$14+1,1))-AVERAGE(OFFSET($H$3,0,0,'Données projet'!$E$14+1,1))</f>
        <v>201.4732637505823</v>
      </c>
      <c r="DU69" s="60">
        <f t="shared" ref="DU69:DU132" si="98">$DU$3</f>
        <v>342.06887933351783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3.2380606933055112</v>
      </c>
      <c r="EB69" s="23">
        <f>EXP(-LN(2)/25)*EB68+(1-EXP(-LN(2)/25))/(LN(2)/25)*Calculateur!DW69*Calculateur!DY69*VLOOKUP('Données projet'!$B$14,Paramètres!$A$1:$I$89,3,0)*0.475*44/12</f>
        <v>9.7456381991358505</v>
      </c>
      <c r="EC69" s="23">
        <f>EXP(-LN(2)/2)*EC68+(1-EXP(-LN(2)/2))/(LN(2)/2)*DW69*DZ69*VLOOKUP('Données projet'!$B$14,Paramètres!$A$1:$I$89,3,0)*0.475*44/12</f>
        <v>5.1106098346679631E-5</v>
      </c>
      <c r="ED69" s="24">
        <f t="shared" si="72"/>
        <v>12.983749998539709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-3.4106051316484809E-13</v>
      </c>
      <c r="EK69" s="18">
        <f>EJ69*VLOOKUP('Données projet'!$B$15,Paramètres!$A$1:$I$89,3,0)*VLOOKUP('Données projet'!$B$15,Paramètres!$A$1:$I$89,5,0)</f>
        <v>-2.0395418687257919E-13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0" t="e">
        <f t="shared" si="74"/>
        <v>#NUM!</v>
      </c>
      <c r="EO69" s="60">
        <f ca="1">AVERAGE(OFFSET($EN$3,0,0,'Données projet'!$E$15+1,1))-AVERAGE(OFFSET($H$3,0,0,'Données projet'!$E$15+1,1))</f>
        <v>260.01925143568263</v>
      </c>
      <c r="EP69" s="60">
        <f t="shared" ref="EP69:EP132" si="100">$EP$3</f>
        <v>269.95358755269427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6.9663808043561097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6.9663808043561097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-1.1368683772161603E-13</v>
      </c>
      <c r="FF69" s="18">
        <f>FE69*VLOOKUP('Données projet'!$B$16,Paramètres!$A$1:$I$89,3,0)*VLOOKUP('Données projet'!$B$16,Paramètres!$A$1:$I$89,5,0)</f>
        <v>-9.2222762759774927E-14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0" t="e">
        <f t="shared" si="77"/>
        <v>#NUM!</v>
      </c>
      <c r="FJ69" s="60">
        <f ca="1">AVERAGE(OFFSET($FI$3,0,0,'Données projet'!$E$16+1,1))-AVERAGE(OFFSET($H$3,0,0,'Données projet'!$E$16+1,1))</f>
        <v>256.19915261735281</v>
      </c>
      <c r="FK69" s="60">
        <f t="shared" ref="FK69:FK132" si="102">$FK$3</f>
        <v>297.47246687305056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6.461538461538467</v>
      </c>
      <c r="FZ69" s="13">
        <f>IF('Données projet'!$A$244&gt;35,FZ68+FY69-GH68,IF(A69&lt;'Données projet'!$A$244,$FW$205^A69,IF(A69='Données projet'!$A$244,'Données projet'!$B$244,FZ68+FY69-GH68)))</f>
        <v>267.4538461538462</v>
      </c>
      <c r="GA69" s="18">
        <f>FZ69*VLOOKUP('Données projet'!$B$17,Paramètres!$A$1:$I$89,3,0)*VLOOKUP('Données projet'!$B$17,Paramètres!$A$1:$I$89,5,0)</f>
        <v>152.98360000000005</v>
      </c>
      <c r="GB69" s="14">
        <f t="shared" ref="GB69:GB132" si="103">EXP(-1.0587+0.8836*LN(GA69)+0.284)</f>
        <v>39.255840259752823</v>
      </c>
      <c r="GC69" s="22">
        <f t="shared" si="79"/>
        <v>334.81702511906957</v>
      </c>
      <c r="GD69" s="60">
        <f t="shared" si="80"/>
        <v>628.15035845240288</v>
      </c>
      <c r="GE69" s="60">
        <f ca="1">AVERAGE(OFFSET($GD$3,0,0,'Données projet'!$E$17+1,1))-AVERAGE(OFFSET($H$3,0,0,'Données projet'!$E$17+1,1))</f>
        <v>268.71641789629319</v>
      </c>
      <c r="GF69" s="60">
        <f t="shared" ref="GF69:GF132" si="104">$GF$3</f>
        <v>199.94048514486104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0.77391624373242385</v>
      </c>
      <c r="GN69" s="23">
        <f>EXP(-LN(2)/2)*GN68+(1-EXP(-LN(2)/2))/(LN(2)/2)*GH69*GK69*VLOOKUP('Données projet'!$B$17,Paramètres!$A$1:$I$89,3,0)*0.475*44/12</f>
        <v>2.6610241966210219E-5</v>
      </c>
      <c r="GO69" s="23">
        <f t="shared" si="81"/>
        <v>0.77394285397439011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9.1830769230769249</v>
      </c>
      <c r="GU69" s="13">
        <f>IF('Données projet'!$A$270&gt;35,GU68+GT69-HC68,IF(A69&lt;'Données projet'!$A$270,$GR$205^A69,IF(A69='Données projet'!$A$270,'Données projet'!$B$270,GU68+GT69-HC68)))</f>
        <v>343.25999999999988</v>
      </c>
      <c r="GV69" s="18">
        <f>GU69*VLOOKUP('Données projet'!$B$18,Paramètres!$A$1:$I$89,3,0)*VLOOKUP('Données projet'!$B$18,Paramètres!$A$1:$I$89,5,0)</f>
        <v>205.26947999999996</v>
      </c>
      <c r="GW69" s="14">
        <f t="shared" ref="GW69:GW132" si="105">EXP(-1.0587+0.8836*LN(GV69)+0.284)</f>
        <v>50.900481301079942</v>
      </c>
      <c r="GX69" s="22">
        <f t="shared" si="82"/>
        <v>446.16268259938084</v>
      </c>
      <c r="GY69" s="60">
        <f t="shared" si="83"/>
        <v>739.49601593271416</v>
      </c>
      <c r="GZ69" s="60">
        <f ca="1">AVERAGE(OFFSET($GY$3,0,0,'Données projet'!$E$18+1,1))-AVERAGE(OFFSET($H$3,0,0,'Données projet'!$E$18+1,1))</f>
        <v>289.12367833861299</v>
      </c>
      <c r="HA69" s="60">
        <f t="shared" ref="HA69:HA132" si="106">$HA$3</f>
        <v>229.06617320689003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1.5818920433141516E-5</v>
      </c>
      <c r="HJ69" s="24">
        <f t="shared" si="84"/>
        <v>1.5818920433141516E-5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0">
        <f t="shared" si="55"/>
        <v>729.37443127719189</v>
      </c>
      <c r="S70" s="60">
        <f ca="1">AVERAGE(OFFSET($R$3,0,0,'Données projet'!$E$9+1,1))-AVERAGE(OFFSET($H$3,0,0,'Données projet'!$E$9+1,1))</f>
        <v>430.11660085503223</v>
      </c>
      <c r="T70" s="60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13.373076923076932</v>
      </c>
      <c r="AI70" s="14">
        <f>IF('Données projet'!$A$62&gt;35,AI69+AH70-AQ69,IF(A70&lt;'Données projet'!$A$62,$AF$205^A70,IF(A70='Données projet'!$A$62,'Données projet'!$B$62,AI69+AH70-AQ69)))</f>
        <v>429.48461538461555</v>
      </c>
      <c r="AJ70" s="14">
        <f>AI70*VLOOKUP('Données projet'!$B$10,Paramètres!$A$1:$I$89,3,0)*VLOOKUP('Données projet'!$B$10,Paramètres!$A$1:$I$89,5,0)</f>
        <v>240.0819000000001</v>
      </c>
      <c r="AK70" s="14">
        <f t="shared" si="89"/>
        <v>58.457151316256045</v>
      </c>
      <c r="AL70" s="22">
        <f t="shared" si="58"/>
        <v>519.95551437581287</v>
      </c>
      <c r="AM70" s="60">
        <f t="shared" si="59"/>
        <v>813.28884770914624</v>
      </c>
      <c r="AN70" s="60">
        <f ca="1">AVERAGE(OFFSET($AM$3,0,0,'Données projet'!$E$10+1,1))-AVERAGE(OFFSET($H$3,0,0,'Données projet'!$E$10+1,1))</f>
        <v>323.98185264074681</v>
      </c>
      <c r="AO70" s="60">
        <f t="shared" si="90"/>
        <v>301.22207291854005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2.1445150615298805</v>
      </c>
      <c r="AV70" s="23">
        <f>EXP(-LN(2)/25)*AV69+(1-EXP(-LN(2)/25))/(LN(2)/25)*Calculateur!AQ70*Calculateur!AS70*VLOOKUP('Données projet'!$B$10,Paramètres!$A$1:$I$89,3,0)*0.475*44/12</f>
        <v>2.9565646505720538</v>
      </c>
      <c r="AW70" s="23">
        <f>EXP(-LN(2)/2)*AW69+(1-EXP(-LN(2)/2))/(LN(2)/2)*AQ70*AT70*VLOOKUP('Données projet'!$B$10,Paramètres!$A$1:$I$89,3,0)*0.475*44/12</f>
        <v>1.6421240765625201E-5</v>
      </c>
      <c r="AX70" s="23">
        <f t="shared" si="60"/>
        <v>5.1010961333426996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10</v>
      </c>
      <c r="BD70" s="13">
        <f>IF('Données projet'!$A$88&gt;35,BD69+BC70-BL69,IF(A70&lt;'Données projet'!$A$88,$BA$205^A70,IF(A70='Données projet'!$A$88,'Données projet'!$B$88,BD69+BC70-BL69)))</f>
        <v>285.99999999999994</v>
      </c>
      <c r="BE70" s="14">
        <f>BD70*VLOOKUP('Données projet'!$B$11,Paramètres!$A$1:$I$89,3,0)*VLOOKUP('Données projet'!$B$11,Paramètres!$A$1:$I$89,5,0)</f>
        <v>245.38799999999998</v>
      </c>
      <c r="BF70" s="14">
        <f t="shared" si="91"/>
        <v>59.597282764919569</v>
      </c>
      <c r="BG70" s="22">
        <f t="shared" si="61"/>
        <v>531.18270081556818</v>
      </c>
      <c r="BH70" s="60">
        <f t="shared" si="62"/>
        <v>824.51603414890155</v>
      </c>
      <c r="BI70" s="60">
        <f ca="1">AVERAGE(OFFSET($BH$3,0,0,'Données projet'!$E$11+1,1))-AVERAGE(OFFSET($H$3,0,0,'Données projet'!$E$11+1,1))</f>
        <v>556.75475431848258</v>
      </c>
      <c r="BJ70" s="60">
        <f t="shared" si="92"/>
        <v>256.77417912163997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3.7599999999999909</v>
      </c>
      <c r="BY70" s="13">
        <f>IF('Données projet'!$A$114&gt;35,BY69+BX70-CG69,IF(A70&lt;'Données projet'!$A$114,$BV$205^A70,IF(A70='Données projet'!$A$114,'Données projet'!$B$114,BY69+BX70-CG69)))</f>
        <v>262.32000000000011</v>
      </c>
      <c r="BZ70" s="14">
        <f>BY70*VLOOKUP('Données projet'!$B$12,Paramètres!$A$1:$I$89,3,0)*VLOOKUP('Données projet'!$B$12,Paramètres!$A$1:$I$89,5,0)</f>
        <v>192.33302400000008</v>
      </c>
      <c r="CA70" s="14">
        <f t="shared" si="93"/>
        <v>48.055384395041912</v>
      </c>
      <c r="CB70" s="22">
        <f t="shared" si="64"/>
        <v>418.6764779546981</v>
      </c>
      <c r="CC70" s="60">
        <f t="shared" si="65"/>
        <v>712.00981128803141</v>
      </c>
      <c r="CD70" s="60">
        <f ca="1">AVERAGE(OFFSET($CC$3,0,0,'Données projet'!$E$12+1,1))-AVERAGE(OFFSET($H$3,0,0,'Données projet'!$E$12+1,1))</f>
        <v>290.68086183422963</v>
      </c>
      <c r="CE70" s="60">
        <f t="shared" si="94"/>
        <v>317.88330630101785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4.4000000000000004</v>
      </c>
      <c r="CT70" s="13">
        <f>IF('Données projet'!$A$140&gt;35,CT69+CS70-DB69,IF(A70&lt;'Données projet'!$A$140,$CQ$205^A70,IF(A70='Données projet'!$A$140,'Données projet'!$B$140,CT69+CS70-DB69)))</f>
        <v>191.80000000000013</v>
      </c>
      <c r="CU70" s="18">
        <f>CT70*VLOOKUP('Données projet'!$B$13,Paramètres!$A$1:$I$89,3,0)*VLOOKUP('Données projet'!$B$13,Paramètres!$A$1:$I$89,5,0)</f>
        <v>125.66736000000009</v>
      </c>
      <c r="CV70" s="14">
        <f t="shared" si="95"/>
        <v>32.993247007291167</v>
      </c>
      <c r="CW70" s="22">
        <f t="shared" si="67"/>
        <v>276.33389053769889</v>
      </c>
      <c r="CX70" s="60">
        <f t="shared" si="68"/>
        <v>569.66722387103221</v>
      </c>
      <c r="CY70" s="60">
        <f ca="1">AVERAGE(OFFSET($CX$3,0,0,'Données projet'!$E$13+1,1))-AVERAGE(OFFSET($H$3,0,0,'Données projet'!$E$13+1,1))</f>
        <v>243.04319555814601</v>
      </c>
      <c r="CZ70" s="60">
        <f t="shared" si="96"/>
        <v>235.68746142880792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0" t="e">
        <f t="shared" si="71"/>
        <v>#NUM!</v>
      </c>
      <c r="DT70" s="60">
        <f ca="1">AVERAGE(OFFSET($DS$3,0,0,'Données projet'!$E$14+1,1))-AVERAGE(OFFSET($H$3,0,0,'Données projet'!$E$14+1,1))</f>
        <v>201.4732637505823</v>
      </c>
      <c r="DU70" s="60">
        <f t="shared" si="98"/>
        <v>342.06887933351783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3.1745642981317959</v>
      </c>
      <c r="EB70" s="23">
        <f>EXP(-LN(2)/25)*EB69+(1-EXP(-LN(2)/25))/(LN(2)/25)*Calculateur!DW70*Calculateur!DY70*VLOOKUP('Données projet'!$B$14,Paramètres!$A$1:$I$89,3,0)*0.475*44/12</f>
        <v>9.4791432100796413</v>
      </c>
      <c r="EC70" s="23">
        <f>EXP(-LN(2)/2)*EC69+(1-EXP(-LN(2)/2))/(LN(2)/2)*DW70*DZ70*VLOOKUP('Données projet'!$B$14,Paramètres!$A$1:$I$89,3,0)*0.475*44/12</f>
        <v>3.6137468700923772E-5</v>
      </c>
      <c r="ED70" s="24">
        <f t="shared" si="72"/>
        <v>12.653743645680137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-3.4106051316484809E-13</v>
      </c>
      <c r="EK70" s="18">
        <f>EJ70*VLOOKUP('Données projet'!$B$15,Paramètres!$A$1:$I$89,3,0)*VLOOKUP('Données projet'!$B$15,Paramètres!$A$1:$I$89,5,0)</f>
        <v>-2.0395418687257919E-13</v>
      </c>
      <c r="EL70" s="14" t="e">
        <f t="shared" si="99"/>
        <v>#NUM!</v>
      </c>
      <c r="EM70" s="22" t="e">
        <f t="shared" si="73"/>
        <v>#NUM!</v>
      </c>
      <c r="EN70" s="60" t="e">
        <f t="shared" si="74"/>
        <v>#NUM!</v>
      </c>
      <c r="EO70" s="60">
        <f ca="1">AVERAGE(OFFSET($EN$3,0,0,'Données projet'!$E$15+1,1))-AVERAGE(OFFSET($H$3,0,0,'Données projet'!$E$15+1,1))</f>
        <v>260.01925143568263</v>
      </c>
      <c r="EP70" s="60">
        <f t="shared" si="100"/>
        <v>269.95358755269427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6.829774325855416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6.829774325855416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-1.1368683772161603E-13</v>
      </c>
      <c r="FF70" s="18">
        <f>FE70*VLOOKUP('Données projet'!$B$16,Paramètres!$A$1:$I$89,3,0)*VLOOKUP('Données projet'!$B$16,Paramètres!$A$1:$I$89,5,0)</f>
        <v>-9.2222762759774927E-14</v>
      </c>
      <c r="FG70" s="14" t="e">
        <f t="shared" si="101"/>
        <v>#NUM!</v>
      </c>
      <c r="FH70" s="22" t="e">
        <f t="shared" si="76"/>
        <v>#NUM!</v>
      </c>
      <c r="FI70" s="60" t="e">
        <f t="shared" si="77"/>
        <v>#NUM!</v>
      </c>
      <c r="FJ70" s="60">
        <f ca="1">AVERAGE(OFFSET($FI$3,0,0,'Données projet'!$E$16+1,1))-AVERAGE(OFFSET($H$3,0,0,'Données projet'!$E$16+1,1))</f>
        <v>256.19915261735281</v>
      </c>
      <c r="FK70" s="60">
        <f t="shared" si="102"/>
        <v>297.47246687305056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6.461538461538467</v>
      </c>
      <c r="FZ70" s="13">
        <f>IF('Données projet'!$A$244&gt;35,FZ69+FY70-GH69,IF(A70&lt;'Données projet'!$A$244,$FW$205^A70,IF(A70='Données projet'!$A$244,'Données projet'!$B$244,FZ69+FY70-GH69)))</f>
        <v>273.91538461538465</v>
      </c>
      <c r="GA70" s="18">
        <f>FZ70*VLOOKUP('Données projet'!$B$17,Paramètres!$A$1:$I$89,3,0)*VLOOKUP('Données projet'!$B$17,Paramètres!$A$1:$I$89,5,0)</f>
        <v>156.67960000000002</v>
      </c>
      <c r="GB70" s="14">
        <f t="shared" si="103"/>
        <v>40.092678306252054</v>
      </c>
      <c r="GC70" s="22">
        <f t="shared" si="79"/>
        <v>342.71171805005571</v>
      </c>
      <c r="GD70" s="60">
        <f t="shared" si="80"/>
        <v>636.04505138338902</v>
      </c>
      <c r="GE70" s="60">
        <f ca="1">AVERAGE(OFFSET($GD$3,0,0,'Données projet'!$E$17+1,1))-AVERAGE(OFFSET($H$3,0,0,'Données projet'!$E$17+1,1))</f>
        <v>268.71641789629319</v>
      </c>
      <c r="GF70" s="60">
        <f t="shared" si="104"/>
        <v>199.94048514486104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0.75275346334907423</v>
      </c>
      <c r="GN70" s="23">
        <f>EXP(-LN(2)/2)*GN69+(1-EXP(-LN(2)/2))/(LN(2)/2)*GH70*GK70*VLOOKUP('Données projet'!$B$17,Paramètres!$A$1:$I$89,3,0)*0.475*44/12</f>
        <v>1.8816282543322093E-5</v>
      </c>
      <c r="GO70" s="23">
        <f t="shared" si="81"/>
        <v>0.75277227963161752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9.1830769230769249</v>
      </c>
      <c r="GU70" s="13">
        <f>IF('Données projet'!$A$270&gt;35,GU69+GT70-HC69,IF(A70&lt;'Données projet'!$A$270,$GR$205^A70,IF(A70='Données projet'!$A$270,'Données projet'!$B$270,GU69+GT70-HC69)))</f>
        <v>352.44307692307677</v>
      </c>
      <c r="GV70" s="18">
        <f>GU70*VLOOKUP('Données projet'!$B$18,Paramètres!$A$1:$I$89,3,0)*VLOOKUP('Données projet'!$B$18,Paramètres!$A$1:$I$89,5,0)</f>
        <v>210.76095999999993</v>
      </c>
      <c r="GW70" s="14">
        <f t="shared" si="105"/>
        <v>52.101839581538208</v>
      </c>
      <c r="GX70" s="22">
        <f t="shared" si="82"/>
        <v>457.81937593784551</v>
      </c>
      <c r="GY70" s="60">
        <f t="shared" si="83"/>
        <v>751.15270927117876</v>
      </c>
      <c r="GZ70" s="60">
        <f ca="1">AVERAGE(OFFSET($GY$3,0,0,'Données projet'!$E$18+1,1))-AVERAGE(OFFSET($H$3,0,0,'Données projet'!$E$18+1,1))</f>
        <v>289.12367833861299</v>
      </c>
      <c r="HA70" s="60">
        <f t="shared" si="106"/>
        <v>229.06617320689003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1.1185665909324803E-5</v>
      </c>
      <c r="HJ70" s="24">
        <f t="shared" si="84"/>
        <v>1.1185665909324803E-5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0">
        <f t="shared" si="55"/>
        <v>742.44045154863397</v>
      </c>
      <c r="S71" s="60">
        <f ca="1">AVERAGE(OFFSET($R$3,0,0,'Données projet'!$E$9+1,1))-AVERAGE(OFFSET($H$3,0,0,'Données projet'!$E$9+1,1))</f>
        <v>430.11660085503223</v>
      </c>
      <c r="T71" s="60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13.373076923076932</v>
      </c>
      <c r="AI71" s="14">
        <f>IF('Données projet'!$A$62&gt;35,AI70+AH71-AQ70,IF(A71&lt;'Données projet'!$A$62,$AF$205^A71,IF(A71='Données projet'!$A$62,'Données projet'!$B$62,AI70+AH71-AQ70)))</f>
        <v>442.8576923076925</v>
      </c>
      <c r="AJ71" s="14">
        <f>AI71*VLOOKUP('Données projet'!$B$10,Paramètres!$A$1:$I$89,3,0)*VLOOKUP('Données projet'!$B$10,Paramètres!$A$1:$I$89,5,0)</f>
        <v>247.5574500000001</v>
      </c>
      <c r="AK71" s="14">
        <f t="shared" si="89"/>
        <v>60.062607033562486</v>
      </c>
      <c r="AL71" s="22">
        <f t="shared" si="58"/>
        <v>535.7715993334549</v>
      </c>
      <c r="AM71" s="60">
        <f t="shared" si="59"/>
        <v>829.10493266678827</v>
      </c>
      <c r="AN71" s="60">
        <f ca="1">AVERAGE(OFFSET($AM$3,0,0,'Données projet'!$E$10+1,1))-AVERAGE(OFFSET($H$3,0,0,'Données projet'!$E$10+1,1))</f>
        <v>323.98185264074681</v>
      </c>
      <c r="AO71" s="60">
        <f t="shared" si="90"/>
        <v>301.22207291854005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2.1024624291983103</v>
      </c>
      <c r="AV71" s="23">
        <f>EXP(-LN(2)/25)*AV70+(1-EXP(-LN(2)/25))/(LN(2)/25)*Calculateur!AQ71*Calculateur!AS71*VLOOKUP('Données projet'!$B$10,Paramètres!$A$1:$I$89,3,0)*0.475*44/12</f>
        <v>2.8757172347231834</v>
      </c>
      <c r="AW71" s="23">
        <f>EXP(-LN(2)/2)*AW70+(1-EXP(-LN(2)/2))/(LN(2)/2)*AQ71*AT71*VLOOKUP('Données projet'!$B$10,Paramètres!$A$1:$I$89,3,0)*0.475*44/12</f>
        <v>1.1611570700870553E-5</v>
      </c>
      <c r="AX71" s="23">
        <f t="shared" si="60"/>
        <v>4.9781912754921942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10</v>
      </c>
      <c r="BD71" s="13">
        <f>IF('Données projet'!$A$88&gt;35,BD70+BC71-BL70,IF(A71&lt;'Données projet'!$A$88,$BA$205^A71,IF(A71='Données projet'!$A$88,'Données projet'!$B$88,BD70+BC71-BL70)))</f>
        <v>295.99999999999994</v>
      </c>
      <c r="BE71" s="14">
        <f>BD71*VLOOKUP('Données projet'!$B$11,Paramètres!$A$1:$I$89,3,0)*VLOOKUP('Données projet'!$B$11,Paramètres!$A$1:$I$89,5,0)</f>
        <v>253.96799999999999</v>
      </c>
      <c r="BF71" s="14">
        <f t="shared" si="91"/>
        <v>61.434848029666512</v>
      </c>
      <c r="BG71" s="22">
        <f t="shared" si="61"/>
        <v>549.32662698500246</v>
      </c>
      <c r="BH71" s="60">
        <f t="shared" si="62"/>
        <v>842.65996031833583</v>
      </c>
      <c r="BI71" s="60">
        <f ca="1">AVERAGE(OFFSET($BH$3,0,0,'Données projet'!$E$11+1,1))-AVERAGE(OFFSET($H$3,0,0,'Données projet'!$E$11+1,1))</f>
        <v>556.75475431848258</v>
      </c>
      <c r="BJ71" s="60">
        <f t="shared" si="92"/>
        <v>256.77417912163997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3.7599999999999909</v>
      </c>
      <c r="BY71" s="13">
        <f>IF('Données projet'!$A$114&gt;35,BY70+BX71-CG70,IF(A71&lt;'Données projet'!$A$114,$BV$205^A71,IF(A71='Données projet'!$A$114,'Données projet'!$B$114,BY70+BX71-CG70)))</f>
        <v>266.0800000000001</v>
      </c>
      <c r="BZ71" s="14">
        <f>BY71*VLOOKUP('Données projet'!$B$12,Paramètres!$A$1:$I$89,3,0)*VLOOKUP('Données projet'!$B$12,Paramètres!$A$1:$I$89,5,0)</f>
        <v>195.08985600000005</v>
      </c>
      <c r="CA71" s="14">
        <f t="shared" si="93"/>
        <v>48.663510541263612</v>
      </c>
      <c r="CB71" s="22">
        <f t="shared" si="64"/>
        <v>424.53711339270086</v>
      </c>
      <c r="CC71" s="60">
        <f t="shared" si="65"/>
        <v>717.87044672603417</v>
      </c>
      <c r="CD71" s="60">
        <f ca="1">AVERAGE(OFFSET($CC$3,0,0,'Données projet'!$E$12+1,1))-AVERAGE(OFFSET($H$3,0,0,'Données projet'!$E$12+1,1))</f>
        <v>290.68086183422963</v>
      </c>
      <c r="CE71" s="60">
        <f t="shared" si="94"/>
        <v>317.88330630101785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4.4000000000000004</v>
      </c>
      <c r="CT71" s="13">
        <f>IF('Données projet'!$A$140&gt;35,CT70+CS71-DB70,IF(A71&lt;'Données projet'!$A$140,$CQ$205^A71,IF(A71='Données projet'!$A$140,'Données projet'!$B$140,CT70+CS71-DB70)))</f>
        <v>196.20000000000013</v>
      </c>
      <c r="CU71" s="18">
        <f>CT71*VLOOKUP('Données projet'!$B$13,Paramètres!$A$1:$I$89,3,0)*VLOOKUP('Données projet'!$B$13,Paramètres!$A$1:$I$89,5,0)</f>
        <v>128.55024000000009</v>
      </c>
      <c r="CV71" s="14">
        <f t="shared" si="95"/>
        <v>33.661144026076698</v>
      </c>
      <c r="CW71" s="22">
        <f t="shared" si="67"/>
        <v>282.51816051208368</v>
      </c>
      <c r="CX71" s="60">
        <f t="shared" si="68"/>
        <v>575.85149384541705</v>
      </c>
      <c r="CY71" s="60">
        <f ca="1">AVERAGE(OFFSET($CX$3,0,0,'Données projet'!$E$13+1,1))-AVERAGE(OFFSET($H$3,0,0,'Données projet'!$E$13+1,1))</f>
        <v>243.04319555814601</v>
      </c>
      <c r="CZ71" s="60">
        <f t="shared" si="96"/>
        <v>235.68746142880792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0" t="e">
        <f t="shared" si="71"/>
        <v>#NUM!</v>
      </c>
      <c r="DT71" s="60">
        <f ca="1">AVERAGE(OFFSET($DS$3,0,0,'Données projet'!$E$14+1,1))-AVERAGE(OFFSET($H$3,0,0,'Données projet'!$E$14+1,1))</f>
        <v>201.4732637505823</v>
      </c>
      <c r="DU71" s="60">
        <f t="shared" si="98"/>
        <v>342.06887933351783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3.1123130285384599</v>
      </c>
      <c r="EB71" s="23">
        <f>EXP(-LN(2)/25)*EB70+(1-EXP(-LN(2)/25))/(LN(2)/25)*Calculateur!DW71*Calculateur!DY71*VLOOKUP('Données projet'!$B$14,Paramètres!$A$1:$I$89,3,0)*0.475*44/12</f>
        <v>9.2199355405135375</v>
      </c>
      <c r="EC71" s="23">
        <f>EXP(-LN(2)/2)*EC70+(1-EXP(-LN(2)/2))/(LN(2)/2)*DW71*DZ71*VLOOKUP('Données projet'!$B$14,Paramètres!$A$1:$I$89,3,0)*0.475*44/12</f>
        <v>2.5553049173339816E-5</v>
      </c>
      <c r="ED71" s="24">
        <f t="shared" si="72"/>
        <v>12.332274122101172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-3.4106051316484809E-13</v>
      </c>
      <c r="EK71" s="18">
        <f>EJ71*VLOOKUP('Données projet'!$B$15,Paramètres!$A$1:$I$89,3,0)*VLOOKUP('Données projet'!$B$15,Paramètres!$A$1:$I$89,5,0)</f>
        <v>-2.0395418687257919E-13</v>
      </c>
      <c r="EL71" s="14" t="e">
        <f t="shared" si="99"/>
        <v>#NUM!</v>
      </c>
      <c r="EM71" s="22" t="e">
        <f t="shared" si="73"/>
        <v>#NUM!</v>
      </c>
      <c r="EN71" s="60" t="e">
        <f t="shared" si="74"/>
        <v>#NUM!</v>
      </c>
      <c r="EO71" s="60">
        <f ca="1">AVERAGE(OFFSET($EN$3,0,0,'Données projet'!$E$15+1,1))-AVERAGE(OFFSET($H$3,0,0,'Données projet'!$E$15+1,1))</f>
        <v>260.01925143568263</v>
      </c>
      <c r="EP71" s="60">
        <f t="shared" si="100"/>
        <v>269.95358755269427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6.6958466170763966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6.6958466170763966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-1.1368683772161603E-13</v>
      </c>
      <c r="FF71" s="18">
        <f>FE71*VLOOKUP('Données projet'!$B$16,Paramètres!$A$1:$I$89,3,0)*VLOOKUP('Données projet'!$B$16,Paramètres!$A$1:$I$89,5,0)</f>
        <v>-9.2222762759774927E-14</v>
      </c>
      <c r="FG71" s="14" t="e">
        <f t="shared" si="101"/>
        <v>#NUM!</v>
      </c>
      <c r="FH71" s="22" t="e">
        <f t="shared" si="76"/>
        <v>#NUM!</v>
      </c>
      <c r="FI71" s="60" t="e">
        <f t="shared" si="77"/>
        <v>#NUM!</v>
      </c>
      <c r="FJ71" s="60">
        <f ca="1">AVERAGE(OFFSET($FI$3,0,0,'Données projet'!$E$16+1,1))-AVERAGE(OFFSET($H$3,0,0,'Données projet'!$E$16+1,1))</f>
        <v>256.19915261735281</v>
      </c>
      <c r="FK71" s="60">
        <f t="shared" si="102"/>
        <v>297.47246687305056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6.461538461538467</v>
      </c>
      <c r="FZ71" s="13">
        <f>IF('Données projet'!$A$244&gt;35,FZ70+FY71-GH70,IF(A71&lt;'Données projet'!$A$244,$FW$205^A71,IF(A71='Données projet'!$A$244,'Données projet'!$B$244,FZ70+FY71-GH70)))</f>
        <v>280.37692307692311</v>
      </c>
      <c r="GA71" s="18">
        <f>FZ71*VLOOKUP('Données projet'!$B$17,Paramètres!$A$1:$I$89,3,0)*VLOOKUP('Données projet'!$B$17,Paramètres!$A$1:$I$89,5,0)</f>
        <v>160.37560000000002</v>
      </c>
      <c r="GB71" s="14">
        <f t="shared" si="103"/>
        <v>40.927221470715843</v>
      </c>
      <c r="GC71" s="22">
        <f t="shared" si="79"/>
        <v>350.60241406149675</v>
      </c>
      <c r="GD71" s="60">
        <f t="shared" si="80"/>
        <v>643.93574739483006</v>
      </c>
      <c r="GE71" s="60">
        <f ca="1">AVERAGE(OFFSET($GD$3,0,0,'Données projet'!$E$17+1,1))-AVERAGE(OFFSET($H$3,0,0,'Données projet'!$E$17+1,1))</f>
        <v>268.71641789629319</v>
      </c>
      <c r="GF71" s="60">
        <f t="shared" si="104"/>
        <v>199.94048514486104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0.73216938030820955</v>
      </c>
      <c r="GN71" s="23">
        <f>EXP(-LN(2)/2)*GN70+(1-EXP(-LN(2)/2))/(LN(2)/2)*GH71*GK71*VLOOKUP('Données projet'!$B$17,Paramètres!$A$1:$I$89,3,0)*0.475*44/12</f>
        <v>1.3305120983105109E-5</v>
      </c>
      <c r="GO71" s="23">
        <f t="shared" si="81"/>
        <v>0.73218268542919263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9.1830769230769249</v>
      </c>
      <c r="GU71" s="13">
        <f>IF('Données projet'!$A$270&gt;35,GU70+GT71-HC70,IF(A71&lt;'Données projet'!$A$270,$GR$205^A71,IF(A71='Données projet'!$A$270,'Données projet'!$B$270,GU70+GT71-HC70)))</f>
        <v>361.62615384615367</v>
      </c>
      <c r="GV71" s="18">
        <f>GU71*VLOOKUP('Données projet'!$B$18,Paramètres!$A$1:$I$89,3,0)*VLOOKUP('Données projet'!$B$18,Paramètres!$A$1:$I$89,5,0)</f>
        <v>216.25243999999989</v>
      </c>
      <c r="GW71" s="14">
        <f t="shared" si="105"/>
        <v>53.299559396285737</v>
      </c>
      <c r="GX71" s="22">
        <f t="shared" si="82"/>
        <v>469.46973228186403</v>
      </c>
      <c r="GY71" s="60">
        <f t="shared" si="83"/>
        <v>762.80306561519728</v>
      </c>
      <c r="GZ71" s="60">
        <f ca="1">AVERAGE(OFFSET($GY$3,0,0,'Données projet'!$E$18+1,1))-AVERAGE(OFFSET($H$3,0,0,'Données projet'!$E$18+1,1))</f>
        <v>289.12367833861299</v>
      </c>
      <c r="HA71" s="60">
        <f t="shared" si="106"/>
        <v>229.06617320689003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7.9094602165707578E-6</v>
      </c>
      <c r="HJ71" s="24">
        <f t="shared" si="84"/>
        <v>7.9094602165707578E-6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0">
        <f t="shared" si="55"/>
        <v>755.49834012695419</v>
      </c>
      <c r="S72" s="60">
        <f ca="1">AVERAGE(OFFSET($R$3,0,0,'Données projet'!$E$9+1,1))-AVERAGE(OFFSET($H$3,0,0,'Données projet'!$E$9+1,1))</f>
        <v>430.11660085503223</v>
      </c>
      <c r="T72" s="60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456.23076923076923</v>
      </c>
      <c r="AG72" s="13">
        <f>VLOOKUP(A72,'Données projet'!$A$61:$I$81,9,0)</f>
        <v>13.373076923076932</v>
      </c>
      <c r="AH72" s="13">
        <f t="array" ref="AH72">INDEX(AG:AG,MIN(IF(ISNUMBER(AG72:AG268),ROW(AG72:AG268),"")))</f>
        <v>13.373076923076932</v>
      </c>
      <c r="AI72" s="14">
        <f>IF('Données projet'!$A$62&gt;35,AI71+AH72-AQ71,IF(A72&lt;'Données projet'!$A$62,$AF$205^A72,IF(A72='Données projet'!$A$62,'Données projet'!$B$62,AI71+AH72-AQ71)))</f>
        <v>456.23076923076945</v>
      </c>
      <c r="AJ72" s="14">
        <f>AI72*VLOOKUP('Données projet'!$B$10,Paramètres!$A$1:$I$89,3,0)*VLOOKUP('Données projet'!$B$10,Paramètres!$A$1:$I$89,5,0)</f>
        <v>255.03300000000013</v>
      </c>
      <c r="AK72" s="14">
        <f t="shared" si="89"/>
        <v>61.662428642904949</v>
      </c>
      <c r="AL72" s="22">
        <f t="shared" si="58"/>
        <v>551.57787155305971</v>
      </c>
      <c r="AM72" s="60">
        <f t="shared" si="59"/>
        <v>844.91120488639308</v>
      </c>
      <c r="AN72" s="60">
        <f ca="1">AVERAGE(OFFSET($AM$3,0,0,'Données projet'!$E$10+1,1))-AVERAGE(OFFSET($H$3,0,0,'Données projet'!$E$10+1,1))</f>
        <v>323.98185264074681</v>
      </c>
      <c r="AO72" s="60">
        <f t="shared" si="90"/>
        <v>301.22207291854005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2.0612344233371891</v>
      </c>
      <c r="AV72" s="23">
        <f>EXP(-LN(2)/25)*AV71+(1-EXP(-LN(2)/25))/(LN(2)/25)*Calculateur!AQ72*Calculateur!AS72*VLOOKUP('Données projet'!$B$10,Paramètres!$A$1:$I$89,3,0)*0.475*44/12</f>
        <v>2.7970805957122811</v>
      </c>
      <c r="AW72" s="23">
        <f>EXP(-LN(2)/2)*AW71+(1-EXP(-LN(2)/2))/(LN(2)/2)*AQ72*AT72*VLOOKUP('Données projet'!$B$10,Paramètres!$A$1:$I$89,3,0)*0.475*44/12</f>
        <v>8.2106203828126005E-6</v>
      </c>
      <c r="AX72" s="23">
        <f t="shared" si="60"/>
        <v>4.8583232296698533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10</v>
      </c>
      <c r="BD72" s="13">
        <f>IF('Données projet'!$A$88&gt;35,BD71+BC72-BL71,IF(A72&lt;'Données projet'!$A$88,$BA$205^A72,IF(A72='Données projet'!$A$88,'Données projet'!$B$88,BD71+BC72-BL71)))</f>
        <v>305.99999999999994</v>
      </c>
      <c r="BE72" s="14">
        <f>BD72*VLOOKUP('Données projet'!$B$11,Paramètres!$A$1:$I$89,3,0)*VLOOKUP('Données projet'!$B$11,Paramètres!$A$1:$I$89,5,0)</f>
        <v>262.548</v>
      </c>
      <c r="BF72" s="14">
        <f t="shared" si="91"/>
        <v>63.265199933079444</v>
      </c>
      <c r="BG72" s="22">
        <f t="shared" si="61"/>
        <v>567.45798988344666</v>
      </c>
      <c r="BH72" s="60">
        <f t="shared" si="62"/>
        <v>860.79132321678003</v>
      </c>
      <c r="BI72" s="60">
        <f ca="1">AVERAGE(OFFSET($BH$3,0,0,'Données projet'!$E$11+1,1))-AVERAGE(OFFSET($H$3,0,0,'Données projet'!$E$11+1,1))</f>
        <v>556.75475431848258</v>
      </c>
      <c r="BJ72" s="60">
        <f t="shared" si="92"/>
        <v>256.77417912163997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3.7599999999999909</v>
      </c>
      <c r="BY72" s="13">
        <f>IF('Données projet'!$A$114&gt;35,BY71+BX72-CG71,IF(A72&lt;'Données projet'!$A$114,$BV$205^A72,IF(A72='Données projet'!$A$114,'Données projet'!$B$114,BY71+BX72-CG71)))</f>
        <v>269.84000000000009</v>
      </c>
      <c r="BZ72" s="14">
        <f>BY72*VLOOKUP('Données projet'!$B$12,Paramètres!$A$1:$I$89,3,0)*VLOOKUP('Données projet'!$B$12,Paramètres!$A$1:$I$89,5,0)</f>
        <v>197.84668800000006</v>
      </c>
      <c r="CA72" s="14">
        <f t="shared" si="93"/>
        <v>49.270637192946445</v>
      </c>
      <c r="CB72" s="22">
        <f t="shared" si="64"/>
        <v>430.39600804438186</v>
      </c>
      <c r="CC72" s="60">
        <f t="shared" si="65"/>
        <v>723.72934137771517</v>
      </c>
      <c r="CD72" s="60">
        <f ca="1">AVERAGE(OFFSET($CC$3,0,0,'Données projet'!$E$12+1,1))-AVERAGE(OFFSET($H$3,0,0,'Données projet'!$E$12+1,1))</f>
        <v>290.68086183422963</v>
      </c>
      <c r="CE72" s="60">
        <f t="shared" si="94"/>
        <v>317.88330630101785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4.4000000000000004</v>
      </c>
      <c r="CT72" s="13">
        <f>IF('Données projet'!$A$140&gt;35,CT71+CS72-DB71,IF(A72&lt;'Données projet'!$A$140,$CQ$205^A72,IF(A72='Données projet'!$A$140,'Données projet'!$B$140,CT71+CS72-DB71)))</f>
        <v>200.60000000000014</v>
      </c>
      <c r="CU72" s="18">
        <f>CT72*VLOOKUP('Données projet'!$B$13,Paramètres!$A$1:$I$89,3,0)*VLOOKUP('Données projet'!$B$13,Paramètres!$A$1:$I$89,5,0)</f>
        <v>131.43312000000009</v>
      </c>
      <c r="CV72" s="14">
        <f t="shared" si="95"/>
        <v>34.327299687447557</v>
      </c>
      <c r="CW72" s="22">
        <f t="shared" si="67"/>
        <v>288.69939762230462</v>
      </c>
      <c r="CX72" s="60">
        <f t="shared" si="68"/>
        <v>582.03273095563793</v>
      </c>
      <c r="CY72" s="60">
        <f ca="1">AVERAGE(OFFSET($CX$3,0,0,'Données projet'!$E$13+1,1))-AVERAGE(OFFSET($H$3,0,0,'Données projet'!$E$13+1,1))</f>
        <v>243.04319555814601</v>
      </c>
      <c r="CZ72" s="60">
        <f t="shared" si="96"/>
        <v>235.68746142880792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0" t="e">
        <f t="shared" si="71"/>
        <v>#NUM!</v>
      </c>
      <c r="DT72" s="60">
        <f ca="1">AVERAGE(OFFSET($DS$3,0,0,'Données projet'!$E$14+1,1))-AVERAGE(OFFSET($H$3,0,0,'Données projet'!$E$14+1,1))</f>
        <v>201.4732637505823</v>
      </c>
      <c r="DU72" s="60">
        <f t="shared" si="98"/>
        <v>342.06887933351783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3.0512824683723241</v>
      </c>
      <c r="EB72" s="23">
        <f>EXP(-LN(2)/25)*EB71+(1-EXP(-LN(2)/25))/(LN(2)/25)*Calculateur!DW72*Calculateur!DY72*VLOOKUP('Données projet'!$B$14,Paramètres!$A$1:$I$89,3,0)*0.475*44/12</f>
        <v>8.9678159183028576</v>
      </c>
      <c r="EC72" s="23">
        <f>EXP(-LN(2)/2)*EC71+(1-EXP(-LN(2)/2))/(LN(2)/2)*DW72*DZ72*VLOOKUP('Données projet'!$B$14,Paramètres!$A$1:$I$89,3,0)*0.475*44/12</f>
        <v>1.8068734350461886E-5</v>
      </c>
      <c r="ED72" s="24">
        <f t="shared" si="72"/>
        <v>12.019116455409533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-3.4106051316484809E-13</v>
      </c>
      <c r="EK72" s="18">
        <f>EJ72*VLOOKUP('Données projet'!$B$15,Paramètres!$A$1:$I$89,3,0)*VLOOKUP('Données projet'!$B$15,Paramètres!$A$1:$I$89,5,0)</f>
        <v>-2.0395418687257919E-13</v>
      </c>
      <c r="EL72" s="14" t="e">
        <f t="shared" si="99"/>
        <v>#NUM!</v>
      </c>
      <c r="EM72" s="22" t="e">
        <f t="shared" si="73"/>
        <v>#NUM!</v>
      </c>
      <c r="EN72" s="60" t="e">
        <f t="shared" si="74"/>
        <v>#NUM!</v>
      </c>
      <c r="EO72" s="60">
        <f ca="1">AVERAGE(OFFSET($EN$3,0,0,'Données projet'!$E$15+1,1))-AVERAGE(OFFSET($H$3,0,0,'Données projet'!$E$15+1,1))</f>
        <v>260.01925143568263</v>
      </c>
      <c r="EP72" s="60">
        <f t="shared" si="100"/>
        <v>269.95358755269427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6.5645451489786968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6.5645451489786968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-1.1368683772161603E-13</v>
      </c>
      <c r="FF72" s="18">
        <f>FE72*VLOOKUP('Données projet'!$B$16,Paramètres!$A$1:$I$89,3,0)*VLOOKUP('Données projet'!$B$16,Paramètres!$A$1:$I$89,5,0)</f>
        <v>-9.2222762759774927E-14</v>
      </c>
      <c r="FG72" s="14" t="e">
        <f t="shared" si="101"/>
        <v>#NUM!</v>
      </c>
      <c r="FH72" s="22" t="e">
        <f t="shared" si="76"/>
        <v>#NUM!</v>
      </c>
      <c r="FI72" s="60" t="e">
        <f t="shared" si="77"/>
        <v>#NUM!</v>
      </c>
      <c r="FJ72" s="60">
        <f ca="1">AVERAGE(OFFSET($FI$3,0,0,'Données projet'!$E$16+1,1))-AVERAGE(OFFSET($H$3,0,0,'Données projet'!$E$16+1,1))</f>
        <v>256.19915261735281</v>
      </c>
      <c r="FK72" s="60">
        <f t="shared" si="102"/>
        <v>297.47246687305056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6.461538461538467</v>
      </c>
      <c r="FZ72" s="13">
        <f>IF('Données projet'!$A$244&gt;35,FZ71+FY72-GH71,IF(A72&lt;'Données projet'!$A$244,$FW$205^A72,IF(A72='Données projet'!$A$244,'Données projet'!$B$244,FZ71+FY72-GH71)))</f>
        <v>286.83846153846156</v>
      </c>
      <c r="GA72" s="18">
        <f>FZ72*VLOOKUP('Données projet'!$B$17,Paramètres!$A$1:$I$89,3,0)*VLOOKUP('Données projet'!$B$17,Paramètres!$A$1:$I$89,5,0)</f>
        <v>164.07160000000002</v>
      </c>
      <c r="GB72" s="14">
        <f t="shared" si="103"/>
        <v>41.759528728312908</v>
      </c>
      <c r="GC72" s="22">
        <f t="shared" si="79"/>
        <v>358.48921586847837</v>
      </c>
      <c r="GD72" s="60">
        <f t="shared" si="80"/>
        <v>651.82254920181163</v>
      </c>
      <c r="GE72" s="60">
        <f ca="1">AVERAGE(OFFSET($GD$3,0,0,'Données projet'!$E$17+1,1))-AVERAGE(OFFSET($H$3,0,0,'Données projet'!$E$17+1,1))</f>
        <v>268.71641789629319</v>
      </c>
      <c r="GF72" s="60">
        <f t="shared" si="104"/>
        <v>199.94048514486104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0.71214817010056719</v>
      </c>
      <c r="GN72" s="23">
        <f>EXP(-LN(2)/2)*GN71+(1-EXP(-LN(2)/2))/(LN(2)/2)*GH72*GK72*VLOOKUP('Données projet'!$B$17,Paramètres!$A$1:$I$89,3,0)*0.475*44/12</f>
        <v>9.4081412716610466E-6</v>
      </c>
      <c r="GO72" s="23">
        <f t="shared" si="81"/>
        <v>0.7121575782418389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9.1830769230769249</v>
      </c>
      <c r="GU72" s="13">
        <f>IF('Données projet'!$A$270&gt;35,GU71+GT72-HC71,IF(A72&lt;'Données projet'!$A$270,$GR$205^A72,IF(A72='Données projet'!$A$270,'Données projet'!$B$270,GU71+GT72-HC71)))</f>
        <v>370.80923076923057</v>
      </c>
      <c r="GV72" s="18">
        <f>GU72*VLOOKUP('Données projet'!$B$18,Paramètres!$A$1:$I$89,3,0)*VLOOKUP('Données projet'!$B$18,Paramètres!$A$1:$I$89,5,0)</f>
        <v>221.74391999999989</v>
      </c>
      <c r="GW72" s="14">
        <f t="shared" si="105"/>
        <v>54.493743764780973</v>
      </c>
      <c r="GX72" s="22">
        <f t="shared" si="82"/>
        <v>481.11393105699329</v>
      </c>
      <c r="GY72" s="60">
        <f t="shared" si="83"/>
        <v>774.44726439032661</v>
      </c>
      <c r="GZ72" s="60">
        <f ca="1">AVERAGE(OFFSET($GY$3,0,0,'Données projet'!$E$18+1,1))-AVERAGE(OFFSET($H$3,0,0,'Données projet'!$E$18+1,1))</f>
        <v>289.12367833861299</v>
      </c>
      <c r="HA72" s="60">
        <f t="shared" si="106"/>
        <v>229.06617320689003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5.5928329546624017E-6</v>
      </c>
      <c r="HJ72" s="24">
        <f t="shared" si="84"/>
        <v>5.5928329546624017E-6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0">
        <f t="shared" si="55"/>
        <v>768.54835911062366</v>
      </c>
      <c r="S73" s="60">
        <f ca="1">AVERAGE(OFFSET($R$3,0,0,'Données projet'!$E$9+1,1))-AVERAGE(OFFSET($H$3,0,0,'Données projet'!$E$9+1,1))</f>
        <v>430.11660085503223</v>
      </c>
      <c r="T73" s="60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469.06923076923073</v>
      </c>
      <c r="AG73" s="13">
        <f>VLOOKUP(A73,'Données projet'!$A$61:$I$81,9,0)</f>
        <v>12.838461538461502</v>
      </c>
      <c r="AH73" s="13">
        <f t="array" ref="AH73">INDEX(AG:AG,MIN(IF(ISNUMBER(AG73:AG269),ROW(AG73:AG269),"")))</f>
        <v>12.838461538461502</v>
      </c>
      <c r="AI73" s="14">
        <f>IF('Données projet'!$A$62&gt;35,AI72+AH73-AQ72,IF(A73&lt;'Données projet'!$A$62,$AF$205^A73,IF(A73='Données projet'!$A$62,'Données projet'!$B$62,AI72+AH73-AQ72)))</f>
        <v>469.06923076923096</v>
      </c>
      <c r="AJ73" s="14">
        <f>AI73*VLOOKUP('Données projet'!$B$10,Paramètres!$A$1:$I$89,3,0)*VLOOKUP('Données projet'!$B$10,Paramètres!$A$1:$I$89,5,0)</f>
        <v>262.20970000000011</v>
      </c>
      <c r="AK73" s="14">
        <f t="shared" si="89"/>
        <v>63.193164452376678</v>
      </c>
      <c r="AL73" s="22">
        <f t="shared" si="58"/>
        <v>566.74332225455612</v>
      </c>
      <c r="AM73" s="60">
        <f t="shared" si="59"/>
        <v>860.07665558788949</v>
      </c>
      <c r="AN73" s="60">
        <f ca="1">AVERAGE(OFFSET($AM$3,0,0,'Données projet'!$E$10+1,1))-AVERAGE(OFFSET($H$3,0,0,'Données projet'!$E$10+1,1))</f>
        <v>323.98185264074681</v>
      </c>
      <c r="AO73" s="60">
        <f t="shared" si="90"/>
        <v>301.22207291854005</v>
      </c>
      <c r="AP73" s="16">
        <f>IF(ISNA(VLOOKUP(A73,'Données projet'!$A$61:$I$81,3,0)),0,VLOOKUP(A73,'Données projet'!$A$61:$I$81,3,0))</f>
        <v>8</v>
      </c>
      <c r="AQ73" s="16">
        <f>IF(ISNA(VLOOKUP(A73,'Données projet'!$A$61:$I$81,4,0)),0,VLOOKUP(A73,'Données projet'!$A$61:$I$81,4,0))</f>
        <v>469.06923076923073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2.020814873524404</v>
      </c>
      <c r="AV73" s="23">
        <f>EXP(-LN(2)/25)*AV72+(1-EXP(-LN(2)/25))/(LN(2)/25)*Calculateur!AQ73*Calculateur!AS73*VLOOKUP('Données projet'!$B$10,Paramètres!$A$1:$I$89,3,0)*0.475*44/12</f>
        <v>2.7205942797304532</v>
      </c>
      <c r="AW73" s="23">
        <f>EXP(-LN(2)/2)*AW72+(1-EXP(-LN(2)/2))/(LN(2)/2)*AQ73*AT73*VLOOKUP('Données projet'!$B$10,Paramètres!$A$1:$I$89,3,0)*0.475*44/12</f>
        <v>5.8057853504352766E-6</v>
      </c>
      <c r="AX73" s="23">
        <f t="shared" si="60"/>
        <v>4.741414959040207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316</v>
      </c>
      <c r="BB73" s="13">
        <f>VLOOKUP(A73,'Données projet'!$A$87:$I$107,9,0)</f>
        <v>10</v>
      </c>
      <c r="BC73" s="13">
        <f t="array" ref="BC73">INDEX(BB:BB,MIN(IF(ISNUMBER(BB73:BB269),ROW(BB73:BB269),"")))</f>
        <v>10</v>
      </c>
      <c r="BD73" s="13">
        <f>IF('Données projet'!$A$88&gt;35,BD72+BC73-BL72,IF(A73&lt;'Données projet'!$A$88,$BA$205^A73,IF(A73='Données projet'!$A$88,'Données projet'!$B$88,BD72+BC73-BL72)))</f>
        <v>315.99999999999994</v>
      </c>
      <c r="BE73" s="14">
        <f>BD73*VLOOKUP('Données projet'!$B$11,Paramètres!$A$1:$I$89,3,0)*VLOOKUP('Données projet'!$B$11,Paramètres!$A$1:$I$89,5,0)</f>
        <v>271.12799999999999</v>
      </c>
      <c r="BF73" s="14">
        <f t="shared" si="91"/>
        <v>65.088601240045278</v>
      </c>
      <c r="BG73" s="22">
        <f t="shared" si="61"/>
        <v>585.57724715974553</v>
      </c>
      <c r="BH73" s="60">
        <f t="shared" si="62"/>
        <v>878.9105804930789</v>
      </c>
      <c r="BI73" s="60">
        <f ca="1">AVERAGE(OFFSET($BH$3,0,0,'Données projet'!$E$11+1,1))-AVERAGE(OFFSET($H$3,0,0,'Données projet'!$E$11+1,1))</f>
        <v>556.75475431848258</v>
      </c>
      <c r="BJ73" s="60">
        <f t="shared" si="92"/>
        <v>256.77417912163997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273.59999999999997</v>
      </c>
      <c r="BW73" s="13">
        <f>VLOOKUP(A73,'Données projet'!$A$113:$I$133,9,0)</f>
        <v>3.7599999999999909</v>
      </c>
      <c r="BX73" s="13">
        <f t="array" ref="BX73">INDEX(BW:BW,MIN(IF(ISNUMBER(BW73:BW269),ROW(BW73:BW269),"")))</f>
        <v>3.7599999999999909</v>
      </c>
      <c r="BY73" s="13">
        <f>IF('Données projet'!$A$114&gt;35,BY72+BX73-CG72,IF(A73&lt;'Données projet'!$A$114,$BV$205^A73,IF(A73='Données projet'!$A$114,'Données projet'!$B$114,BY72+BX73-CG72)))</f>
        <v>273.60000000000008</v>
      </c>
      <c r="BZ73" s="14">
        <f>BY73*VLOOKUP('Données projet'!$B$12,Paramètres!$A$1:$I$89,3,0)*VLOOKUP('Données projet'!$B$12,Paramètres!$A$1:$I$89,5,0)</f>
        <v>200.60352000000006</v>
      </c>
      <c r="CA73" s="14">
        <f t="shared" si="93"/>
        <v>49.87677988675906</v>
      </c>
      <c r="CB73" s="22">
        <f t="shared" si="64"/>
        <v>436.25318896943878</v>
      </c>
      <c r="CC73" s="60">
        <f t="shared" si="65"/>
        <v>729.5865223027721</v>
      </c>
      <c r="CD73" s="60">
        <f ca="1">AVERAGE(OFFSET($CC$3,0,0,'Données projet'!$E$12+1,1))-AVERAGE(OFFSET($H$3,0,0,'Données projet'!$E$12+1,1))</f>
        <v>290.68086183422963</v>
      </c>
      <c r="CE73" s="60">
        <f t="shared" si="94"/>
        <v>317.88330630101785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20.9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205</v>
      </c>
      <c r="CR73" s="13">
        <f>VLOOKUP(A73,'Données projet'!$A$139:$I$159,9,0)</f>
        <v>4.4000000000000004</v>
      </c>
      <c r="CS73" s="13">
        <f t="array" ref="CS73">INDEX(CR:CR,MIN(IF(ISNUMBER(CR73:CR269),ROW(CR73:CR269),"")))</f>
        <v>4.4000000000000004</v>
      </c>
      <c r="CT73" s="13">
        <f>IF('Données projet'!$A$140&gt;35,CT72+CS73-DB72,IF(A73&lt;'Données projet'!$A$140,$CQ$205^A73,IF(A73='Données projet'!$A$140,'Données projet'!$B$140,CT72+CS73-DB72)))</f>
        <v>205.00000000000014</v>
      </c>
      <c r="CU73" s="18">
        <f>CT73*VLOOKUP('Données projet'!$B$13,Paramètres!$A$1:$I$89,3,0)*VLOOKUP('Données projet'!$B$13,Paramètres!$A$1:$I$89,5,0)</f>
        <v>134.31600000000009</v>
      </c>
      <c r="CV73" s="14">
        <f t="shared" si="95"/>
        <v>34.991756585122474</v>
      </c>
      <c r="CW73" s="22">
        <f t="shared" si="67"/>
        <v>294.87767605242175</v>
      </c>
      <c r="CX73" s="60">
        <f t="shared" si="68"/>
        <v>588.21100938575501</v>
      </c>
      <c r="CY73" s="60">
        <f ca="1">AVERAGE(OFFSET($CX$3,0,0,'Données projet'!$E$13+1,1))-AVERAGE(OFFSET($H$3,0,0,'Données projet'!$E$13+1,1))</f>
        <v>243.04319555814601</v>
      </c>
      <c r="CZ73" s="60">
        <f t="shared" si="96"/>
        <v>235.68746142880792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0" t="e">
        <f t="shared" si="71"/>
        <v>#NUM!</v>
      </c>
      <c r="DT73" s="60">
        <f ca="1">AVERAGE(OFFSET($DS$3,0,0,'Données projet'!$E$14+1,1))-AVERAGE(OFFSET($H$3,0,0,'Données projet'!$E$14+1,1))</f>
        <v>201.4732637505823</v>
      </c>
      <c r="DU73" s="60">
        <f t="shared" si="98"/>
        <v>342.06887933351783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2.9914486802660805</v>
      </c>
      <c r="EB73" s="23">
        <f>EXP(-LN(2)/25)*EB72+(1-EXP(-LN(2)/25))/(LN(2)/25)*Calculateur!DW73*Calculateur!DY73*VLOOKUP('Données projet'!$B$14,Paramètres!$A$1:$I$89,3,0)*0.475*44/12</f>
        <v>8.7225905204199226</v>
      </c>
      <c r="EC73" s="23">
        <f>EXP(-LN(2)/2)*EC72+(1-EXP(-LN(2)/2))/(LN(2)/2)*DW73*DZ73*VLOOKUP('Données projet'!$B$14,Paramètres!$A$1:$I$89,3,0)*0.475*44/12</f>
        <v>1.2776524586669908E-5</v>
      </c>
      <c r="ED73" s="24">
        <f t="shared" si="72"/>
        <v>11.714051977210589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-3.4106051316484809E-13</v>
      </c>
      <c r="EK73" s="18">
        <f>EJ73*VLOOKUP('Données projet'!$B$15,Paramètres!$A$1:$I$89,3,0)*VLOOKUP('Données projet'!$B$15,Paramètres!$A$1:$I$89,5,0)</f>
        <v>-2.0395418687257919E-13</v>
      </c>
      <c r="EL73" s="14" t="e">
        <f t="shared" si="99"/>
        <v>#NUM!</v>
      </c>
      <c r="EM73" s="22" t="e">
        <f t="shared" si="73"/>
        <v>#NUM!</v>
      </c>
      <c r="EN73" s="60" t="e">
        <f t="shared" si="74"/>
        <v>#NUM!</v>
      </c>
      <c r="EO73" s="60">
        <f ca="1">AVERAGE(OFFSET($EN$3,0,0,'Données projet'!$E$15+1,1))-AVERAGE(OFFSET($H$3,0,0,'Données projet'!$E$15+1,1))</f>
        <v>260.01925143568263</v>
      </c>
      <c r="EP73" s="60">
        <f t="shared" si="100"/>
        <v>269.95358755269427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6.435818422584406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6.435818422584406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-1.1368683772161603E-13</v>
      </c>
      <c r="FF73" s="18">
        <f>FE73*VLOOKUP('Données projet'!$B$16,Paramètres!$A$1:$I$89,3,0)*VLOOKUP('Données projet'!$B$16,Paramètres!$A$1:$I$89,5,0)</f>
        <v>-9.2222762759774927E-14</v>
      </c>
      <c r="FG73" s="14" t="e">
        <f t="shared" si="101"/>
        <v>#NUM!</v>
      </c>
      <c r="FH73" s="22" t="e">
        <f t="shared" si="76"/>
        <v>#NUM!</v>
      </c>
      <c r="FI73" s="60" t="e">
        <f t="shared" si="77"/>
        <v>#NUM!</v>
      </c>
      <c r="FJ73" s="60">
        <f ca="1">AVERAGE(OFFSET($FI$3,0,0,'Données projet'!$E$16+1,1))-AVERAGE(OFFSET($H$3,0,0,'Données projet'!$E$16+1,1))</f>
        <v>256.19915261735281</v>
      </c>
      <c r="FK73" s="60">
        <f t="shared" si="102"/>
        <v>297.47246687305056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293.3</v>
      </c>
      <c r="FX73" s="13">
        <f>VLOOKUP(A73,'Données projet'!$A$243:$I$263,9,0)</f>
        <v>6.461538461538467</v>
      </c>
      <c r="FY73" s="13">
        <f t="array" ref="FY73">INDEX(FX:FX,MIN(IF(ISNUMBER(FX73:FX269),ROW(FX73:FX269),"")))</f>
        <v>6.461538461538467</v>
      </c>
      <c r="FZ73" s="13">
        <f>IF('Données projet'!$A$244&gt;35,FZ72+FY73-GH72,IF(A73&lt;'Données projet'!$A$244,$FW$205^A73,IF(A73='Données projet'!$A$244,'Données projet'!$B$244,FZ72+FY73-GH72)))</f>
        <v>293.3</v>
      </c>
      <c r="GA73" s="18">
        <f>FZ73*VLOOKUP('Données projet'!$B$17,Paramètres!$A$1:$I$89,3,0)*VLOOKUP('Données projet'!$B$17,Paramètres!$A$1:$I$89,5,0)</f>
        <v>167.76759999999999</v>
      </c>
      <c r="GB73" s="14">
        <f t="shared" si="103"/>
        <v>42.589656245503413</v>
      </c>
      <c r="GC73" s="22">
        <f t="shared" si="79"/>
        <v>366.3722212942518</v>
      </c>
      <c r="GD73" s="60">
        <f t="shared" si="80"/>
        <v>659.70555462758512</v>
      </c>
      <c r="GE73" s="60">
        <f ca="1">AVERAGE(OFFSET($GD$3,0,0,'Données projet'!$E$17+1,1))-AVERAGE(OFFSET($H$3,0,0,'Données projet'!$E$17+1,1))</f>
        <v>268.71641789629319</v>
      </c>
      <c r="GF73" s="60">
        <f t="shared" si="104"/>
        <v>199.94048514486104</v>
      </c>
      <c r="GG73" s="16">
        <f>IF(ISNA(VLOOKUP(A73,'Données projet'!$A$243:$I$263,3,0)),0,VLOOKUP(A73,'Données projet'!$A$243:$I$263,3,0))</f>
        <v>7</v>
      </c>
      <c r="GH73" s="16">
        <f>IF(ISNA(VLOOKUP(A73,'Données projet'!$A$243:$I$263,4,0)),0,VLOOKUP(A73,'Données projet'!$A$243:$I$263,4,0))</f>
        <v>44.123076923076923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0.6926744409389225</v>
      </c>
      <c r="GN73" s="23">
        <f>EXP(-LN(2)/2)*GN72+(1-EXP(-LN(2)/2))/(LN(2)/2)*GH73*GK73*VLOOKUP('Données projet'!$B$17,Paramètres!$A$1:$I$89,3,0)*0.475*44/12</f>
        <v>6.6525604915525547E-6</v>
      </c>
      <c r="GO73" s="23">
        <f t="shared" si="81"/>
        <v>0.69268109349941409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379.99230769230769</v>
      </c>
      <c r="GS73" s="13">
        <f>VLOOKUP(A73,'Données projet'!$A$269:$I$289,9,0)</f>
        <v>9.1830769230769249</v>
      </c>
      <c r="GT73" s="13">
        <f t="array" ref="GT73">INDEX(GS:GS,MIN(IF(ISNUMBER(GS73:GS269),ROW(GS73:GS269),"")))</f>
        <v>9.1830769230769249</v>
      </c>
      <c r="GU73" s="13">
        <f>IF('Données projet'!$A$270&gt;35,GU72+GT73-HC72,IF(A73&lt;'Données projet'!$A$270,$GR$205^A73,IF(A73='Données projet'!$A$270,'Données projet'!$B$270,GU72+GT73-HC72)))</f>
        <v>379.99230769230746</v>
      </c>
      <c r="GV73" s="18">
        <f>GU73*VLOOKUP('Données projet'!$B$18,Paramètres!$A$1:$I$89,3,0)*VLOOKUP('Données projet'!$B$18,Paramètres!$A$1:$I$89,5,0)</f>
        <v>227.23539999999988</v>
      </c>
      <c r="GW73" s="14">
        <f t="shared" si="105"/>
        <v>55.684490313081348</v>
      </c>
      <c r="GX73" s="22">
        <f t="shared" si="82"/>
        <v>492.75214229528314</v>
      </c>
      <c r="GY73" s="60">
        <f t="shared" si="83"/>
        <v>786.08547562861645</v>
      </c>
      <c r="GZ73" s="60">
        <f ca="1">AVERAGE(OFFSET($GY$3,0,0,'Données projet'!$E$18+1,1))-AVERAGE(OFFSET($H$3,0,0,'Données projet'!$E$18+1,1))</f>
        <v>289.12367833861299</v>
      </c>
      <c r="HA73" s="60">
        <f t="shared" si="106"/>
        <v>229.06617320689003</v>
      </c>
      <c r="HB73" s="16">
        <f>IF(ISNA(VLOOKUP(A73,'Données projet'!$A$269:$I$289,3,0)),0,VLOOKUP(A73,'Données projet'!$A$269:$I$289,3,0))</f>
        <v>7</v>
      </c>
      <c r="HC73" s="16">
        <f>IF(ISNA(VLOOKUP(A73,'Données projet'!$A$269:$I$289,4,0)),0,VLOOKUP(A73,'Données projet'!$A$269:$I$289,4,0))</f>
        <v>52.669230769230765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3.9547301082853789E-6</v>
      </c>
      <c r="HJ73" s="24">
        <f t="shared" si="84"/>
        <v>3.9547301082853789E-6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0">
        <f t="shared" si="55"/>
        <v>780.44025597898974</v>
      </c>
      <c r="S74" s="60">
        <f ca="1">AVERAGE(OFFSET($R$3,0,0,'Données projet'!$E$9+1,1))-AVERAGE(OFFSET($H$3,0,0,'Données projet'!$E$9+1,1))</f>
        <v>430.11660085503223</v>
      </c>
      <c r="T74" s="60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1.2710188457276673E-13</v>
      </c>
      <c r="AK74" s="14">
        <f t="shared" si="89"/>
        <v>1.856866851063998E-12</v>
      </c>
      <c r="AL74" s="22">
        <f t="shared" si="58"/>
        <v>3.4554122145673649E-12</v>
      </c>
      <c r="AM74" s="60">
        <f t="shared" si="59"/>
        <v>293.33333333333678</v>
      </c>
      <c r="AN74" s="60">
        <f ca="1">AVERAGE(OFFSET($AM$3,0,0,'Données projet'!$E$10+1,1))-AVERAGE(OFFSET($H$3,0,0,'Données projet'!$E$10+1,1))</f>
        <v>323.98185264074681</v>
      </c>
      <c r="AO74" s="60">
        <f t="shared" si="90"/>
        <v>301.22207291854005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1.9811879264299566</v>
      </c>
      <c r="AV74" s="23">
        <f>EXP(-LN(2)/25)*AV73+(1-EXP(-LN(2)/25))/(LN(2)/25)*Calculateur!AQ74*Calculateur!AS74*VLOOKUP('Données projet'!$B$10,Paramètres!$A$1:$I$89,3,0)*0.475*44/12</f>
        <v>2.6461994860813887</v>
      </c>
      <c r="AW74" s="23">
        <f>EXP(-LN(2)/2)*AW73+(1-EXP(-LN(2)/2))/(LN(2)/2)*AQ74*AT74*VLOOKUP('Données projet'!$B$10,Paramètres!$A$1:$I$89,3,0)*0.475*44/12</f>
        <v>4.1053101914063002E-6</v>
      </c>
      <c r="AX74" s="23">
        <f t="shared" si="60"/>
        <v>4.6273915178215361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9.4</v>
      </c>
      <c r="BD74" s="13">
        <f>IF('Données projet'!$A$88&gt;35,BD73+BC74-BL73,IF(A74&lt;'Données projet'!$A$88,$BA$205^A74,IF(A74='Données projet'!$A$88,'Données projet'!$B$88,BD73+BC74-BL73)))</f>
        <v>325.39999999999992</v>
      </c>
      <c r="BE74" s="14">
        <f>BD74*VLOOKUP('Données projet'!$B$11,Paramètres!$A$1:$I$89,3,0)*VLOOKUP('Données projet'!$B$11,Paramètres!$A$1:$I$89,5,0)</f>
        <v>279.19319999999999</v>
      </c>
      <c r="BF74" s="14">
        <f t="shared" si="91"/>
        <v>66.796480224937582</v>
      </c>
      <c r="BG74" s="22">
        <f t="shared" si="61"/>
        <v>602.5986930584329</v>
      </c>
      <c r="BH74" s="60">
        <f t="shared" si="62"/>
        <v>895.93202639176616</v>
      </c>
      <c r="BI74" s="60">
        <f ca="1">AVERAGE(OFFSET($BH$3,0,0,'Données projet'!$E$11+1,1))-AVERAGE(OFFSET($H$3,0,0,'Données projet'!$E$11+1,1))</f>
        <v>556.75475431848258</v>
      </c>
      <c r="BJ74" s="60">
        <f t="shared" si="92"/>
        <v>256.77417912163997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3.4000000000000172</v>
      </c>
      <c r="BY74" s="13">
        <f>IF('Données projet'!$A$114&gt;35,BY73+BX74-CG73,IF(A74&lt;'Données projet'!$A$114,$BV$205^A74,IF(A74='Données projet'!$A$114,'Données projet'!$B$114,BY73+BX74-CG73)))</f>
        <v>256.10000000000014</v>
      </c>
      <c r="BZ74" s="14">
        <f>BY74*VLOOKUP('Données projet'!$B$12,Paramètres!$A$1:$I$89,3,0)*VLOOKUP('Données projet'!$B$12,Paramètres!$A$1:$I$89,5,0)</f>
        <v>187.7725200000001</v>
      </c>
      <c r="CA74" s="14">
        <f t="shared" si="93"/>
        <v>47.047151159984438</v>
      </c>
      <c r="CB74" s="22">
        <f t="shared" si="64"/>
        <v>408.97759393697305</v>
      </c>
      <c r="CC74" s="60">
        <f t="shared" si="65"/>
        <v>702.31092727030637</v>
      </c>
      <c r="CD74" s="60">
        <f ca="1">AVERAGE(OFFSET($CC$3,0,0,'Données projet'!$E$12+1,1))-AVERAGE(OFFSET($H$3,0,0,'Données projet'!$E$12+1,1))</f>
        <v>290.68086183422963</v>
      </c>
      <c r="CE74" s="60">
        <f t="shared" si="94"/>
        <v>317.88330630101785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</v>
      </c>
      <c r="CT74" s="13">
        <f>IF('Données projet'!$A$140&gt;35,CT73+CS74-DB73,IF(A74&lt;'Données projet'!$A$140,$CQ$205^A74,IF(A74='Données projet'!$A$140,'Données projet'!$B$140,CT73+CS74-DB73)))</f>
        <v>209.00000000000014</v>
      </c>
      <c r="CU74" s="18">
        <f>CT74*VLOOKUP('Données projet'!$B$13,Paramètres!$A$1:$I$89,3,0)*VLOOKUP('Données projet'!$B$13,Paramètres!$A$1:$I$89,5,0)</f>
        <v>136.93680000000009</v>
      </c>
      <c r="CV74" s="14">
        <f t="shared" si="95"/>
        <v>35.594368426539035</v>
      </c>
      <c r="CW74" s="22">
        <f t="shared" si="67"/>
        <v>300.4917850095556</v>
      </c>
      <c r="CX74" s="60">
        <f t="shared" si="68"/>
        <v>593.82511834288891</v>
      </c>
      <c r="CY74" s="60">
        <f ca="1">AVERAGE(OFFSET($CX$3,0,0,'Données projet'!$E$13+1,1))-AVERAGE(OFFSET($H$3,0,0,'Données projet'!$E$13+1,1))</f>
        <v>243.04319555814601</v>
      </c>
      <c r="CZ74" s="60">
        <f t="shared" si="96"/>
        <v>235.68746142880792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0" t="e">
        <f t="shared" si="71"/>
        <v>#NUM!</v>
      </c>
      <c r="DT74" s="60">
        <f ca="1">AVERAGE(OFFSET($DS$3,0,0,'Données projet'!$E$14+1,1))-AVERAGE(OFFSET($H$3,0,0,'Données projet'!$E$14+1,1))</f>
        <v>201.4732637505823</v>
      </c>
      <c r="DU74" s="60">
        <f t="shared" si="98"/>
        <v>342.06887933351783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2.932788196249593</v>
      </c>
      <c r="EB74" s="23">
        <f>EXP(-LN(2)/25)*EB73+(1-EXP(-LN(2)/25))/(LN(2)/25)*Calculateur!DW74*Calculateur!DY74*VLOOKUP('Données projet'!$B$14,Paramètres!$A$1:$I$89,3,0)*0.475*44/12</f>
        <v>8.4840708239379392</v>
      </c>
      <c r="EC74" s="23">
        <f>EXP(-LN(2)/2)*EC73+(1-EXP(-LN(2)/2))/(LN(2)/2)*DW74*DZ74*VLOOKUP('Données projet'!$B$14,Paramètres!$A$1:$I$89,3,0)*0.475*44/12</f>
        <v>9.034367175230943E-6</v>
      </c>
      <c r="ED74" s="24">
        <f t="shared" si="72"/>
        <v>11.416868054554707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-3.4106051316484809E-13</v>
      </c>
      <c r="EK74" s="18">
        <f>EJ74*VLOOKUP('Données projet'!$B$15,Paramètres!$A$1:$I$89,3,0)*VLOOKUP('Données projet'!$B$15,Paramètres!$A$1:$I$89,5,0)</f>
        <v>-2.0395418687257919E-13</v>
      </c>
      <c r="EL74" s="14" t="e">
        <f t="shared" si="99"/>
        <v>#NUM!</v>
      </c>
      <c r="EM74" s="22" t="e">
        <f t="shared" si="73"/>
        <v>#NUM!</v>
      </c>
      <c r="EN74" s="60" t="e">
        <f t="shared" si="74"/>
        <v>#NUM!</v>
      </c>
      <c r="EO74" s="60">
        <f ca="1">AVERAGE(OFFSET($EN$3,0,0,'Données projet'!$E$15+1,1))-AVERAGE(OFFSET($H$3,0,0,'Données projet'!$E$15+1,1))</f>
        <v>260.01925143568263</v>
      </c>
      <c r="EP74" s="60">
        <f t="shared" si="100"/>
        <v>269.95358755269427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6.3096159487791565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6.3096159487791565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-1.1368683772161603E-13</v>
      </c>
      <c r="FF74" s="18">
        <f>FE74*VLOOKUP('Données projet'!$B$16,Paramètres!$A$1:$I$89,3,0)*VLOOKUP('Données projet'!$B$16,Paramètres!$A$1:$I$89,5,0)</f>
        <v>-9.2222762759774927E-14</v>
      </c>
      <c r="FG74" s="14" t="e">
        <f t="shared" si="101"/>
        <v>#NUM!</v>
      </c>
      <c r="FH74" s="22" t="e">
        <f t="shared" si="76"/>
        <v>#NUM!</v>
      </c>
      <c r="FI74" s="60" t="e">
        <f t="shared" si="77"/>
        <v>#NUM!</v>
      </c>
      <c r="FJ74" s="60">
        <f ca="1">AVERAGE(OFFSET($FI$3,0,0,'Données projet'!$E$16+1,1))-AVERAGE(OFFSET($H$3,0,0,'Données projet'!$E$16+1,1))</f>
        <v>256.19915261735281</v>
      </c>
      <c r="FK74" s="60">
        <f t="shared" si="102"/>
        <v>297.47246687305056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5.5269230769230742</v>
      </c>
      <c r="FZ74" s="13">
        <f>IF('Données projet'!$A$244&gt;35,FZ73+FY74-GH73,IF(A74&lt;'Données projet'!$A$244,$FW$205^A74,IF(A74='Données projet'!$A$244,'Données projet'!$B$244,FZ73+FY74-GH73)))</f>
        <v>254.70384615384617</v>
      </c>
      <c r="GA74" s="18">
        <f>FZ74*VLOOKUP('Données projet'!$B$17,Paramètres!$A$1:$I$89,3,0)*VLOOKUP('Données projet'!$B$17,Paramètres!$A$1:$I$89,5,0)</f>
        <v>145.69060000000002</v>
      </c>
      <c r="GB74" s="14">
        <f t="shared" si="103"/>
        <v>37.597603749327881</v>
      </c>
      <c r="GC74" s="22">
        <f t="shared" si="79"/>
        <v>319.22695486341269</v>
      </c>
      <c r="GD74" s="60">
        <f t="shared" si="80"/>
        <v>612.560288196746</v>
      </c>
      <c r="GE74" s="60">
        <f ca="1">AVERAGE(OFFSET($GD$3,0,0,'Données projet'!$E$17+1,1))-AVERAGE(OFFSET($H$3,0,0,'Données projet'!$E$17+1,1))</f>
        <v>268.71641789629319</v>
      </c>
      <c r="GF74" s="60">
        <f t="shared" si="104"/>
        <v>199.94048514486104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0.67373322192528196</v>
      </c>
      <c r="GN74" s="23">
        <f>EXP(-LN(2)/2)*GN73+(1-EXP(-LN(2)/2))/(LN(2)/2)*GH74*GK74*VLOOKUP('Données projet'!$B$17,Paramètres!$A$1:$I$89,3,0)*0.475*44/12</f>
        <v>4.7040706358305233E-6</v>
      </c>
      <c r="GO74" s="23">
        <f t="shared" si="81"/>
        <v>0.67373792599591775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7.5584615384615343</v>
      </c>
      <c r="GU74" s="13">
        <f>IF('Données projet'!$A$270&gt;35,GU73+GT74-HC73,IF(A74&lt;'Données projet'!$A$270,$GR$205^A74,IF(A74='Données projet'!$A$270,'Données projet'!$B$270,GU73+GT74-HC73)))</f>
        <v>334.88153846153824</v>
      </c>
      <c r="GV74" s="18">
        <f>GU74*VLOOKUP('Données projet'!$B$18,Paramètres!$A$1:$I$89,3,0)*VLOOKUP('Données projet'!$B$18,Paramètres!$A$1:$I$89,5,0)</f>
        <v>200.25915999999989</v>
      </c>
      <c r="GW74" s="14">
        <f t="shared" si="105"/>
        <v>49.801118956127333</v>
      </c>
      <c r="GX74" s="22">
        <f t="shared" si="82"/>
        <v>435.52165251525486</v>
      </c>
      <c r="GY74" s="60">
        <f t="shared" si="83"/>
        <v>728.85498584858817</v>
      </c>
      <c r="GZ74" s="60">
        <f ca="1">AVERAGE(OFFSET($GY$3,0,0,'Données projet'!$E$18+1,1))-AVERAGE(OFFSET($H$3,0,0,'Données projet'!$E$18+1,1))</f>
        <v>289.12367833861299</v>
      </c>
      <c r="HA74" s="60">
        <f t="shared" si="106"/>
        <v>229.06617320689003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2.7964164773312009E-6</v>
      </c>
      <c r="HJ74" s="24">
        <f t="shared" si="84"/>
        <v>2.7964164773312009E-6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0">
        <f t="shared" si="55"/>
        <v>792.32599235097587</v>
      </c>
      <c r="S75" s="60">
        <f ca="1">AVERAGE(OFFSET($R$3,0,0,'Données projet'!$E$9+1,1))-AVERAGE(OFFSET($H$3,0,0,'Données projet'!$E$9+1,1))</f>
        <v>430.11660085503223</v>
      </c>
      <c r="T75" s="60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1.2710188457276673E-13</v>
      </c>
      <c r="AK75" s="14">
        <f t="shared" si="89"/>
        <v>1.856866851063998E-12</v>
      </c>
      <c r="AL75" s="22">
        <f t="shared" si="58"/>
        <v>3.4554122145673649E-12</v>
      </c>
      <c r="AM75" s="60">
        <f t="shared" si="59"/>
        <v>293.33333333333678</v>
      </c>
      <c r="AN75" s="60">
        <f ca="1">AVERAGE(OFFSET($AM$3,0,0,'Données projet'!$E$10+1,1))-AVERAGE(OFFSET($H$3,0,0,'Données projet'!$E$10+1,1))</f>
        <v>323.98185264074681</v>
      </c>
      <c r="AO75" s="60">
        <f t="shared" si="90"/>
        <v>301.22207291854005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1.9423380395979801</v>
      </c>
      <c r="AV75" s="23">
        <f>EXP(-LN(2)/25)*AV74+(1-EXP(-LN(2)/25))/(LN(2)/25)*Calculateur!AQ75*Calculateur!AS75*VLOOKUP('Données projet'!$B$10,Paramètres!$A$1:$I$89,3,0)*0.475*44/12</f>
        <v>2.5738390219769101</v>
      </c>
      <c r="AW75" s="23">
        <f>EXP(-LN(2)/2)*AW74+(1-EXP(-LN(2)/2))/(LN(2)/2)*AQ75*AT75*VLOOKUP('Données projet'!$B$10,Paramètres!$A$1:$I$89,3,0)*0.475*44/12</f>
        <v>2.9028926752176383E-6</v>
      </c>
      <c r="AX75" s="23">
        <f t="shared" si="60"/>
        <v>4.5161799644675655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9.4</v>
      </c>
      <c r="BD75" s="13">
        <f>IF('Données projet'!$A$88&gt;35,BD74+BC75-BL74,IF(A75&lt;'Données projet'!$A$88,$BA$205^A75,IF(A75='Données projet'!$A$88,'Données projet'!$B$88,BD74+BC75-BL74)))</f>
        <v>334.7999999999999</v>
      </c>
      <c r="BE75" s="14">
        <f>BD75*VLOOKUP('Données projet'!$B$11,Paramètres!$A$1:$I$89,3,0)*VLOOKUP('Données projet'!$B$11,Paramètres!$A$1:$I$89,5,0)</f>
        <v>287.25839999999994</v>
      </c>
      <c r="BF75" s="14">
        <f t="shared" si="91"/>
        <v>68.498625255186852</v>
      </c>
      <c r="BG75" s="22">
        <f t="shared" si="61"/>
        <v>619.61015231945032</v>
      </c>
      <c r="BH75" s="60">
        <f t="shared" si="62"/>
        <v>912.94348565278369</v>
      </c>
      <c r="BI75" s="60">
        <f ca="1">AVERAGE(OFFSET($BH$3,0,0,'Données projet'!$E$11+1,1))-AVERAGE(OFFSET($H$3,0,0,'Données projet'!$E$11+1,1))</f>
        <v>556.75475431848258</v>
      </c>
      <c r="BJ75" s="60">
        <f t="shared" si="92"/>
        <v>256.77417912163997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3.4000000000000172</v>
      </c>
      <c r="BY75" s="13">
        <f>IF('Données projet'!$A$114&gt;35,BY74+BX75-CG74,IF(A75&lt;'Données projet'!$A$114,$BV$205^A75,IF(A75='Données projet'!$A$114,'Données projet'!$B$114,BY74+BX75-CG74)))</f>
        <v>259.50000000000017</v>
      </c>
      <c r="BZ75" s="14">
        <f>BY75*VLOOKUP('Données projet'!$B$12,Paramètres!$A$1:$I$89,3,0)*VLOOKUP('Données projet'!$B$12,Paramètres!$A$1:$I$89,5,0)</f>
        <v>190.26540000000011</v>
      </c>
      <c r="CA75" s="14">
        <f t="shared" si="93"/>
        <v>47.598624255349414</v>
      </c>
      <c r="CB75" s="22">
        <f t="shared" si="64"/>
        <v>414.2798422447338</v>
      </c>
      <c r="CC75" s="60">
        <f t="shared" si="65"/>
        <v>707.61317557806706</v>
      </c>
      <c r="CD75" s="60">
        <f ca="1">AVERAGE(OFFSET($CC$3,0,0,'Données projet'!$E$12+1,1))-AVERAGE(OFFSET($H$3,0,0,'Données projet'!$E$12+1,1))</f>
        <v>290.68086183422963</v>
      </c>
      <c r="CE75" s="60">
        <f t="shared" si="94"/>
        <v>317.88330630101785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</v>
      </c>
      <c r="CT75" s="13">
        <f>IF('Données projet'!$A$140&gt;35,CT74+CS75-DB74,IF(A75&lt;'Données projet'!$A$140,$CQ$205^A75,IF(A75='Données projet'!$A$140,'Données projet'!$B$140,CT74+CS75-DB74)))</f>
        <v>213.00000000000014</v>
      </c>
      <c r="CU75" s="18">
        <f>CT75*VLOOKUP('Données projet'!$B$13,Paramètres!$A$1:$I$89,3,0)*VLOOKUP('Données projet'!$B$13,Paramètres!$A$1:$I$89,5,0)</f>
        <v>139.55760000000009</v>
      </c>
      <c r="CV75" s="14">
        <f t="shared" si="95"/>
        <v>36.195639206392954</v>
      </c>
      <c r="CW75" s="22">
        <f t="shared" si="67"/>
        <v>306.10355828446791</v>
      </c>
      <c r="CX75" s="60">
        <f t="shared" si="68"/>
        <v>599.43689161780117</v>
      </c>
      <c r="CY75" s="60">
        <f ca="1">AVERAGE(OFFSET($CX$3,0,0,'Données projet'!$E$13+1,1))-AVERAGE(OFFSET($H$3,0,0,'Données projet'!$E$13+1,1))</f>
        <v>243.04319555814601</v>
      </c>
      <c r="CZ75" s="60">
        <f t="shared" si="96"/>
        <v>235.68746142880792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0" t="e">
        <f t="shared" si="71"/>
        <v>#NUM!</v>
      </c>
      <c r="DT75" s="60">
        <f ca="1">AVERAGE(OFFSET($DS$3,0,0,'Données projet'!$E$14+1,1))-AVERAGE(OFFSET($H$3,0,0,'Données projet'!$E$14+1,1))</f>
        <v>201.4732637505823</v>
      </c>
      <c r="DU75" s="60">
        <f t="shared" si="98"/>
        <v>342.06887933351783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2.8752780085453065</v>
      </c>
      <c r="EB75" s="23">
        <f>EXP(-LN(2)/25)*EB74+(1-EXP(-LN(2)/25))/(LN(2)/25)*Calculateur!DW75*Calculateur!DY75*VLOOKUP('Données projet'!$B$14,Paramètres!$A$1:$I$89,3,0)*0.475*44/12</f>
        <v>8.2520734610994619</v>
      </c>
      <c r="EC75" s="23">
        <f>EXP(-LN(2)/2)*EC74+(1-EXP(-LN(2)/2))/(LN(2)/2)*DW75*DZ75*VLOOKUP('Données projet'!$B$14,Paramètres!$A$1:$I$89,3,0)*0.475*44/12</f>
        <v>6.3882622933349539E-6</v>
      </c>
      <c r="ED75" s="24">
        <f t="shared" si="72"/>
        <v>11.127357857907061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-3.4106051316484809E-13</v>
      </c>
      <c r="EK75" s="18">
        <f>EJ75*VLOOKUP('Données projet'!$B$15,Paramètres!$A$1:$I$89,3,0)*VLOOKUP('Données projet'!$B$15,Paramètres!$A$1:$I$89,5,0)</f>
        <v>-2.0395418687257919E-13</v>
      </c>
      <c r="EL75" s="14" t="e">
        <f t="shared" si="99"/>
        <v>#NUM!</v>
      </c>
      <c r="EM75" s="22" t="e">
        <f t="shared" si="73"/>
        <v>#NUM!</v>
      </c>
      <c r="EN75" s="60" t="e">
        <f t="shared" si="74"/>
        <v>#NUM!</v>
      </c>
      <c r="EO75" s="60">
        <f ca="1">AVERAGE(OFFSET($EN$3,0,0,'Données projet'!$E$15+1,1))-AVERAGE(OFFSET($H$3,0,0,'Données projet'!$E$15+1,1))</f>
        <v>260.01925143568263</v>
      </c>
      <c r="EP75" s="60">
        <f t="shared" si="100"/>
        <v>269.95358755269427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6.1858882285093193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6.1858882285093193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-1.1368683772161603E-13</v>
      </c>
      <c r="FF75" s="18">
        <f>FE75*VLOOKUP('Données projet'!$B$16,Paramètres!$A$1:$I$89,3,0)*VLOOKUP('Données projet'!$B$16,Paramètres!$A$1:$I$89,5,0)</f>
        <v>-9.2222762759774927E-14</v>
      </c>
      <c r="FG75" s="14" t="e">
        <f t="shared" si="101"/>
        <v>#NUM!</v>
      </c>
      <c r="FH75" s="22" t="e">
        <f t="shared" si="76"/>
        <v>#NUM!</v>
      </c>
      <c r="FI75" s="60" t="e">
        <f t="shared" si="77"/>
        <v>#NUM!</v>
      </c>
      <c r="FJ75" s="60">
        <f ca="1">AVERAGE(OFFSET($FI$3,0,0,'Données projet'!$E$16+1,1))-AVERAGE(OFFSET($H$3,0,0,'Données projet'!$E$16+1,1))</f>
        <v>256.19915261735281</v>
      </c>
      <c r="FK75" s="60">
        <f t="shared" si="102"/>
        <v>297.47246687305056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5.5269230769230742</v>
      </c>
      <c r="FZ75" s="13">
        <f>IF('Données projet'!$A$244&gt;35,FZ74+FY75-GH74,IF(A75&lt;'Données projet'!$A$244,$FW$205^A75,IF(A75='Données projet'!$A$244,'Données projet'!$B$244,FZ74+FY75-GH74)))</f>
        <v>260.23076923076923</v>
      </c>
      <c r="GA75" s="18">
        <f>FZ75*VLOOKUP('Données projet'!$B$17,Paramètres!$A$1:$I$89,3,0)*VLOOKUP('Données projet'!$B$17,Paramètres!$A$1:$I$89,5,0)</f>
        <v>148.852</v>
      </c>
      <c r="GB75" s="14">
        <f t="shared" si="103"/>
        <v>38.31758196372104</v>
      </c>
      <c r="GC75" s="22">
        <f t="shared" si="79"/>
        <v>325.98702192014747</v>
      </c>
      <c r="GD75" s="60">
        <f t="shared" si="80"/>
        <v>619.32035525348078</v>
      </c>
      <c r="GE75" s="60">
        <f ca="1">AVERAGE(OFFSET($GD$3,0,0,'Données projet'!$E$17+1,1))-AVERAGE(OFFSET($H$3,0,0,'Données projet'!$E$17+1,1))</f>
        <v>268.71641789629319</v>
      </c>
      <c r="GF75" s="60">
        <f t="shared" si="104"/>
        <v>199.94048514486104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0.65530995154164484</v>
      </c>
      <c r="GN75" s="23">
        <f>EXP(-LN(2)/2)*GN74+(1-EXP(-LN(2)/2))/(LN(2)/2)*GH75*GK75*VLOOKUP('Données projet'!$B$17,Paramètres!$A$1:$I$89,3,0)*0.475*44/12</f>
        <v>3.3262802457762774E-6</v>
      </c>
      <c r="GO75" s="23">
        <f t="shared" si="81"/>
        <v>0.65531327782189064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7.5584615384615343</v>
      </c>
      <c r="GU75" s="13">
        <f>IF('Données projet'!$A$270&gt;35,GU74+GT75-HC74,IF(A75&lt;'Données projet'!$A$270,$GR$205^A75,IF(A75='Données projet'!$A$270,'Données projet'!$B$270,GU74+GT75-HC74)))</f>
        <v>342.43999999999977</v>
      </c>
      <c r="GV75" s="18">
        <f>GU75*VLOOKUP('Données projet'!$B$18,Paramètres!$A$1:$I$89,3,0)*VLOOKUP('Données projet'!$B$18,Paramètres!$A$1:$I$89,5,0)</f>
        <v>204.77911999999986</v>
      </c>
      <c r="GW75" s="14">
        <f t="shared" si="105"/>
        <v>50.79302579334589</v>
      </c>
      <c r="GX75" s="22">
        <f t="shared" si="82"/>
        <v>445.12148725674388</v>
      </c>
      <c r="GY75" s="60">
        <f t="shared" si="83"/>
        <v>738.45482059007713</v>
      </c>
      <c r="GZ75" s="60">
        <f ca="1">AVERAGE(OFFSET($GY$3,0,0,'Données projet'!$E$18+1,1))-AVERAGE(OFFSET($H$3,0,0,'Données projet'!$E$18+1,1))</f>
        <v>289.12367833861299</v>
      </c>
      <c r="HA75" s="60">
        <f t="shared" si="106"/>
        <v>229.06617320689003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1.9773650541426895E-6</v>
      </c>
      <c r="HJ75" s="24">
        <f t="shared" si="84"/>
        <v>1.9773650541426895E-6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0">
        <f t="shared" si="55"/>
        <v>804.20573563651237</v>
      </c>
      <c r="S76" s="60">
        <f ca="1">AVERAGE(OFFSET($R$3,0,0,'Données projet'!$E$9+1,1))-AVERAGE(OFFSET($H$3,0,0,'Données projet'!$E$9+1,1))</f>
        <v>430.11660085503223</v>
      </c>
      <c r="T76" s="60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1.2710188457276673E-13</v>
      </c>
      <c r="AK76" s="14">
        <f t="shared" si="89"/>
        <v>1.856866851063998E-12</v>
      </c>
      <c r="AL76" s="22">
        <f t="shared" si="58"/>
        <v>3.4554122145673649E-12</v>
      </c>
      <c r="AM76" s="60">
        <f t="shared" si="59"/>
        <v>293.33333333333678</v>
      </c>
      <c r="AN76" s="60">
        <f ca="1">AVERAGE(OFFSET($AM$3,0,0,'Données projet'!$E$10+1,1))-AVERAGE(OFFSET($H$3,0,0,'Données projet'!$E$10+1,1))</f>
        <v>323.98185264074681</v>
      </c>
      <c r="AO76" s="60">
        <f t="shared" si="90"/>
        <v>301.22207291854005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1.9042499753506876</v>
      </c>
      <c r="AV76" s="23">
        <f>EXP(-LN(2)/25)*AV75+(1-EXP(-LN(2)/25))/(LN(2)/25)*Calculateur!AQ76*Calculateur!AS76*VLOOKUP('Données projet'!$B$10,Paramètres!$A$1:$I$89,3,0)*0.475*44/12</f>
        <v>2.5034572585686399</v>
      </c>
      <c r="AW76" s="23">
        <f>EXP(-LN(2)/2)*AW75+(1-EXP(-LN(2)/2))/(LN(2)/2)*AQ76*AT76*VLOOKUP('Données projet'!$B$10,Paramètres!$A$1:$I$89,3,0)*0.475*44/12</f>
        <v>2.0526550957031501E-6</v>
      </c>
      <c r="AX76" s="23">
        <f t="shared" si="60"/>
        <v>4.4077092865744234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9.4</v>
      </c>
      <c r="BD76" s="13">
        <f>IF('Données projet'!$A$88&gt;35,BD75+BC76-BL75,IF(A76&lt;'Données projet'!$A$88,$BA$205^A76,IF(A76='Données projet'!$A$88,'Données projet'!$B$88,BD75+BC76-BL75)))</f>
        <v>344.19999999999987</v>
      </c>
      <c r="BE76" s="14">
        <f>BD76*VLOOKUP('Données projet'!$B$11,Paramètres!$A$1:$I$89,3,0)*VLOOKUP('Données projet'!$B$11,Paramètres!$A$1:$I$89,5,0)</f>
        <v>295.32359999999994</v>
      </c>
      <c r="BF76" s="14">
        <f t="shared" si="91"/>
        <v>70.195215813509961</v>
      </c>
      <c r="BG76" s="22">
        <f t="shared" si="61"/>
        <v>636.61193754186297</v>
      </c>
      <c r="BH76" s="60">
        <f t="shared" si="62"/>
        <v>929.94527087519623</v>
      </c>
      <c r="BI76" s="60">
        <f ca="1">AVERAGE(OFFSET($BH$3,0,0,'Données projet'!$E$11+1,1))-AVERAGE(OFFSET($H$3,0,0,'Données projet'!$E$11+1,1))</f>
        <v>556.75475431848258</v>
      </c>
      <c r="BJ76" s="60">
        <f t="shared" si="92"/>
        <v>256.77417912163997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3.4000000000000172</v>
      </c>
      <c r="BY76" s="13">
        <f>IF('Données projet'!$A$114&gt;35,BY75+BX76-CG75,IF(A76&lt;'Données projet'!$A$114,$BV$205^A76,IF(A76='Données projet'!$A$114,'Données projet'!$B$114,BY75+BX76-CG75)))</f>
        <v>262.9000000000002</v>
      </c>
      <c r="BZ76" s="14">
        <f>BY76*VLOOKUP('Données projet'!$B$12,Paramètres!$A$1:$I$89,3,0)*VLOOKUP('Données projet'!$B$12,Paramètres!$A$1:$I$89,5,0)</f>
        <v>192.75828000000016</v>
      </c>
      <c r="CA76" s="14">
        <f t="shared" si="93"/>
        <v>48.149256922008618</v>
      </c>
      <c r="CB76" s="22">
        <f t="shared" si="64"/>
        <v>419.58062680583197</v>
      </c>
      <c r="CC76" s="60">
        <f t="shared" si="65"/>
        <v>712.91396013916528</v>
      </c>
      <c r="CD76" s="60">
        <f ca="1">AVERAGE(OFFSET($CC$3,0,0,'Données projet'!$E$12+1,1))-AVERAGE(OFFSET($H$3,0,0,'Données projet'!$E$12+1,1))</f>
        <v>290.68086183422963</v>
      </c>
      <c r="CE76" s="60">
        <f t="shared" si="94"/>
        <v>317.88330630101785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</v>
      </c>
      <c r="CT76" s="13">
        <f>IF('Données projet'!$A$140&gt;35,CT75+CS76-DB75,IF(A76&lt;'Données projet'!$A$140,$CQ$205^A76,IF(A76='Données projet'!$A$140,'Données projet'!$B$140,CT75+CS76-DB75)))</f>
        <v>217.00000000000014</v>
      </c>
      <c r="CU76" s="18">
        <f>CT76*VLOOKUP('Données projet'!$B$13,Paramètres!$A$1:$I$89,3,0)*VLOOKUP('Données projet'!$B$13,Paramètres!$A$1:$I$89,5,0)</f>
        <v>142.1784000000001</v>
      </c>
      <c r="CV76" s="14">
        <f t="shared" si="95"/>
        <v>36.795597013009385</v>
      </c>
      <c r="CW76" s="22">
        <f t="shared" si="67"/>
        <v>311.71304479765814</v>
      </c>
      <c r="CX76" s="60">
        <f t="shared" si="68"/>
        <v>605.04637813099146</v>
      </c>
      <c r="CY76" s="60">
        <f ca="1">AVERAGE(OFFSET($CX$3,0,0,'Données projet'!$E$13+1,1))-AVERAGE(OFFSET($H$3,0,0,'Données projet'!$E$13+1,1))</f>
        <v>243.04319555814601</v>
      </c>
      <c r="CZ76" s="60">
        <f t="shared" si="96"/>
        <v>235.68746142880792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0" t="e">
        <f t="shared" si="71"/>
        <v>#NUM!</v>
      </c>
      <c r="DT76" s="60">
        <f ca="1">AVERAGE(OFFSET($DS$3,0,0,'Données projet'!$E$14+1,1))-AVERAGE(OFFSET($H$3,0,0,'Données projet'!$E$14+1,1))</f>
        <v>201.4732637505823</v>
      </c>
      <c r="DU76" s="60">
        <f t="shared" si="98"/>
        <v>342.06887933351783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2.8188955605441501</v>
      </c>
      <c r="EB76" s="23">
        <f>EXP(-LN(2)/25)*EB75+(1-EXP(-LN(2)/25))/(LN(2)/25)*Calculateur!DW76*Calculateur!DY76*VLOOKUP('Données projet'!$B$14,Paramètres!$A$1:$I$89,3,0)*0.475*44/12</f>
        <v>8.0264200783480142</v>
      </c>
      <c r="EC76" s="23">
        <f>EXP(-LN(2)/2)*EC75+(1-EXP(-LN(2)/2))/(LN(2)/2)*DW76*DZ76*VLOOKUP('Données projet'!$B$14,Paramètres!$A$1:$I$89,3,0)*0.475*44/12</f>
        <v>4.5171835876154715E-6</v>
      </c>
      <c r="ED76" s="24">
        <f t="shared" si="72"/>
        <v>10.845320156075751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-3.4106051316484809E-13</v>
      </c>
      <c r="EK76" s="18">
        <f>EJ76*VLOOKUP('Données projet'!$B$15,Paramètres!$A$1:$I$89,3,0)*VLOOKUP('Données projet'!$B$15,Paramètres!$A$1:$I$89,5,0)</f>
        <v>-2.0395418687257919E-13</v>
      </c>
      <c r="EL76" s="14" t="e">
        <f t="shared" si="99"/>
        <v>#NUM!</v>
      </c>
      <c r="EM76" s="22" t="e">
        <f t="shared" si="73"/>
        <v>#NUM!</v>
      </c>
      <c r="EN76" s="60" t="e">
        <f t="shared" si="74"/>
        <v>#NUM!</v>
      </c>
      <c r="EO76" s="60">
        <f ca="1">AVERAGE(OFFSET($EN$3,0,0,'Données projet'!$E$15+1,1))-AVERAGE(OFFSET($H$3,0,0,'Données projet'!$E$15+1,1))</f>
        <v>260.01925143568263</v>
      </c>
      <c r="EP76" s="60">
        <f t="shared" si="100"/>
        <v>269.95358755269427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6.0645867333675163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6.0645867333675163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-1.1368683772161603E-13</v>
      </c>
      <c r="FF76" s="18">
        <f>FE76*VLOOKUP('Données projet'!$B$16,Paramètres!$A$1:$I$89,3,0)*VLOOKUP('Données projet'!$B$16,Paramètres!$A$1:$I$89,5,0)</f>
        <v>-9.2222762759774927E-14</v>
      </c>
      <c r="FG76" s="14" t="e">
        <f t="shared" si="101"/>
        <v>#NUM!</v>
      </c>
      <c r="FH76" s="22" t="e">
        <f t="shared" si="76"/>
        <v>#NUM!</v>
      </c>
      <c r="FI76" s="60" t="e">
        <f t="shared" si="77"/>
        <v>#NUM!</v>
      </c>
      <c r="FJ76" s="60">
        <f ca="1">AVERAGE(OFFSET($FI$3,0,0,'Données projet'!$E$16+1,1))-AVERAGE(OFFSET($H$3,0,0,'Données projet'!$E$16+1,1))</f>
        <v>256.19915261735281</v>
      </c>
      <c r="FK76" s="60">
        <f t="shared" si="102"/>
        <v>297.47246687305056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5.5269230769230742</v>
      </c>
      <c r="FZ76" s="13">
        <f>IF('Données projet'!$A$244&gt;35,FZ75+FY76-GH75,IF(A76&lt;'Données projet'!$A$244,$FW$205^A76,IF(A76='Données projet'!$A$244,'Données projet'!$B$244,FZ75+FY76-GH75)))</f>
        <v>265.75769230769231</v>
      </c>
      <c r="GA76" s="18">
        <f>FZ76*VLOOKUP('Données projet'!$B$17,Paramètres!$A$1:$I$89,3,0)*VLOOKUP('Données projet'!$B$17,Paramètres!$A$1:$I$89,5,0)</f>
        <v>152.01339999999999</v>
      </c>
      <c r="GB76" s="14">
        <f t="shared" si="103"/>
        <v>39.035782328959904</v>
      </c>
      <c r="GC76" s="22">
        <f t="shared" si="79"/>
        <v>332.74399255627179</v>
      </c>
      <c r="GD76" s="60">
        <f t="shared" si="80"/>
        <v>626.07732588960516</v>
      </c>
      <c r="GE76" s="60">
        <f ca="1">AVERAGE(OFFSET($GD$3,0,0,'Données projet'!$E$17+1,1))-AVERAGE(OFFSET($H$3,0,0,'Données projet'!$E$17+1,1))</f>
        <v>268.71641789629319</v>
      </c>
      <c r="GF76" s="60">
        <f t="shared" si="104"/>
        <v>199.94048514486104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0.63739046645548592</v>
      </c>
      <c r="GN76" s="23">
        <f>EXP(-LN(2)/2)*GN75+(1-EXP(-LN(2)/2))/(LN(2)/2)*GH76*GK76*VLOOKUP('Données projet'!$B$17,Paramètres!$A$1:$I$89,3,0)*0.475*44/12</f>
        <v>2.3520353179152617E-6</v>
      </c>
      <c r="GO76" s="23">
        <f t="shared" si="81"/>
        <v>0.63739281849080387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7.5584615384615343</v>
      </c>
      <c r="GU76" s="13">
        <f>IF('Données projet'!$A$270&gt;35,GU75+GT76-HC75,IF(A76&lt;'Données projet'!$A$270,$GR$205^A76,IF(A76='Données projet'!$A$270,'Données projet'!$B$270,GU75+GT76-HC75)))</f>
        <v>349.9984615384613</v>
      </c>
      <c r="GV76" s="18">
        <f>GU76*VLOOKUP('Données projet'!$B$18,Paramètres!$A$1:$I$89,3,0)*VLOOKUP('Données projet'!$B$18,Paramètres!$A$1:$I$89,5,0)</f>
        <v>209.29907999999986</v>
      </c>
      <c r="GW76" s="14">
        <f t="shared" si="105"/>
        <v>51.782387252616175</v>
      </c>
      <c r="GX76" s="22">
        <f t="shared" si="82"/>
        <v>454.71688879830623</v>
      </c>
      <c r="GY76" s="60">
        <f t="shared" si="83"/>
        <v>748.05022213163954</v>
      </c>
      <c r="GZ76" s="60">
        <f ca="1">AVERAGE(OFFSET($GY$3,0,0,'Données projet'!$E$18+1,1))-AVERAGE(OFFSET($H$3,0,0,'Données projet'!$E$18+1,1))</f>
        <v>289.12367833861299</v>
      </c>
      <c r="HA76" s="60">
        <f t="shared" si="106"/>
        <v>229.06617320689003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1.3982082386656004E-6</v>
      </c>
      <c r="HJ76" s="24">
        <f t="shared" si="84"/>
        <v>1.3982082386656004E-6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0">
        <f t="shared" si="55"/>
        <v>816.07964482540729</v>
      </c>
      <c r="S77" s="60">
        <f ca="1">AVERAGE(OFFSET($R$3,0,0,'Données projet'!$E$9+1,1))-AVERAGE(OFFSET($H$3,0,0,'Données projet'!$E$9+1,1))</f>
        <v>430.11660085503223</v>
      </c>
      <c r="T77" s="60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1.2710188457276673E-13</v>
      </c>
      <c r="AK77" s="14">
        <f t="shared" si="89"/>
        <v>1.856866851063998E-12</v>
      </c>
      <c r="AL77" s="22">
        <f t="shared" si="58"/>
        <v>3.4554122145673649E-12</v>
      </c>
      <c r="AM77" s="60">
        <f t="shared" si="59"/>
        <v>293.33333333333678</v>
      </c>
      <c r="AN77" s="60">
        <f ca="1">AVERAGE(OFFSET($AM$3,0,0,'Données projet'!$E$10+1,1))-AVERAGE(OFFSET($H$3,0,0,'Données projet'!$E$10+1,1))</f>
        <v>323.98185264074681</v>
      </c>
      <c r="AO77" s="60">
        <f t="shared" si="90"/>
        <v>301.22207291854005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1.8669087948118592</v>
      </c>
      <c r="AV77" s="23">
        <f>EXP(-LN(2)/25)*AV76+(1-EXP(-LN(2)/25))/(LN(2)/25)*Calculateur!AQ77*Calculateur!AS77*VLOOKUP('Données projet'!$B$10,Paramètres!$A$1:$I$89,3,0)*0.475*44/12</f>
        <v>2.4350000881819849</v>
      </c>
      <c r="AW77" s="23">
        <f>EXP(-LN(2)/2)*AW76+(1-EXP(-LN(2)/2))/(LN(2)/2)*AQ77*AT77*VLOOKUP('Données projet'!$B$10,Paramètres!$A$1:$I$89,3,0)*0.475*44/12</f>
        <v>1.4514463376088192E-6</v>
      </c>
      <c r="AX77" s="23">
        <f t="shared" si="60"/>
        <v>4.3019103344401817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9.4</v>
      </c>
      <c r="BD77" s="13">
        <f>IF('Données projet'!$A$88&gt;35,BD76+BC77-BL76,IF(A77&lt;'Données projet'!$A$88,$BA$205^A77,IF(A77='Données projet'!$A$88,'Données projet'!$B$88,BD76+BC77-BL76)))</f>
        <v>353.59999999999985</v>
      </c>
      <c r="BE77" s="14">
        <f>BD77*VLOOKUP('Données projet'!$B$11,Paramètres!$A$1:$I$89,3,0)*VLOOKUP('Données projet'!$B$11,Paramètres!$A$1:$I$89,5,0)</f>
        <v>303.38879999999989</v>
      </c>
      <c r="BF77" s="14">
        <f t="shared" si="91"/>
        <v>71.88642102141435</v>
      </c>
      <c r="BG77" s="22">
        <f t="shared" si="61"/>
        <v>653.60434327896314</v>
      </c>
      <c r="BH77" s="60">
        <f t="shared" si="62"/>
        <v>946.9376766122964</v>
      </c>
      <c r="BI77" s="60">
        <f ca="1">AVERAGE(OFFSET($BH$3,0,0,'Données projet'!$E$11+1,1))-AVERAGE(OFFSET($H$3,0,0,'Données projet'!$E$11+1,1))</f>
        <v>556.75475431848258</v>
      </c>
      <c r="BJ77" s="60">
        <f t="shared" si="92"/>
        <v>256.77417912163997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3.4000000000000172</v>
      </c>
      <c r="BY77" s="13">
        <f>IF('Données projet'!$A$114&gt;35,BY76+BX77-CG76,IF(A77&lt;'Données projet'!$A$114,$BV$205^A77,IF(A77='Données projet'!$A$114,'Données projet'!$B$114,BY76+BX77-CG76)))</f>
        <v>266.30000000000024</v>
      </c>
      <c r="BZ77" s="14">
        <f>BY77*VLOOKUP('Données projet'!$B$12,Paramètres!$A$1:$I$89,3,0)*VLOOKUP('Données projet'!$B$12,Paramètres!$A$1:$I$89,5,0)</f>
        <v>195.25116000000017</v>
      </c>
      <c r="CA77" s="14">
        <f t="shared" si="93"/>
        <v>48.699061285654452</v>
      </c>
      <c r="CB77" s="22">
        <f t="shared" si="64"/>
        <v>424.87996873918178</v>
      </c>
      <c r="CC77" s="60">
        <f t="shared" si="65"/>
        <v>718.21330207251503</v>
      </c>
      <c r="CD77" s="60">
        <f ca="1">AVERAGE(OFFSET($CC$3,0,0,'Données projet'!$E$12+1,1))-AVERAGE(OFFSET($H$3,0,0,'Données projet'!$E$12+1,1))</f>
        <v>290.68086183422963</v>
      </c>
      <c r="CE77" s="60">
        <f t="shared" si="94"/>
        <v>317.88330630101785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</v>
      </c>
      <c r="CT77" s="13">
        <f>IF('Données projet'!$A$140&gt;35,CT76+CS77-DB76,IF(A77&lt;'Données projet'!$A$140,$CQ$205^A77,IF(A77='Données projet'!$A$140,'Données projet'!$B$140,CT76+CS77-DB76)))</f>
        <v>221.00000000000014</v>
      </c>
      <c r="CU77" s="18">
        <f>CT77*VLOOKUP('Données projet'!$B$13,Paramètres!$A$1:$I$89,3,0)*VLOOKUP('Données projet'!$B$13,Paramètres!$A$1:$I$89,5,0)</f>
        <v>144.79920000000007</v>
      </c>
      <c r="CV77" s="14">
        <f t="shared" si="95"/>
        <v>37.394268839921317</v>
      </c>
      <c r="CW77" s="22">
        <f t="shared" si="67"/>
        <v>317.32029156286308</v>
      </c>
      <c r="CX77" s="60">
        <f t="shared" si="68"/>
        <v>610.65362489619633</v>
      </c>
      <c r="CY77" s="60">
        <f ca="1">AVERAGE(OFFSET($CX$3,0,0,'Données projet'!$E$13+1,1))-AVERAGE(OFFSET($H$3,0,0,'Données projet'!$E$13+1,1))</f>
        <v>243.04319555814601</v>
      </c>
      <c r="CZ77" s="60">
        <f t="shared" si="96"/>
        <v>235.68746142880792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0" t="e">
        <f t="shared" si="71"/>
        <v>#NUM!</v>
      </c>
      <c r="DT77" s="60">
        <f ca="1">AVERAGE(OFFSET($DS$3,0,0,'Données projet'!$E$14+1,1))-AVERAGE(OFFSET($H$3,0,0,'Données projet'!$E$14+1,1))</f>
        <v>201.4732637505823</v>
      </c>
      <c r="DU77" s="60">
        <f t="shared" si="98"/>
        <v>342.06887933351783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2.763618737958399</v>
      </c>
      <c r="EB77" s="23">
        <f>EXP(-LN(2)/25)*EB76+(1-EXP(-LN(2)/25))/(LN(2)/25)*Calculateur!DW77*Calculateur!DY77*VLOOKUP('Données projet'!$B$14,Paramètres!$A$1:$I$89,3,0)*0.475*44/12</f>
        <v>7.8069371992145005</v>
      </c>
      <c r="EC77" s="23">
        <f>EXP(-LN(2)/2)*EC76+(1-EXP(-LN(2)/2))/(LN(2)/2)*DW77*DZ77*VLOOKUP('Données projet'!$B$14,Paramètres!$A$1:$I$89,3,0)*0.475*44/12</f>
        <v>3.1941311466674769E-6</v>
      </c>
      <c r="ED77" s="24">
        <f t="shared" si="72"/>
        <v>10.570559131304046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-3.4106051316484809E-13</v>
      </c>
      <c r="EK77" s="18">
        <f>EJ77*VLOOKUP('Données projet'!$B$15,Paramètres!$A$1:$I$89,3,0)*VLOOKUP('Données projet'!$B$15,Paramètres!$A$1:$I$89,5,0)</f>
        <v>-2.0395418687257919E-13</v>
      </c>
      <c r="EL77" s="14" t="e">
        <f t="shared" si="99"/>
        <v>#NUM!</v>
      </c>
      <c r="EM77" s="22" t="e">
        <f t="shared" si="73"/>
        <v>#NUM!</v>
      </c>
      <c r="EN77" s="60" t="e">
        <f t="shared" si="74"/>
        <v>#NUM!</v>
      </c>
      <c r="EO77" s="60">
        <f ca="1">AVERAGE(OFFSET($EN$3,0,0,'Données projet'!$E$15+1,1))-AVERAGE(OFFSET($H$3,0,0,'Données projet'!$E$15+1,1))</f>
        <v>260.01925143568263</v>
      </c>
      <c r="EP77" s="60">
        <f t="shared" si="100"/>
        <v>269.95358755269427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5.9456638865588376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5.9456638865588376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-1.1368683772161603E-13</v>
      </c>
      <c r="FF77" s="18">
        <f>FE77*VLOOKUP('Données projet'!$B$16,Paramètres!$A$1:$I$89,3,0)*VLOOKUP('Données projet'!$B$16,Paramètres!$A$1:$I$89,5,0)</f>
        <v>-9.2222762759774927E-14</v>
      </c>
      <c r="FG77" s="14" t="e">
        <f t="shared" si="101"/>
        <v>#NUM!</v>
      </c>
      <c r="FH77" s="22" t="e">
        <f t="shared" si="76"/>
        <v>#NUM!</v>
      </c>
      <c r="FI77" s="60" t="e">
        <f t="shared" si="77"/>
        <v>#NUM!</v>
      </c>
      <c r="FJ77" s="60">
        <f ca="1">AVERAGE(OFFSET($FI$3,0,0,'Données projet'!$E$16+1,1))-AVERAGE(OFFSET($H$3,0,0,'Données projet'!$E$16+1,1))</f>
        <v>256.19915261735281</v>
      </c>
      <c r="FK77" s="60">
        <f t="shared" si="102"/>
        <v>297.47246687305056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5.5269230769230742</v>
      </c>
      <c r="FZ77" s="13">
        <f>IF('Données projet'!$A$244&gt;35,FZ76+FY77-GH76,IF(A77&lt;'Données projet'!$A$244,$FW$205^A77,IF(A77='Données projet'!$A$244,'Données projet'!$B$244,FZ76+FY77-GH76)))</f>
        <v>271.28461538461539</v>
      </c>
      <c r="GA77" s="18">
        <f>FZ77*VLOOKUP('Données projet'!$B$17,Paramètres!$A$1:$I$89,3,0)*VLOOKUP('Données projet'!$B$17,Paramètres!$A$1:$I$89,5,0)</f>
        <v>155.1748</v>
      </c>
      <c r="GB77" s="14">
        <f t="shared" si="103"/>
        <v>39.752246078522674</v>
      </c>
      <c r="GC77" s="22">
        <f t="shared" si="79"/>
        <v>339.49793858676031</v>
      </c>
      <c r="GD77" s="60">
        <f t="shared" si="80"/>
        <v>632.83127192009363</v>
      </c>
      <c r="GE77" s="60">
        <f ca="1">AVERAGE(OFFSET($GD$3,0,0,'Données projet'!$E$17+1,1))-AVERAGE(OFFSET($H$3,0,0,'Données projet'!$E$17+1,1))</f>
        <v>268.71641789629319</v>
      </c>
      <c r="GF77" s="60">
        <f t="shared" si="104"/>
        <v>199.94048514486104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0.61996099063135279</v>
      </c>
      <c r="GN77" s="23">
        <f>EXP(-LN(2)/2)*GN76+(1-EXP(-LN(2)/2))/(LN(2)/2)*GH77*GK77*VLOOKUP('Données projet'!$B$17,Paramètres!$A$1:$I$89,3,0)*0.475*44/12</f>
        <v>1.6631401228881387E-6</v>
      </c>
      <c r="GO77" s="23">
        <f t="shared" si="81"/>
        <v>0.61996265377147564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7.5584615384615343</v>
      </c>
      <c r="GU77" s="13">
        <f>IF('Données projet'!$A$270&gt;35,GU76+GT77-HC76,IF(A77&lt;'Données projet'!$A$270,$GR$205^A77,IF(A77='Données projet'!$A$270,'Données projet'!$B$270,GU76+GT77-HC76)))</f>
        <v>357.55692307692283</v>
      </c>
      <c r="GV77" s="18">
        <f>GU77*VLOOKUP('Données projet'!$B$18,Paramètres!$A$1:$I$89,3,0)*VLOOKUP('Données projet'!$B$18,Paramètres!$A$1:$I$89,5,0)</f>
        <v>213.81903999999986</v>
      </c>
      <c r="GW77" s="14">
        <f t="shared" si="105"/>
        <v>52.769264634128973</v>
      </c>
      <c r="GX77" s="22">
        <f t="shared" si="82"/>
        <v>464.30796390444101</v>
      </c>
      <c r="GY77" s="60">
        <f t="shared" si="83"/>
        <v>757.64129723777432</v>
      </c>
      <c r="GZ77" s="60">
        <f ca="1">AVERAGE(OFFSET($GY$3,0,0,'Données projet'!$E$18+1,1))-AVERAGE(OFFSET($H$3,0,0,'Données projet'!$E$18+1,1))</f>
        <v>289.12367833861299</v>
      </c>
      <c r="HA77" s="60">
        <f t="shared" si="106"/>
        <v>229.06617320689003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9.8868252707134473E-7</v>
      </c>
      <c r="HJ77" s="24">
        <f t="shared" si="84"/>
        <v>9.8868252707134473E-7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0">
        <f t="shared" si="55"/>
        <v>827.94787109652862</v>
      </c>
      <c r="S78" s="60">
        <f ca="1">AVERAGE(OFFSET($R$3,0,0,'Données projet'!$E$9+1,1))-AVERAGE(OFFSET($H$3,0,0,'Données projet'!$E$9+1,1))</f>
        <v>430.11660085503223</v>
      </c>
      <c r="T78" s="60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1.2710188457276673E-13</v>
      </c>
      <c r="AK78" s="14">
        <f t="shared" si="89"/>
        <v>1.856866851063998E-12</v>
      </c>
      <c r="AL78" s="22">
        <f t="shared" si="58"/>
        <v>3.4554122145673649E-12</v>
      </c>
      <c r="AM78" s="60">
        <f t="shared" si="59"/>
        <v>293.33333333333678</v>
      </c>
      <c r="AN78" s="60">
        <f ca="1">AVERAGE(OFFSET($AM$3,0,0,'Données projet'!$E$10+1,1))-AVERAGE(OFFSET($H$3,0,0,'Données projet'!$E$10+1,1))</f>
        <v>323.98185264074681</v>
      </c>
      <c r="AO78" s="60">
        <f t="shared" si="90"/>
        <v>301.22207291854005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1.830299852047526</v>
      </c>
      <c r="AV78" s="23">
        <f>EXP(-LN(2)/25)*AV77+(1-EXP(-LN(2)/25))/(LN(2)/25)*Calculateur!AQ78*Calculateur!AS78*VLOOKUP('Données projet'!$B$10,Paramètres!$A$1:$I$89,3,0)*0.475*44/12</f>
        <v>2.3684148827195592</v>
      </c>
      <c r="AW78" s="23">
        <f>EXP(-LN(2)/2)*AW77+(1-EXP(-LN(2)/2))/(LN(2)/2)*AQ78*AT78*VLOOKUP('Données projet'!$B$10,Paramètres!$A$1:$I$89,3,0)*0.475*44/12</f>
        <v>1.0263275478515751E-6</v>
      </c>
      <c r="AX78" s="23">
        <f t="shared" si="60"/>
        <v>4.1987157610946335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363</v>
      </c>
      <c r="BB78" s="13">
        <f>VLOOKUP(A78,'Données projet'!$A$87:$I$107,9,0)</f>
        <v>9.4</v>
      </c>
      <c r="BC78" s="13">
        <f t="array" ref="BC78">INDEX(BB:BB,MIN(IF(ISNUMBER(BB78:BB274),ROW(BB78:BB274),"")))</f>
        <v>9.4</v>
      </c>
      <c r="BD78" s="13">
        <f>IF('Données projet'!$A$88&gt;35,BD77+BC78-BL77,IF(A78&lt;'Données projet'!$A$88,$BA$205^A78,IF(A78='Données projet'!$A$88,'Données projet'!$B$88,BD77+BC78-BL77)))</f>
        <v>362.99999999999983</v>
      </c>
      <c r="BE78" s="14">
        <f>BD78*VLOOKUP('Données projet'!$B$11,Paramètres!$A$1:$I$89,3,0)*VLOOKUP('Données projet'!$B$11,Paramètres!$A$1:$I$89,5,0)</f>
        <v>311.45399999999989</v>
      </c>
      <c r="BF78" s="14">
        <f t="shared" si="91"/>
        <v>73.572400496659426</v>
      </c>
      <c r="BG78" s="22">
        <f t="shared" si="61"/>
        <v>670.58764753168168</v>
      </c>
      <c r="BH78" s="60">
        <f t="shared" si="62"/>
        <v>963.92098086501505</v>
      </c>
      <c r="BI78" s="60">
        <f ca="1">AVERAGE(OFFSET($BH$3,0,0,'Données projet'!$E$11+1,1))-AVERAGE(OFFSET($H$3,0,0,'Données projet'!$E$11+1,1))</f>
        <v>556.75475431848258</v>
      </c>
      <c r="BJ78" s="60">
        <f t="shared" si="92"/>
        <v>256.77417912163997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269.70000000000005</v>
      </c>
      <c r="BW78" s="13">
        <f>VLOOKUP(A78,'Données projet'!$A$113:$I$133,9,0)</f>
        <v>3.4000000000000172</v>
      </c>
      <c r="BX78" s="13">
        <f t="array" ref="BX78">INDEX(BW:BW,MIN(IF(ISNUMBER(BW78:BW274),ROW(BW78:BW274),"")))</f>
        <v>3.4000000000000172</v>
      </c>
      <c r="BY78" s="13">
        <f>IF('Données projet'!$A$114&gt;35,BY77+BX78-CG77,IF(A78&lt;'Données projet'!$A$114,$BV$205^A78,IF(A78='Données projet'!$A$114,'Données projet'!$B$114,BY77+BX78-CG77)))</f>
        <v>269.70000000000027</v>
      </c>
      <c r="BZ78" s="14">
        <f>BY78*VLOOKUP('Données projet'!$B$12,Paramètres!$A$1:$I$89,3,0)*VLOOKUP('Données projet'!$B$12,Paramètres!$A$1:$I$89,5,0)</f>
        <v>197.74404000000018</v>
      </c>
      <c r="CA78" s="14">
        <f t="shared" si="93"/>
        <v>49.248049144544709</v>
      </c>
      <c r="CB78" s="22">
        <f t="shared" si="64"/>
        <v>430.17788859341562</v>
      </c>
      <c r="CC78" s="60">
        <f t="shared" si="65"/>
        <v>723.51122192674893</v>
      </c>
      <c r="CD78" s="60">
        <f ca="1">AVERAGE(OFFSET($CC$3,0,0,'Données projet'!$E$12+1,1))-AVERAGE(OFFSET($H$3,0,0,'Données projet'!$E$12+1,1))</f>
        <v>290.68086183422963</v>
      </c>
      <c r="CE78" s="60">
        <f t="shared" si="94"/>
        <v>317.88330630101785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225</v>
      </c>
      <c r="CR78" s="13">
        <f>VLOOKUP(A78,'Données projet'!$A$139:$I$159,9,0)</f>
        <v>4</v>
      </c>
      <c r="CS78" s="13">
        <f t="array" ref="CS78">INDEX(CR:CR,MIN(IF(ISNUMBER(CR78:CR274),ROW(CR78:CR274),"")))</f>
        <v>4</v>
      </c>
      <c r="CT78" s="13">
        <f>IF('Données projet'!$A$140&gt;35,CT77+CS78-DB77,IF(A78&lt;'Données projet'!$A$140,$CQ$205^A78,IF(A78='Données projet'!$A$140,'Données projet'!$B$140,CT77+CS78-DB77)))</f>
        <v>225.00000000000014</v>
      </c>
      <c r="CU78" s="18">
        <f>CT78*VLOOKUP('Données projet'!$B$13,Paramètres!$A$1:$I$89,3,0)*VLOOKUP('Données projet'!$B$13,Paramètres!$A$1:$I$89,5,0)</f>
        <v>147.4200000000001</v>
      </c>
      <c r="CV78" s="14">
        <f t="shared" si="95"/>
        <v>37.991680647570327</v>
      </c>
      <c r="CW78" s="22">
        <f t="shared" si="67"/>
        <v>322.92534379451848</v>
      </c>
      <c r="CX78" s="60">
        <f t="shared" si="68"/>
        <v>616.2586771278518</v>
      </c>
      <c r="CY78" s="60">
        <f ca="1">AVERAGE(OFFSET($CX$3,0,0,'Données projet'!$E$13+1,1))-AVERAGE(OFFSET($H$3,0,0,'Données projet'!$E$13+1,1))</f>
        <v>243.04319555814601</v>
      </c>
      <c r="CZ78" s="60">
        <f t="shared" si="96"/>
        <v>235.68746142880792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33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0" t="e">
        <f t="shared" si="71"/>
        <v>#NUM!</v>
      </c>
      <c r="DT78" s="60">
        <f ca="1">AVERAGE(OFFSET($DS$3,0,0,'Données projet'!$E$14+1,1))-AVERAGE(OFFSET($H$3,0,0,'Données projet'!$E$14+1,1))</f>
        <v>201.4732637505823</v>
      </c>
      <c r="DU78" s="60">
        <f t="shared" si="98"/>
        <v>342.06887933351783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2.7094258601480217</v>
      </c>
      <c r="EB78" s="23">
        <f>EXP(-LN(2)/25)*EB77+(1-EXP(-LN(2)/25))/(LN(2)/25)*Calculateur!DW78*Calculateur!DY78*VLOOKUP('Données projet'!$B$14,Paramètres!$A$1:$I$89,3,0)*0.475*44/12</f>
        <v>7.593456090952996</v>
      </c>
      <c r="EC78" s="23">
        <f>EXP(-LN(2)/2)*EC77+(1-EXP(-LN(2)/2))/(LN(2)/2)*DW78*DZ78*VLOOKUP('Données projet'!$B$14,Paramètres!$A$1:$I$89,3,0)*0.475*44/12</f>
        <v>2.2585917938077357E-6</v>
      </c>
      <c r="ED78" s="24">
        <f t="shared" si="72"/>
        <v>10.302884209692811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-3.4106051316484809E-13</v>
      </c>
      <c r="EK78" s="18">
        <f>EJ78*VLOOKUP('Données projet'!$B$15,Paramètres!$A$1:$I$89,3,0)*VLOOKUP('Données projet'!$B$15,Paramètres!$A$1:$I$89,5,0)</f>
        <v>-2.0395418687257919E-13</v>
      </c>
      <c r="EL78" s="14" t="e">
        <f t="shared" si="99"/>
        <v>#NUM!</v>
      </c>
      <c r="EM78" s="22" t="e">
        <f t="shared" si="73"/>
        <v>#NUM!</v>
      </c>
      <c r="EN78" s="60" t="e">
        <f t="shared" si="74"/>
        <v>#NUM!</v>
      </c>
      <c r="EO78" s="60">
        <f ca="1">AVERAGE(OFFSET($EN$3,0,0,'Données projet'!$E$15+1,1))-AVERAGE(OFFSET($H$3,0,0,'Données projet'!$E$15+1,1))</f>
        <v>260.01925143568263</v>
      </c>
      <c r="EP78" s="60">
        <f t="shared" si="100"/>
        <v>269.95358755269427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5.8290730442403031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5.8290730442403031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-1.1368683772161603E-13</v>
      </c>
      <c r="FF78" s="18">
        <f>FE78*VLOOKUP('Données projet'!$B$16,Paramètres!$A$1:$I$89,3,0)*VLOOKUP('Données projet'!$B$16,Paramètres!$A$1:$I$89,5,0)</f>
        <v>-9.2222762759774927E-14</v>
      </c>
      <c r="FG78" s="14" t="e">
        <f t="shared" si="101"/>
        <v>#NUM!</v>
      </c>
      <c r="FH78" s="22" t="e">
        <f t="shared" si="76"/>
        <v>#NUM!</v>
      </c>
      <c r="FI78" s="60" t="e">
        <f t="shared" si="77"/>
        <v>#NUM!</v>
      </c>
      <c r="FJ78" s="60">
        <f ca="1">AVERAGE(OFFSET($FI$3,0,0,'Données projet'!$E$16+1,1))-AVERAGE(OFFSET($H$3,0,0,'Données projet'!$E$16+1,1))</f>
        <v>256.19915261735281</v>
      </c>
      <c r="FK78" s="60">
        <f t="shared" si="102"/>
        <v>297.47246687305056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5.5269230769230742</v>
      </c>
      <c r="FZ78" s="13">
        <f>IF('Données projet'!$A$244&gt;35,FZ77+FY78-GH77,IF(A78&lt;'Données projet'!$A$244,$FW$205^A78,IF(A78='Données projet'!$A$244,'Données projet'!$B$244,FZ77+FY78-GH77)))</f>
        <v>276.81153846153848</v>
      </c>
      <c r="GA78" s="18">
        <f>FZ78*VLOOKUP('Données projet'!$B$17,Paramètres!$A$1:$I$89,3,0)*VLOOKUP('Données projet'!$B$17,Paramètres!$A$1:$I$89,5,0)</f>
        <v>158.33620000000002</v>
      </c>
      <c r="GB78" s="14">
        <f t="shared" si="103"/>
        <v>40.46701266973087</v>
      </c>
      <c r="GC78" s="22">
        <f t="shared" si="79"/>
        <v>346.24892873311461</v>
      </c>
      <c r="GD78" s="60">
        <f t="shared" si="80"/>
        <v>639.58226206644792</v>
      </c>
      <c r="GE78" s="60">
        <f ca="1">AVERAGE(OFFSET($GD$3,0,0,'Données projet'!$E$17+1,1))-AVERAGE(OFFSET($H$3,0,0,'Données projet'!$E$17+1,1))</f>
        <v>268.71641789629319</v>
      </c>
      <c r="GF78" s="60">
        <f t="shared" si="104"/>
        <v>199.94048514486104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0.60300812474020693</v>
      </c>
      <c r="GN78" s="23">
        <f>EXP(-LN(2)/2)*GN77+(1-EXP(-LN(2)/2))/(LN(2)/2)*GH78*GK78*VLOOKUP('Données projet'!$B$17,Paramètres!$A$1:$I$89,3,0)*0.475*44/12</f>
        <v>1.1760176589576308E-6</v>
      </c>
      <c r="GO78" s="23">
        <f t="shared" si="81"/>
        <v>0.60300930075786585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7.5584615384615343</v>
      </c>
      <c r="GU78" s="13">
        <f>IF('Données projet'!$A$270&gt;35,GU77+GT78-HC77,IF(A78&lt;'Données projet'!$A$270,$GR$205^A78,IF(A78='Données projet'!$A$270,'Données projet'!$B$270,GU77+GT78-HC77)))</f>
        <v>365.11538461538436</v>
      </c>
      <c r="GV78" s="18">
        <f>GU78*VLOOKUP('Données projet'!$B$18,Paramètres!$A$1:$I$89,3,0)*VLOOKUP('Données projet'!$B$18,Paramètres!$A$1:$I$89,5,0)</f>
        <v>218.33899999999988</v>
      </c>
      <c r="GW78" s="14">
        <f t="shared" si="105"/>
        <v>53.753716498326504</v>
      </c>
      <c r="GX78" s="22">
        <f t="shared" si="82"/>
        <v>473.8948145679185</v>
      </c>
      <c r="GY78" s="60">
        <f t="shared" si="83"/>
        <v>767.22814790125176</v>
      </c>
      <c r="GZ78" s="60">
        <f ca="1">AVERAGE(OFFSET($GY$3,0,0,'Données projet'!$E$18+1,1))-AVERAGE(OFFSET($H$3,0,0,'Données projet'!$E$18+1,1))</f>
        <v>289.12367833861299</v>
      </c>
      <c r="HA78" s="60">
        <f t="shared" si="106"/>
        <v>229.06617320689003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6.9910411933280022E-7</v>
      </c>
      <c r="HJ78" s="24">
        <f t="shared" si="84"/>
        <v>6.9910411933280022E-7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0">
        <f t="shared" si="55"/>
        <v>758.95351239253989</v>
      </c>
      <c r="S79" s="60">
        <f ca="1">AVERAGE(OFFSET($R$3,0,0,'Données projet'!$E$9+1,1))-AVERAGE(OFFSET($H$3,0,0,'Données projet'!$E$9+1,1))</f>
        <v>430.11660085503223</v>
      </c>
      <c r="T79" s="60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1.2710188457276673E-13</v>
      </c>
      <c r="AK79" s="14">
        <f t="shared" si="89"/>
        <v>1.856866851063998E-12</v>
      </c>
      <c r="AL79" s="22">
        <f t="shared" si="58"/>
        <v>3.4554122145673649E-12</v>
      </c>
      <c r="AM79" s="60">
        <f t="shared" si="59"/>
        <v>293.33333333333678</v>
      </c>
      <c r="AN79" s="60">
        <f ca="1">AVERAGE(OFFSET($AM$3,0,0,'Données projet'!$E$10+1,1))-AVERAGE(OFFSET($H$3,0,0,'Données projet'!$E$10+1,1))</f>
        <v>323.98185264074681</v>
      </c>
      <c r="AO79" s="60">
        <f t="shared" si="90"/>
        <v>301.22207291854005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1.7944087883215512</v>
      </c>
      <c r="AV79" s="23">
        <f>EXP(-LN(2)/25)*AV78+(1-EXP(-LN(2)/25))/(LN(2)/25)*Calculateur!AQ79*Calculateur!AS79*VLOOKUP('Données projet'!$B$10,Paramètres!$A$1:$I$89,3,0)*0.475*44/12</f>
        <v>2.3036504532020672</v>
      </c>
      <c r="AW79" s="23">
        <f>EXP(-LN(2)/2)*AW78+(1-EXP(-LN(2)/2))/(LN(2)/2)*AQ79*AT79*VLOOKUP('Données projet'!$B$10,Paramètres!$A$1:$I$89,3,0)*0.475*44/12</f>
        <v>7.2572316880440958E-7</v>
      </c>
      <c r="AX79" s="23">
        <f t="shared" si="60"/>
        <v>4.0980599672467868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8.8000000000000007</v>
      </c>
      <c r="BD79" s="13">
        <f>IF('Données projet'!$A$88&gt;35,BD78+BC79-BL78,IF(A79&lt;'Données projet'!$A$88,$BA$205^A79,IF(A79='Données projet'!$A$88,'Données projet'!$B$88,BD78+BC79-BL78)))</f>
        <v>315.79999999999984</v>
      </c>
      <c r="BE79" s="14">
        <f>BD79*VLOOKUP('Données projet'!$B$11,Paramètres!$A$1:$I$89,3,0)*VLOOKUP('Données projet'!$B$11,Paramètres!$A$1:$I$89,5,0)</f>
        <v>270.95639999999986</v>
      </c>
      <c r="BF79" s="14">
        <f t="shared" si="91"/>
        <v>65.052199716598722</v>
      </c>
      <c r="BG79" s="22">
        <f t="shared" si="61"/>
        <v>585.21497783974257</v>
      </c>
      <c r="BH79" s="60">
        <f t="shared" si="62"/>
        <v>878.54831117307594</v>
      </c>
      <c r="BI79" s="60">
        <f ca="1">AVERAGE(OFFSET($BH$3,0,0,'Données projet'!$E$11+1,1))-AVERAGE(OFFSET($H$3,0,0,'Données projet'!$E$11+1,1))</f>
        <v>556.75475431848258</v>
      </c>
      <c r="BJ79" s="60">
        <f t="shared" si="92"/>
        <v>256.77417912163997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2.9799999999999955</v>
      </c>
      <c r="BY79" s="13">
        <f>IF('Données projet'!$A$114&gt;35,BY78+BX79-CG78,IF(A79&lt;'Données projet'!$A$114,$BV$205^A79,IF(A79='Données projet'!$A$114,'Données projet'!$B$114,BY78+BX79-CG78)))</f>
        <v>272.68000000000029</v>
      </c>
      <c r="BZ79" s="14">
        <f>BY79*VLOOKUP('Données projet'!$B$12,Paramètres!$A$1:$I$89,3,0)*VLOOKUP('Données projet'!$B$12,Paramètres!$A$1:$I$89,5,0)</f>
        <v>199.9289760000002</v>
      </c>
      <c r="CA79" s="14">
        <f t="shared" si="93"/>
        <v>49.728558477218208</v>
      </c>
      <c r="CB79" s="22">
        <f t="shared" si="64"/>
        <v>434.82020588115535</v>
      </c>
      <c r="CC79" s="60">
        <f t="shared" si="65"/>
        <v>728.15353921448866</v>
      </c>
      <c r="CD79" s="60">
        <f ca="1">AVERAGE(OFFSET($CC$3,0,0,'Données projet'!$E$12+1,1))-AVERAGE(OFFSET($H$3,0,0,'Données projet'!$E$12+1,1))</f>
        <v>290.68086183422963</v>
      </c>
      <c r="CE79" s="60">
        <f t="shared" si="94"/>
        <v>317.88330630101785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3.8</v>
      </c>
      <c r="CT79" s="13">
        <f>IF('Données projet'!$A$140&gt;35,CT78+CS79-DB78,IF(A79&lt;'Données projet'!$A$140,$CQ$205^A79,IF(A79='Données projet'!$A$140,'Données projet'!$B$140,CT78+CS79-DB78)))</f>
        <v>195.80000000000015</v>
      </c>
      <c r="CU79" s="18">
        <f>CT79*VLOOKUP('Données projet'!$B$13,Paramètres!$A$1:$I$89,3,0)*VLOOKUP('Données projet'!$B$13,Paramètres!$A$1:$I$89,5,0)</f>
        <v>128.28816000000009</v>
      </c>
      <c r="CV79" s="14">
        <f t="shared" si="95"/>
        <v>33.600498728056088</v>
      </c>
      <c r="CW79" s="22">
        <f t="shared" si="67"/>
        <v>281.95608061803119</v>
      </c>
      <c r="CX79" s="60">
        <f t="shared" si="68"/>
        <v>575.28941395136451</v>
      </c>
      <c r="CY79" s="60">
        <f ca="1">AVERAGE(OFFSET($CX$3,0,0,'Données projet'!$E$13+1,1))-AVERAGE(OFFSET($H$3,0,0,'Données projet'!$E$13+1,1))</f>
        <v>243.04319555814601</v>
      </c>
      <c r="CZ79" s="60">
        <f t="shared" si="96"/>
        <v>235.68746142880792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0" t="e">
        <f t="shared" si="71"/>
        <v>#NUM!</v>
      </c>
      <c r="DT79" s="60">
        <f ca="1">AVERAGE(OFFSET($DS$3,0,0,'Données projet'!$E$14+1,1))-AVERAGE(OFFSET($H$3,0,0,'Données projet'!$E$14+1,1))</f>
        <v>201.4732637505823</v>
      </c>
      <c r="DU79" s="60">
        <f t="shared" si="98"/>
        <v>342.06887933351783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2.6562956716171144</v>
      </c>
      <c r="EB79" s="23">
        <f>EXP(-LN(2)/25)*EB78+(1-EXP(-LN(2)/25))/(LN(2)/25)*Calculateur!DW79*Calculateur!DY79*VLOOKUP('Données projet'!$B$14,Paramètres!$A$1:$I$89,3,0)*0.475*44/12</f>
        <v>7.3858126348233855</v>
      </c>
      <c r="EC79" s="23">
        <f>EXP(-LN(2)/2)*EC78+(1-EXP(-LN(2)/2))/(LN(2)/2)*DW79*DZ79*VLOOKUP('Données projet'!$B$14,Paramètres!$A$1:$I$89,3,0)*0.475*44/12</f>
        <v>1.5970655733337385E-6</v>
      </c>
      <c r="ED79" s="24">
        <f t="shared" si="72"/>
        <v>10.042109903506073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-3.4106051316484809E-13</v>
      </c>
      <c r="EK79" s="18">
        <f>EJ79*VLOOKUP('Données projet'!$B$15,Paramètres!$A$1:$I$89,3,0)*VLOOKUP('Données projet'!$B$15,Paramètres!$A$1:$I$89,5,0)</f>
        <v>-2.0395418687257919E-13</v>
      </c>
      <c r="EL79" s="14" t="e">
        <f t="shared" si="99"/>
        <v>#NUM!</v>
      </c>
      <c r="EM79" s="22" t="e">
        <f t="shared" si="73"/>
        <v>#NUM!</v>
      </c>
      <c r="EN79" s="60" t="e">
        <f t="shared" si="74"/>
        <v>#NUM!</v>
      </c>
      <c r="EO79" s="60">
        <f ca="1">AVERAGE(OFFSET($EN$3,0,0,'Données projet'!$E$15+1,1))-AVERAGE(OFFSET($H$3,0,0,'Données projet'!$E$15+1,1))</f>
        <v>260.01925143568263</v>
      </c>
      <c r="EP79" s="60">
        <f t="shared" si="100"/>
        <v>269.95358755269427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5.7147684772262428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5.7147684772262428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-1.1368683772161603E-13</v>
      </c>
      <c r="FF79" s="18">
        <f>FE79*VLOOKUP('Données projet'!$B$16,Paramètres!$A$1:$I$89,3,0)*VLOOKUP('Données projet'!$B$16,Paramètres!$A$1:$I$89,5,0)</f>
        <v>-9.2222762759774927E-14</v>
      </c>
      <c r="FG79" s="14" t="e">
        <f t="shared" si="101"/>
        <v>#NUM!</v>
      </c>
      <c r="FH79" s="22" t="e">
        <f t="shared" si="76"/>
        <v>#NUM!</v>
      </c>
      <c r="FI79" s="60" t="e">
        <f t="shared" si="77"/>
        <v>#NUM!</v>
      </c>
      <c r="FJ79" s="60">
        <f ca="1">AVERAGE(OFFSET($FI$3,0,0,'Données projet'!$E$16+1,1))-AVERAGE(OFFSET($H$3,0,0,'Données projet'!$E$16+1,1))</f>
        <v>256.19915261735281</v>
      </c>
      <c r="FK79" s="60">
        <f t="shared" si="102"/>
        <v>297.47246687305056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5.5269230769230742</v>
      </c>
      <c r="FZ79" s="13">
        <f>IF('Données projet'!$A$244&gt;35,FZ78+FY79-GH78,IF(A79&lt;'Données projet'!$A$244,$FW$205^A79,IF(A79='Données projet'!$A$244,'Données projet'!$B$244,FZ78+FY79-GH78)))</f>
        <v>282.33846153846156</v>
      </c>
      <c r="GA79" s="18">
        <f>FZ79*VLOOKUP('Données projet'!$B$17,Paramètres!$A$1:$I$89,3,0)*VLOOKUP('Données projet'!$B$17,Paramètres!$A$1:$I$89,5,0)</f>
        <v>161.49760000000001</v>
      </c>
      <c r="GB79" s="14">
        <f t="shared" si="103"/>
        <v>41.180119894168492</v>
      </c>
      <c r="GC79" s="22">
        <f t="shared" si="79"/>
        <v>352.99702881567674</v>
      </c>
      <c r="GD79" s="60">
        <f t="shared" si="80"/>
        <v>646.33036214901006</v>
      </c>
      <c r="GE79" s="60">
        <f ca="1">AVERAGE(OFFSET($GD$3,0,0,'Données projet'!$E$17+1,1))-AVERAGE(OFFSET($H$3,0,0,'Données projet'!$E$17+1,1))</f>
        <v>268.71641789629319</v>
      </c>
      <c r="GF79" s="60">
        <f t="shared" si="104"/>
        <v>199.94048514486104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0.58651883585836684</v>
      </c>
      <c r="GN79" s="23">
        <f>EXP(-LN(2)/2)*GN78+(1-EXP(-LN(2)/2))/(LN(2)/2)*GH79*GK79*VLOOKUP('Données projet'!$B$17,Paramètres!$A$1:$I$89,3,0)*0.475*44/12</f>
        <v>8.3157006144406934E-7</v>
      </c>
      <c r="GO79" s="23">
        <f t="shared" si="81"/>
        <v>0.58651966742842832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7.5584615384615343</v>
      </c>
      <c r="GU79" s="13">
        <f>IF('Données projet'!$A$270&gt;35,GU78+GT79-HC78,IF(A79&lt;'Données projet'!$A$270,$GR$205^A79,IF(A79='Données projet'!$A$270,'Données projet'!$B$270,GU78+GT79-HC78)))</f>
        <v>372.67384615384589</v>
      </c>
      <c r="GV79" s="18">
        <f>GU79*VLOOKUP('Données projet'!$B$18,Paramètres!$A$1:$I$89,3,0)*VLOOKUP('Données projet'!$B$18,Paramètres!$A$1:$I$89,5,0)</f>
        <v>222.85895999999985</v>
      </c>
      <c r="GW79" s="14">
        <f t="shared" si="105"/>
        <v>54.735798842493168</v>
      </c>
      <c r="GX79" s="22">
        <f t="shared" si="82"/>
        <v>483.47753831734195</v>
      </c>
      <c r="GY79" s="60">
        <f t="shared" si="83"/>
        <v>776.81087165067527</v>
      </c>
      <c r="GZ79" s="60">
        <f ca="1">AVERAGE(OFFSET($GY$3,0,0,'Données projet'!$E$18+1,1))-AVERAGE(OFFSET($H$3,0,0,'Données projet'!$E$18+1,1))</f>
        <v>289.12367833861299</v>
      </c>
      <c r="HA79" s="60">
        <f t="shared" si="106"/>
        <v>229.06617320689003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4.9434126353567236E-7</v>
      </c>
      <c r="HJ79" s="24">
        <f t="shared" si="84"/>
        <v>4.9434126353567236E-7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0">
        <f t="shared" si="55"/>
        <v>770.46683087820077</v>
      </c>
      <c r="S80" s="60">
        <f ca="1">AVERAGE(OFFSET($R$3,0,0,'Données projet'!$E$9+1,1))-AVERAGE(OFFSET($H$3,0,0,'Données projet'!$E$9+1,1))</f>
        <v>430.11660085503223</v>
      </c>
      <c r="T80" s="60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1.2710188457276673E-13</v>
      </c>
      <c r="AK80" s="14">
        <f t="shared" si="89"/>
        <v>1.856866851063998E-12</v>
      </c>
      <c r="AL80" s="22">
        <f t="shared" si="58"/>
        <v>3.4554122145673649E-12</v>
      </c>
      <c r="AM80" s="60">
        <f t="shared" si="59"/>
        <v>293.33333333333678</v>
      </c>
      <c r="AN80" s="60">
        <f ca="1">AVERAGE(OFFSET($AM$3,0,0,'Données projet'!$E$10+1,1))-AVERAGE(OFFSET($H$3,0,0,'Données projet'!$E$10+1,1))</f>
        <v>323.98185264074681</v>
      </c>
      <c r="AO80" s="60">
        <f t="shared" si="90"/>
        <v>301.22207291854005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1.7592215264638553</v>
      </c>
      <c r="AV80" s="23">
        <f>EXP(-LN(2)/25)*AV79+(1-EXP(-LN(2)/25))/(LN(2)/25)*Calculateur!AQ80*Calculateur!AS80*VLOOKUP('Données projet'!$B$10,Paramètres!$A$1:$I$89,3,0)*0.475*44/12</f>
        <v>2.2406570104155445</v>
      </c>
      <c r="AW80" s="23">
        <f>EXP(-LN(2)/2)*AW79+(1-EXP(-LN(2)/2))/(LN(2)/2)*AQ80*AT80*VLOOKUP('Données projet'!$B$10,Paramètres!$A$1:$I$89,3,0)*0.475*44/12</f>
        <v>5.1316377392578753E-7</v>
      </c>
      <c r="AX80" s="23">
        <f t="shared" si="60"/>
        <v>3.999879050043174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8.8000000000000007</v>
      </c>
      <c r="BD80" s="13">
        <f>IF('Données projet'!$A$88&gt;35,BD79+BC80-BL79,IF(A80&lt;'Données projet'!$A$88,$BA$205^A80,IF(A80='Données projet'!$A$88,'Données projet'!$B$88,BD79+BC80-BL79)))</f>
        <v>324.59999999999985</v>
      </c>
      <c r="BE80" s="14">
        <f>BD80*VLOOKUP('Données projet'!$B$11,Paramètres!$A$1:$I$89,3,0)*VLOOKUP('Données projet'!$B$11,Paramètres!$A$1:$I$89,5,0)</f>
        <v>278.50679999999994</v>
      </c>
      <c r="BF80" s="14">
        <f t="shared" si="91"/>
        <v>66.651354661909949</v>
      </c>
      <c r="BG80" s="22">
        <f t="shared" si="61"/>
        <v>601.15045270282633</v>
      </c>
      <c r="BH80" s="60">
        <f t="shared" si="62"/>
        <v>894.4837860361597</v>
      </c>
      <c r="BI80" s="60">
        <f ca="1">AVERAGE(OFFSET($BH$3,0,0,'Données projet'!$E$11+1,1))-AVERAGE(OFFSET($H$3,0,0,'Données projet'!$E$11+1,1))</f>
        <v>556.75475431848258</v>
      </c>
      <c r="BJ80" s="60">
        <f t="shared" si="92"/>
        <v>256.77417912163997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2.9799999999999955</v>
      </c>
      <c r="BY80" s="13">
        <f>IF('Données projet'!$A$114&gt;35,BY79+BX80-CG79,IF(A80&lt;'Données projet'!$A$114,$BV$205^A80,IF(A80='Données projet'!$A$114,'Données projet'!$B$114,BY79+BX80-CG79)))</f>
        <v>275.66000000000031</v>
      </c>
      <c r="BZ80" s="14">
        <f>BY80*VLOOKUP('Données projet'!$B$12,Paramètres!$A$1:$I$89,3,0)*VLOOKUP('Données projet'!$B$12,Paramètres!$A$1:$I$89,5,0)</f>
        <v>202.11391200000025</v>
      </c>
      <c r="CA80" s="14">
        <f t="shared" si="93"/>
        <v>50.208456937175463</v>
      </c>
      <c r="CB80" s="22">
        <f t="shared" si="64"/>
        <v>439.46145923224771</v>
      </c>
      <c r="CC80" s="60">
        <f t="shared" si="65"/>
        <v>732.79479256558102</v>
      </c>
      <c r="CD80" s="60">
        <f ca="1">AVERAGE(OFFSET($CC$3,0,0,'Données projet'!$E$12+1,1))-AVERAGE(OFFSET($H$3,0,0,'Données projet'!$E$12+1,1))</f>
        <v>290.68086183422963</v>
      </c>
      <c r="CE80" s="60">
        <f t="shared" si="94"/>
        <v>317.88330630101785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3.8</v>
      </c>
      <c r="CT80" s="13">
        <f>IF('Données projet'!$A$140&gt;35,CT79+CS80-DB79,IF(A80&lt;'Données projet'!$A$140,$CQ$205^A80,IF(A80='Données projet'!$A$140,'Données projet'!$B$140,CT79+CS80-DB79)))</f>
        <v>199.60000000000016</v>
      </c>
      <c r="CU80" s="18">
        <f>CT80*VLOOKUP('Données projet'!$B$13,Paramètres!$A$1:$I$89,3,0)*VLOOKUP('Données projet'!$B$13,Paramètres!$A$1:$I$89,5,0)</f>
        <v>130.77792000000011</v>
      </c>
      <c r="CV80" s="14">
        <f t="shared" si="95"/>
        <v>34.176051340149542</v>
      </c>
      <c r="CW80" s="22">
        <f t="shared" si="67"/>
        <v>287.2948334174273</v>
      </c>
      <c r="CX80" s="60">
        <f t="shared" si="68"/>
        <v>580.62816675076056</v>
      </c>
      <c r="CY80" s="60">
        <f ca="1">AVERAGE(OFFSET($CX$3,0,0,'Données projet'!$E$13+1,1))-AVERAGE(OFFSET($H$3,0,0,'Données projet'!$E$13+1,1))</f>
        <v>243.04319555814601</v>
      </c>
      <c r="CZ80" s="60">
        <f t="shared" si="96"/>
        <v>235.68746142880792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0" t="e">
        <f t="shared" si="71"/>
        <v>#NUM!</v>
      </c>
      <c r="DT80" s="60">
        <f ca="1">AVERAGE(OFFSET($DS$3,0,0,'Données projet'!$E$14+1,1))-AVERAGE(OFFSET($H$3,0,0,'Données projet'!$E$14+1,1))</f>
        <v>201.4732637505823</v>
      </c>
      <c r="DU80" s="60">
        <f t="shared" si="98"/>
        <v>342.06887933351783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2.604207333677083</v>
      </c>
      <c r="EB80" s="23">
        <f>EXP(-LN(2)/25)*EB79+(1-EXP(-LN(2)/25))/(LN(2)/25)*Calculateur!DW80*Calculateur!DY80*VLOOKUP('Données projet'!$B$14,Paramètres!$A$1:$I$89,3,0)*0.475*44/12</f>
        <v>7.183847199921134</v>
      </c>
      <c r="EC80" s="23">
        <f>EXP(-LN(2)/2)*EC79+(1-EXP(-LN(2)/2))/(LN(2)/2)*DW80*DZ80*VLOOKUP('Données projet'!$B$14,Paramètres!$A$1:$I$89,3,0)*0.475*44/12</f>
        <v>1.1292958969038679E-6</v>
      </c>
      <c r="ED80" s="24">
        <f t="shared" si="72"/>
        <v>9.7880556628941147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-3.4106051316484809E-13</v>
      </c>
      <c r="EK80" s="18">
        <f>EJ80*VLOOKUP('Données projet'!$B$15,Paramètres!$A$1:$I$89,3,0)*VLOOKUP('Données projet'!$B$15,Paramètres!$A$1:$I$89,5,0)</f>
        <v>-2.0395418687257919E-13</v>
      </c>
      <c r="EL80" s="14" t="e">
        <f t="shared" si="99"/>
        <v>#NUM!</v>
      </c>
      <c r="EM80" s="22" t="e">
        <f t="shared" si="73"/>
        <v>#NUM!</v>
      </c>
      <c r="EN80" s="60" t="e">
        <f t="shared" si="74"/>
        <v>#NUM!</v>
      </c>
      <c r="EO80" s="60">
        <f ca="1">AVERAGE(OFFSET($EN$3,0,0,'Données projet'!$E$15+1,1))-AVERAGE(OFFSET($H$3,0,0,'Données projet'!$E$15+1,1))</f>
        <v>260.01925143568263</v>
      </c>
      <c r="EP80" s="60">
        <f t="shared" si="100"/>
        <v>269.95358755269427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5.6027053530524267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5.6027053530524267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-1.1368683772161603E-13</v>
      </c>
      <c r="FF80" s="18">
        <f>FE80*VLOOKUP('Données projet'!$B$16,Paramètres!$A$1:$I$89,3,0)*VLOOKUP('Données projet'!$B$16,Paramètres!$A$1:$I$89,5,0)</f>
        <v>-9.2222762759774927E-14</v>
      </c>
      <c r="FG80" s="14" t="e">
        <f t="shared" si="101"/>
        <v>#NUM!</v>
      </c>
      <c r="FH80" s="22" t="e">
        <f t="shared" si="76"/>
        <v>#NUM!</v>
      </c>
      <c r="FI80" s="60" t="e">
        <f t="shared" si="77"/>
        <v>#NUM!</v>
      </c>
      <c r="FJ80" s="60">
        <f ca="1">AVERAGE(OFFSET($FI$3,0,0,'Données projet'!$E$16+1,1))-AVERAGE(OFFSET($H$3,0,0,'Données projet'!$E$16+1,1))</f>
        <v>256.19915261735281</v>
      </c>
      <c r="FK80" s="60">
        <f t="shared" si="102"/>
        <v>297.47246687305056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5.5269230769230742</v>
      </c>
      <c r="FZ80" s="13">
        <f>IF('Données projet'!$A$244&gt;35,FZ79+FY80-GH79,IF(A80&lt;'Données projet'!$A$244,$FW$205^A80,IF(A80='Données projet'!$A$244,'Données projet'!$B$244,FZ79+FY80-GH79)))</f>
        <v>287.86538461538464</v>
      </c>
      <c r="GA80" s="18">
        <f>FZ80*VLOOKUP('Données projet'!$B$17,Paramètres!$A$1:$I$89,3,0)*VLOOKUP('Données projet'!$B$17,Paramètres!$A$1:$I$89,5,0)</f>
        <v>164.65900000000002</v>
      </c>
      <c r="GB80" s="14">
        <f t="shared" si="103"/>
        <v>41.891603979210757</v>
      </c>
      <c r="GC80" s="22">
        <f t="shared" si="79"/>
        <v>359.74230193045878</v>
      </c>
      <c r="GD80" s="60">
        <f t="shared" si="80"/>
        <v>653.07563526379204</v>
      </c>
      <c r="GE80" s="60">
        <f ca="1">AVERAGE(OFFSET($GD$3,0,0,'Données projet'!$E$17+1,1))-AVERAGE(OFFSET($H$3,0,0,'Données projet'!$E$17+1,1))</f>
        <v>268.71641789629319</v>
      </c>
      <c r="GF80" s="60">
        <f t="shared" si="104"/>
        <v>199.94048514486104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0.57048044744813475</v>
      </c>
      <c r="GN80" s="23">
        <f>EXP(-LN(2)/2)*GN79+(1-EXP(-LN(2)/2))/(LN(2)/2)*GH80*GK80*VLOOKUP('Données projet'!$B$17,Paramètres!$A$1:$I$89,3,0)*0.475*44/12</f>
        <v>5.8800882947881541E-7</v>
      </c>
      <c r="GO80" s="23">
        <f t="shared" si="81"/>
        <v>0.57048103545696427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7.5584615384615343</v>
      </c>
      <c r="GU80" s="13">
        <f>IF('Données projet'!$A$270&gt;35,GU79+GT80-HC79,IF(A80&lt;'Données projet'!$A$270,$GR$205^A80,IF(A80='Données projet'!$A$270,'Données projet'!$B$270,GU79+GT80-HC79)))</f>
        <v>380.23230769230742</v>
      </c>
      <c r="GV80" s="18">
        <f>GU80*VLOOKUP('Données projet'!$B$18,Paramètres!$A$1:$I$89,3,0)*VLOOKUP('Données projet'!$B$18,Paramètres!$A$1:$I$89,5,0)</f>
        <v>227.37891999999985</v>
      </c>
      <c r="GW80" s="14">
        <f t="shared" si="105"/>
        <v>55.715565262615499</v>
      </c>
      <c r="GX80" s="22">
        <f t="shared" si="82"/>
        <v>493.05622849905507</v>
      </c>
      <c r="GY80" s="60">
        <f t="shared" si="83"/>
        <v>786.38956183238838</v>
      </c>
      <c r="GZ80" s="60">
        <f ca="1">AVERAGE(OFFSET($GY$3,0,0,'Données projet'!$E$18+1,1))-AVERAGE(OFFSET($H$3,0,0,'Données projet'!$E$18+1,1))</f>
        <v>289.12367833861299</v>
      </c>
      <c r="HA80" s="60">
        <f t="shared" si="106"/>
        <v>229.06617320689003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3.4955205966640011E-7</v>
      </c>
      <c r="HJ80" s="24">
        <f t="shared" si="84"/>
        <v>3.4955205966640011E-7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0">
        <f t="shared" si="55"/>
        <v>781.97424192191022</v>
      </c>
      <c r="S81" s="60">
        <f ca="1">AVERAGE(OFFSET($R$3,0,0,'Données projet'!$E$9+1,1))-AVERAGE(OFFSET($H$3,0,0,'Données projet'!$E$9+1,1))</f>
        <v>430.11660085503223</v>
      </c>
      <c r="T81" s="60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1.2710188457276673E-13</v>
      </c>
      <c r="AK81" s="14">
        <f t="shared" si="89"/>
        <v>1.856866851063998E-12</v>
      </c>
      <c r="AL81" s="22">
        <f t="shared" si="58"/>
        <v>3.4554122145673649E-12</v>
      </c>
      <c r="AM81" s="60">
        <f t="shared" si="59"/>
        <v>293.33333333333678</v>
      </c>
      <c r="AN81" s="60">
        <f ca="1">AVERAGE(OFFSET($AM$3,0,0,'Données projet'!$E$10+1,1))-AVERAGE(OFFSET($H$3,0,0,'Données projet'!$E$10+1,1))</f>
        <v>323.98185264074681</v>
      </c>
      <c r="AO81" s="60">
        <f t="shared" si="90"/>
        <v>301.22207291854005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1.7247242653490784</v>
      </c>
      <c r="AV81" s="23">
        <f>EXP(-LN(2)/25)*AV80+(1-EXP(-LN(2)/25))/(LN(2)/25)*Calculateur!AQ81*Calculateur!AS81*VLOOKUP('Données projet'!$B$10,Paramètres!$A$1:$I$89,3,0)*0.475*44/12</f>
        <v>2.1793861266347005</v>
      </c>
      <c r="AW81" s="23">
        <f>EXP(-LN(2)/2)*AW80+(1-EXP(-LN(2)/2))/(LN(2)/2)*AQ81*AT81*VLOOKUP('Données projet'!$B$10,Paramètres!$A$1:$I$89,3,0)*0.475*44/12</f>
        <v>3.6286158440220479E-7</v>
      </c>
      <c r="AX81" s="23">
        <f t="shared" si="60"/>
        <v>3.9041107548453633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8.8000000000000007</v>
      </c>
      <c r="BD81" s="13">
        <f>IF('Données projet'!$A$88&gt;35,BD80+BC81-BL80,IF(A81&lt;'Données projet'!$A$88,$BA$205^A81,IF(A81='Données projet'!$A$88,'Données projet'!$B$88,BD80+BC81-BL80)))</f>
        <v>333.39999999999986</v>
      </c>
      <c r="BE81" s="14">
        <f>BD81*VLOOKUP('Données projet'!$B$11,Paramètres!$A$1:$I$89,3,0)*VLOOKUP('Données projet'!$B$11,Paramètres!$A$1:$I$89,5,0)</f>
        <v>286.05719999999991</v>
      </c>
      <c r="BF81" s="14">
        <f t="shared" si="91"/>
        <v>68.24547055517067</v>
      </c>
      <c r="BG81" s="22">
        <f t="shared" si="61"/>
        <v>617.07715121692206</v>
      </c>
      <c r="BH81" s="60">
        <f t="shared" si="62"/>
        <v>910.41048455025543</v>
      </c>
      <c r="BI81" s="60">
        <f ca="1">AVERAGE(OFFSET($BH$3,0,0,'Données projet'!$E$11+1,1))-AVERAGE(OFFSET($H$3,0,0,'Données projet'!$E$11+1,1))</f>
        <v>556.75475431848258</v>
      </c>
      <c r="BJ81" s="60">
        <f t="shared" si="92"/>
        <v>256.77417912163997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2.9799999999999955</v>
      </c>
      <c r="BY81" s="13">
        <f>IF('Données projet'!$A$114&gt;35,BY80+BX81-CG80,IF(A81&lt;'Données projet'!$A$114,$BV$205^A81,IF(A81='Données projet'!$A$114,'Données projet'!$B$114,BY80+BX81-CG80)))</f>
        <v>278.64000000000033</v>
      </c>
      <c r="BZ81" s="14">
        <f>BY81*VLOOKUP('Données projet'!$B$12,Paramètres!$A$1:$I$89,3,0)*VLOOKUP('Données projet'!$B$12,Paramètres!$A$1:$I$89,5,0)</f>
        <v>204.29884800000025</v>
      </c>
      <c r="CA81" s="14">
        <f t="shared" si="93"/>
        <v>50.687751892539211</v>
      </c>
      <c r="CB81" s="22">
        <f t="shared" si="64"/>
        <v>444.10166147950622</v>
      </c>
      <c r="CC81" s="60">
        <f t="shared" si="65"/>
        <v>737.43499481283948</v>
      </c>
      <c r="CD81" s="60">
        <f ca="1">AVERAGE(OFFSET($CC$3,0,0,'Données projet'!$E$12+1,1))-AVERAGE(OFFSET($H$3,0,0,'Données projet'!$E$12+1,1))</f>
        <v>290.68086183422963</v>
      </c>
      <c r="CE81" s="60">
        <f t="shared" si="94"/>
        <v>317.88330630101785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3.8</v>
      </c>
      <c r="CT81" s="13">
        <f>IF('Données projet'!$A$140&gt;35,CT80+CS81-DB80,IF(A81&lt;'Données projet'!$A$140,$CQ$205^A81,IF(A81='Données projet'!$A$140,'Données projet'!$B$140,CT80+CS81-DB80)))</f>
        <v>203.40000000000018</v>
      </c>
      <c r="CU81" s="18">
        <f>CT81*VLOOKUP('Données projet'!$B$13,Paramètres!$A$1:$I$89,3,0)*VLOOKUP('Données projet'!$B$13,Paramètres!$A$1:$I$89,5,0)</f>
        <v>133.2676800000001</v>
      </c>
      <c r="CV81" s="14">
        <f t="shared" si="95"/>
        <v>34.750329840004937</v>
      </c>
      <c r="CW81" s="22">
        <f t="shared" si="67"/>
        <v>292.63136713800878</v>
      </c>
      <c r="CX81" s="60">
        <f t="shared" si="68"/>
        <v>585.9647004713421</v>
      </c>
      <c r="CY81" s="60">
        <f ca="1">AVERAGE(OFFSET($CX$3,0,0,'Données projet'!$E$13+1,1))-AVERAGE(OFFSET($H$3,0,0,'Données projet'!$E$13+1,1))</f>
        <v>243.04319555814601</v>
      </c>
      <c r="CZ81" s="60">
        <f t="shared" si="96"/>
        <v>235.68746142880792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0" t="e">
        <f t="shared" si="71"/>
        <v>#NUM!</v>
      </c>
      <c r="DT81" s="60">
        <f ca="1">AVERAGE(OFFSET($DS$3,0,0,'Données projet'!$E$14+1,1))-AVERAGE(OFFSET($H$3,0,0,'Données projet'!$E$14+1,1))</f>
        <v>201.4732637505823</v>
      </c>
      <c r="DU81" s="60">
        <f t="shared" si="98"/>
        <v>342.06887933351783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2.5531404162733065</v>
      </c>
      <c r="EB81" s="23">
        <f>EXP(-LN(2)/25)*EB80+(1-EXP(-LN(2)/25))/(LN(2)/25)*Calculateur!DW81*Calculateur!DY81*VLOOKUP('Données projet'!$B$14,Paramètres!$A$1:$I$89,3,0)*0.475*44/12</f>
        <v>6.9874045204571855</v>
      </c>
      <c r="EC81" s="23">
        <f>EXP(-LN(2)/2)*EC80+(1-EXP(-LN(2)/2))/(LN(2)/2)*DW81*DZ81*VLOOKUP('Données projet'!$B$14,Paramètres!$A$1:$I$89,3,0)*0.475*44/12</f>
        <v>7.9853278666686924E-7</v>
      </c>
      <c r="ED81" s="24">
        <f t="shared" si="72"/>
        <v>9.5405457352632776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-3.4106051316484809E-13</v>
      </c>
      <c r="EK81" s="18">
        <f>EJ81*VLOOKUP('Données projet'!$B$15,Paramètres!$A$1:$I$89,3,0)*VLOOKUP('Données projet'!$B$15,Paramètres!$A$1:$I$89,5,0)</f>
        <v>-2.0395418687257919E-13</v>
      </c>
      <c r="EL81" s="14" t="e">
        <f t="shared" si="99"/>
        <v>#NUM!</v>
      </c>
      <c r="EM81" s="22" t="e">
        <f t="shared" si="73"/>
        <v>#NUM!</v>
      </c>
      <c r="EN81" s="60" t="e">
        <f t="shared" si="74"/>
        <v>#NUM!</v>
      </c>
      <c r="EO81" s="60">
        <f ca="1">AVERAGE(OFFSET($EN$3,0,0,'Données projet'!$E$15+1,1))-AVERAGE(OFFSET($H$3,0,0,'Données projet'!$E$15+1,1))</f>
        <v>260.01925143568263</v>
      </c>
      <c r="EP81" s="60">
        <f t="shared" si="100"/>
        <v>269.95358755269427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5.4928397183919024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5.4928397183919024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-1.1368683772161603E-13</v>
      </c>
      <c r="FF81" s="18">
        <f>FE81*VLOOKUP('Données projet'!$B$16,Paramètres!$A$1:$I$89,3,0)*VLOOKUP('Données projet'!$B$16,Paramètres!$A$1:$I$89,5,0)</f>
        <v>-9.2222762759774927E-14</v>
      </c>
      <c r="FG81" s="14" t="e">
        <f t="shared" si="101"/>
        <v>#NUM!</v>
      </c>
      <c r="FH81" s="22" t="e">
        <f t="shared" si="76"/>
        <v>#NUM!</v>
      </c>
      <c r="FI81" s="60" t="e">
        <f t="shared" si="77"/>
        <v>#NUM!</v>
      </c>
      <c r="FJ81" s="60">
        <f ca="1">AVERAGE(OFFSET($FI$3,0,0,'Données projet'!$E$16+1,1))-AVERAGE(OFFSET($H$3,0,0,'Données projet'!$E$16+1,1))</f>
        <v>256.19915261735281</v>
      </c>
      <c r="FK81" s="60">
        <f t="shared" si="102"/>
        <v>297.47246687305056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5.5269230769230742</v>
      </c>
      <c r="FZ81" s="13">
        <f>IF('Données projet'!$A$244&gt;35,FZ80+FY81-GH80,IF(A81&lt;'Données projet'!$A$244,$FW$205^A81,IF(A81='Données projet'!$A$244,'Données projet'!$B$244,FZ80+FY81-GH80)))</f>
        <v>293.39230769230772</v>
      </c>
      <c r="GA81" s="18">
        <f>FZ81*VLOOKUP('Données projet'!$B$17,Paramètres!$A$1:$I$89,3,0)*VLOOKUP('Données projet'!$B$17,Paramètres!$A$1:$I$89,5,0)</f>
        <v>167.82040000000003</v>
      </c>
      <c r="GB81" s="14">
        <f t="shared" si="103"/>
        <v>42.601499681535429</v>
      </c>
      <c r="GC81" s="22">
        <f t="shared" si="79"/>
        <v>366.48480861200755</v>
      </c>
      <c r="GD81" s="60">
        <f t="shared" si="80"/>
        <v>659.81814194534081</v>
      </c>
      <c r="GE81" s="60">
        <f ca="1">AVERAGE(OFFSET($GD$3,0,0,'Données projet'!$E$17+1,1))-AVERAGE(OFFSET($H$3,0,0,'Données projet'!$E$17+1,1))</f>
        <v>268.71641789629319</v>
      </c>
      <c r="GF81" s="60">
        <f t="shared" si="104"/>
        <v>199.94048514486104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0.55488062961240259</v>
      </c>
      <c r="GN81" s="23">
        <f>EXP(-LN(2)/2)*GN80+(1-EXP(-LN(2)/2))/(LN(2)/2)*GH81*GK81*VLOOKUP('Données projet'!$B$17,Paramètres!$A$1:$I$89,3,0)*0.475*44/12</f>
        <v>4.1578503072203467E-7</v>
      </c>
      <c r="GO81" s="23">
        <f t="shared" si="81"/>
        <v>0.55488104539743333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7.5584615384615343</v>
      </c>
      <c r="GU81" s="13">
        <f>IF('Données projet'!$A$270&gt;35,GU80+GT81-HC80,IF(A81&lt;'Données projet'!$A$270,$GR$205^A81,IF(A81='Données projet'!$A$270,'Données projet'!$B$270,GU80+GT81-HC80)))</f>
        <v>387.79076923076894</v>
      </c>
      <c r="GV81" s="18">
        <f>GU81*VLOOKUP('Données projet'!$B$18,Paramètres!$A$1:$I$89,3,0)*VLOOKUP('Données projet'!$B$18,Paramètres!$A$1:$I$89,5,0)</f>
        <v>231.89887999999985</v>
      </c>
      <c r="GW81" s="14">
        <f t="shared" si="105"/>
        <v>56.693067102008712</v>
      </c>
      <c r="GX81" s="22">
        <f t="shared" si="82"/>
        <v>502.63097453599829</v>
      </c>
      <c r="GY81" s="60">
        <f t="shared" si="83"/>
        <v>795.96430786933161</v>
      </c>
      <c r="GZ81" s="60">
        <f ca="1">AVERAGE(OFFSET($GY$3,0,0,'Données projet'!$E$18+1,1))-AVERAGE(OFFSET($H$3,0,0,'Données projet'!$E$18+1,1))</f>
        <v>289.12367833861299</v>
      </c>
      <c r="HA81" s="60">
        <f t="shared" si="106"/>
        <v>229.06617320689003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2.4717063176783618E-7</v>
      </c>
      <c r="HJ81" s="24">
        <f t="shared" si="84"/>
        <v>2.4717063176783618E-7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0">
        <f t="shared" si="55"/>
        <v>793.47590424937596</v>
      </c>
      <c r="S82" s="60">
        <f ca="1">AVERAGE(OFFSET($R$3,0,0,'Données projet'!$E$9+1,1))-AVERAGE(OFFSET($H$3,0,0,'Données projet'!$E$9+1,1))</f>
        <v>430.11660085503223</v>
      </c>
      <c r="T82" s="60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1.2710188457276673E-13</v>
      </c>
      <c r="AK82" s="14">
        <f t="shared" si="89"/>
        <v>1.856866851063998E-12</v>
      </c>
      <c r="AL82" s="22">
        <f t="shared" si="58"/>
        <v>3.4554122145673649E-12</v>
      </c>
      <c r="AM82" s="60">
        <f t="shared" si="59"/>
        <v>293.33333333333678</v>
      </c>
      <c r="AN82" s="60">
        <f ca="1">AVERAGE(OFFSET($AM$3,0,0,'Données projet'!$E$10+1,1))-AVERAGE(OFFSET($H$3,0,0,'Données projet'!$E$10+1,1))</f>
        <v>323.98185264074681</v>
      </c>
      <c r="AO82" s="60">
        <f t="shared" si="90"/>
        <v>301.22207291854005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1.6909034744835107</v>
      </c>
      <c r="AV82" s="23">
        <f>EXP(-LN(2)/25)*AV81+(1-EXP(-LN(2)/25))/(LN(2)/25)*Calculateur!AQ82*Calculateur!AS82*VLOOKUP('Données projet'!$B$10,Paramètres!$A$1:$I$89,3,0)*0.475*44/12</f>
        <v>2.1197906983929391</v>
      </c>
      <c r="AW82" s="23">
        <f>EXP(-LN(2)/2)*AW81+(1-EXP(-LN(2)/2))/(LN(2)/2)*AQ82*AT82*VLOOKUP('Données projet'!$B$10,Paramètres!$A$1:$I$89,3,0)*0.475*44/12</f>
        <v>2.5658188696289376E-7</v>
      </c>
      <c r="AX82" s="23">
        <f t="shared" si="60"/>
        <v>3.8106944294583367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8.8000000000000007</v>
      </c>
      <c r="BD82" s="13">
        <f>IF('Données projet'!$A$88&gt;35,BD81+BC82-BL81,IF(A82&lt;'Données projet'!$A$88,$BA$205^A82,IF(A82='Données projet'!$A$88,'Données projet'!$B$88,BD81+BC82-BL81)))</f>
        <v>342.19999999999987</v>
      </c>
      <c r="BE82" s="14">
        <f>BD82*VLOOKUP('Données projet'!$B$11,Paramètres!$A$1:$I$89,3,0)*VLOOKUP('Données projet'!$B$11,Paramètres!$A$1:$I$89,5,0)</f>
        <v>293.60759999999993</v>
      </c>
      <c r="BF82" s="14">
        <f t="shared" si="91"/>
        <v>69.834695689453682</v>
      </c>
      <c r="BG82" s="22">
        <f t="shared" si="61"/>
        <v>632.99533165913169</v>
      </c>
      <c r="BH82" s="60">
        <f t="shared" si="62"/>
        <v>926.32866499246506</v>
      </c>
      <c r="BI82" s="60">
        <f ca="1">AVERAGE(OFFSET($BH$3,0,0,'Données projet'!$E$11+1,1))-AVERAGE(OFFSET($H$3,0,0,'Données projet'!$E$11+1,1))</f>
        <v>556.75475431848258</v>
      </c>
      <c r="BJ82" s="60">
        <f t="shared" si="92"/>
        <v>256.77417912163997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2.9799999999999955</v>
      </c>
      <c r="BY82" s="13">
        <f>IF('Données projet'!$A$114&gt;35,BY81+BX82-CG81,IF(A82&lt;'Données projet'!$A$114,$BV$205^A82,IF(A82='Données projet'!$A$114,'Données projet'!$B$114,BY81+BX82-CG81)))</f>
        <v>281.62000000000035</v>
      </c>
      <c r="BZ82" s="14">
        <f>BY82*VLOOKUP('Données projet'!$B$12,Paramètres!$A$1:$I$89,3,0)*VLOOKUP('Données projet'!$B$12,Paramètres!$A$1:$I$89,5,0)</f>
        <v>206.48378400000024</v>
      </c>
      <c r="CA82" s="14">
        <f t="shared" si="93"/>
        <v>51.166450544752927</v>
      </c>
      <c r="CB82" s="22">
        <f t="shared" si="64"/>
        <v>448.74082516544513</v>
      </c>
      <c r="CC82" s="60">
        <f t="shared" si="65"/>
        <v>742.07415849877839</v>
      </c>
      <c r="CD82" s="60">
        <f ca="1">AVERAGE(OFFSET($CC$3,0,0,'Données projet'!$E$12+1,1))-AVERAGE(OFFSET($H$3,0,0,'Données projet'!$E$12+1,1))</f>
        <v>290.68086183422963</v>
      </c>
      <c r="CE82" s="60">
        <f t="shared" si="94"/>
        <v>317.88330630101785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3.8</v>
      </c>
      <c r="CT82" s="13">
        <f>IF('Données projet'!$A$140&gt;35,CT81+CS82-DB81,IF(A82&lt;'Données projet'!$A$140,$CQ$205^A82,IF(A82='Données projet'!$A$140,'Données projet'!$B$140,CT81+CS82-DB81)))</f>
        <v>207.20000000000019</v>
      </c>
      <c r="CU82" s="18">
        <f>CT82*VLOOKUP('Données projet'!$B$13,Paramètres!$A$1:$I$89,3,0)*VLOOKUP('Données projet'!$B$13,Paramètres!$A$1:$I$89,5,0)</f>
        <v>135.75744000000012</v>
      </c>
      <c r="CV82" s="14">
        <f t="shared" si="95"/>
        <v>35.323360776061527</v>
      </c>
      <c r="CW82" s="22">
        <f t="shared" si="67"/>
        <v>297.96572801830735</v>
      </c>
      <c r="CX82" s="60">
        <f t="shared" si="68"/>
        <v>591.2990613516406</v>
      </c>
      <c r="CY82" s="60">
        <f ca="1">AVERAGE(OFFSET($CX$3,0,0,'Données projet'!$E$13+1,1))-AVERAGE(OFFSET($H$3,0,0,'Données projet'!$E$13+1,1))</f>
        <v>243.04319555814601</v>
      </c>
      <c r="CZ82" s="60">
        <f t="shared" si="96"/>
        <v>235.68746142880792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0" t="e">
        <f t="shared" si="71"/>
        <v>#NUM!</v>
      </c>
      <c r="DT82" s="60">
        <f ca="1">AVERAGE(OFFSET($DS$3,0,0,'Données projet'!$E$14+1,1))-AVERAGE(OFFSET($H$3,0,0,'Données projet'!$E$14+1,1))</f>
        <v>201.4732637505823</v>
      </c>
      <c r="DU82" s="60">
        <f t="shared" si="98"/>
        <v>342.06887933351783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2.5030748899720741</v>
      </c>
      <c r="EB82" s="23">
        <f>EXP(-LN(2)/25)*EB81+(1-EXP(-LN(2)/25))/(LN(2)/25)*Calculateur!DW82*Calculateur!DY82*VLOOKUP('Données projet'!$B$14,Paramètres!$A$1:$I$89,3,0)*0.475*44/12</f>
        <v>6.7963335763936499</v>
      </c>
      <c r="EC82" s="23">
        <f>EXP(-LN(2)/2)*EC81+(1-EXP(-LN(2)/2))/(LN(2)/2)*DW82*DZ82*VLOOKUP('Données projet'!$B$14,Paramètres!$A$1:$I$89,3,0)*0.475*44/12</f>
        <v>5.6464794845193394E-7</v>
      </c>
      <c r="ED82" s="24">
        <f t="shared" si="72"/>
        <v>9.2994090310136723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-3.4106051316484809E-13</v>
      </c>
      <c r="EK82" s="18">
        <f>EJ82*VLOOKUP('Données projet'!$B$15,Paramètres!$A$1:$I$89,3,0)*VLOOKUP('Données projet'!$B$15,Paramètres!$A$1:$I$89,5,0)</f>
        <v>-2.0395418687257919E-13</v>
      </c>
      <c r="EL82" s="14" t="e">
        <f t="shared" si="99"/>
        <v>#NUM!</v>
      </c>
      <c r="EM82" s="22" t="e">
        <f t="shared" si="73"/>
        <v>#NUM!</v>
      </c>
      <c r="EN82" s="60" t="e">
        <f t="shared" si="74"/>
        <v>#NUM!</v>
      </c>
      <c r="EO82" s="60">
        <f ca="1">AVERAGE(OFFSET($EN$3,0,0,'Données projet'!$E$15+1,1))-AVERAGE(OFFSET($H$3,0,0,'Données projet'!$E$15+1,1))</f>
        <v>260.01925143568263</v>
      </c>
      <c r="EP82" s="60">
        <f t="shared" si="100"/>
        <v>269.95358755269427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5.3851284818156504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5.3851284818156504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-1.1368683772161603E-13</v>
      </c>
      <c r="FF82" s="18">
        <f>FE82*VLOOKUP('Données projet'!$B$16,Paramètres!$A$1:$I$89,3,0)*VLOOKUP('Données projet'!$B$16,Paramètres!$A$1:$I$89,5,0)</f>
        <v>-9.2222762759774927E-14</v>
      </c>
      <c r="FG82" s="14" t="e">
        <f t="shared" si="101"/>
        <v>#NUM!</v>
      </c>
      <c r="FH82" s="22" t="e">
        <f t="shared" si="76"/>
        <v>#NUM!</v>
      </c>
      <c r="FI82" s="60" t="e">
        <f t="shared" si="77"/>
        <v>#NUM!</v>
      </c>
      <c r="FJ82" s="60">
        <f ca="1">AVERAGE(OFFSET($FI$3,0,0,'Données projet'!$E$16+1,1))-AVERAGE(OFFSET($H$3,0,0,'Données projet'!$E$16+1,1))</f>
        <v>256.19915261735281</v>
      </c>
      <c r="FK82" s="60">
        <f t="shared" si="102"/>
        <v>297.47246687305056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5.5269230769230742</v>
      </c>
      <c r="FZ82" s="13">
        <f>IF('Données projet'!$A$244&gt;35,FZ81+FY82-GH81,IF(A82&lt;'Données projet'!$A$244,$FW$205^A82,IF(A82='Données projet'!$A$244,'Données projet'!$B$244,FZ81+FY82-GH81)))</f>
        <v>298.91923076923081</v>
      </c>
      <c r="GA82" s="18">
        <f>FZ82*VLOOKUP('Données projet'!$B$17,Paramètres!$A$1:$I$89,3,0)*VLOOKUP('Données projet'!$B$17,Paramètres!$A$1:$I$89,5,0)</f>
        <v>170.98180000000005</v>
      </c>
      <c r="GB82" s="14">
        <f t="shared" si="103"/>
        <v>43.309840373388248</v>
      </c>
      <c r="GC82" s="22">
        <f t="shared" si="79"/>
        <v>373.22460698365126</v>
      </c>
      <c r="GD82" s="60">
        <f t="shared" si="80"/>
        <v>666.55794031698451</v>
      </c>
      <c r="GE82" s="60">
        <f ca="1">AVERAGE(OFFSET($GD$3,0,0,'Données projet'!$E$17+1,1))-AVERAGE(OFFSET($H$3,0,0,'Données projet'!$E$17+1,1))</f>
        <v>268.71641789629319</v>
      </c>
      <c r="GF82" s="60">
        <f t="shared" si="104"/>
        <v>199.94048514486104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0.53970738961574738</v>
      </c>
      <c r="GN82" s="23">
        <f>EXP(-LN(2)/2)*GN81+(1-EXP(-LN(2)/2))/(LN(2)/2)*GH82*GK82*VLOOKUP('Données projet'!$B$17,Paramètres!$A$1:$I$89,3,0)*0.475*44/12</f>
        <v>2.9400441473940771E-7</v>
      </c>
      <c r="GO82" s="23">
        <f t="shared" si="81"/>
        <v>0.53970768362016208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7.5584615384615343</v>
      </c>
      <c r="GU82" s="13">
        <f>IF('Données projet'!$A$270&gt;35,GU81+GT82-HC81,IF(A82&lt;'Données projet'!$A$270,$GR$205^A82,IF(A82='Données projet'!$A$270,'Données projet'!$B$270,GU81+GT82-HC81)))</f>
        <v>395.34923076923047</v>
      </c>
      <c r="GV82" s="18">
        <f>GU82*VLOOKUP('Données projet'!$B$18,Paramètres!$A$1:$I$89,3,0)*VLOOKUP('Données projet'!$B$18,Paramètres!$A$1:$I$89,5,0)</f>
        <v>236.41883999999985</v>
      </c>
      <c r="GW82" s="14">
        <f t="shared" si="105"/>
        <v>57.668353588027863</v>
      </c>
      <c r="GX82" s="22">
        <f t="shared" si="82"/>
        <v>512.20186216581487</v>
      </c>
      <c r="GY82" s="60">
        <f t="shared" si="83"/>
        <v>805.53519549914813</v>
      </c>
      <c r="GZ82" s="60">
        <f ca="1">AVERAGE(OFFSET($GY$3,0,0,'Données projet'!$E$18+1,1))-AVERAGE(OFFSET($H$3,0,0,'Données projet'!$E$18+1,1))</f>
        <v>289.12367833861299</v>
      </c>
      <c r="HA82" s="60">
        <f t="shared" si="106"/>
        <v>229.06617320689003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1.7477602983320005E-7</v>
      </c>
      <c r="HJ82" s="24">
        <f t="shared" si="84"/>
        <v>1.7477602983320005E-7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0">
        <f t="shared" si="55"/>
        <v>804.97196869076015</v>
      </c>
      <c r="S83" s="60">
        <f ca="1">AVERAGE(OFFSET($R$3,0,0,'Données projet'!$E$9+1,1))-AVERAGE(OFFSET($H$3,0,0,'Données projet'!$E$9+1,1))</f>
        <v>430.11660085503223</v>
      </c>
      <c r="T83" s="60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1.2710188457276673E-13</v>
      </c>
      <c r="AK83" s="14">
        <f t="shared" si="89"/>
        <v>1.856866851063998E-12</v>
      </c>
      <c r="AL83" s="22">
        <f t="shared" si="58"/>
        <v>3.4554122145673649E-12</v>
      </c>
      <c r="AM83" s="60">
        <f t="shared" si="59"/>
        <v>293.33333333333678</v>
      </c>
      <c r="AN83" s="60">
        <f ca="1">AVERAGE(OFFSET($AM$3,0,0,'Données projet'!$E$10+1,1))-AVERAGE(OFFSET($H$3,0,0,'Données projet'!$E$10+1,1))</f>
        <v>323.98185264074681</v>
      </c>
      <c r="AO83" s="60">
        <f t="shared" si="90"/>
        <v>301.22207291854005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1.6577458886981713</v>
      </c>
      <c r="AV83" s="23">
        <f>EXP(-LN(2)/25)*AV82+(1-EXP(-LN(2)/25))/(LN(2)/25)*Calculateur!AQ83*Calculateur!AS83*VLOOKUP('Données projet'!$B$10,Paramètres!$A$1:$I$89,3,0)*0.475*44/12</f>
        <v>2.061824910270436</v>
      </c>
      <c r="AW83" s="23">
        <f>EXP(-LN(2)/2)*AW82+(1-EXP(-LN(2)/2))/(LN(2)/2)*AQ83*AT83*VLOOKUP('Données projet'!$B$10,Paramètres!$A$1:$I$89,3,0)*0.475*44/12</f>
        <v>1.814307922011024E-7</v>
      </c>
      <c r="AX83" s="23">
        <f t="shared" si="60"/>
        <v>3.7195709803993995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351</v>
      </c>
      <c r="BB83" s="13">
        <f>VLOOKUP(A83,'Données projet'!$A$87:$I$107,9,0)</f>
        <v>8.8000000000000007</v>
      </c>
      <c r="BC83" s="13">
        <f t="array" ref="BC83">INDEX(BB:BB,MIN(IF(ISNUMBER(BB83:BB279),ROW(BB83:BB279),"")))</f>
        <v>8.8000000000000007</v>
      </c>
      <c r="BD83" s="13">
        <f>IF('Données projet'!$A$88&gt;35,BD82+BC83-BL82,IF(A83&lt;'Données projet'!$A$88,$BA$205^A83,IF(A83='Données projet'!$A$88,'Données projet'!$B$88,BD82+BC83-BL82)))</f>
        <v>350.99999999999989</v>
      </c>
      <c r="BE83" s="14">
        <f>BD83*VLOOKUP('Données projet'!$B$11,Paramètres!$A$1:$I$89,3,0)*VLOOKUP('Données projet'!$B$11,Paramètres!$A$1:$I$89,5,0)</f>
        <v>301.15799999999996</v>
      </c>
      <c r="BF83" s="14">
        <f t="shared" si="91"/>
        <v>71.419170296330975</v>
      </c>
      <c r="BG83" s="22">
        <f t="shared" si="61"/>
        <v>648.90523826610968</v>
      </c>
      <c r="BH83" s="60">
        <f t="shared" si="62"/>
        <v>942.23857159944305</v>
      </c>
      <c r="BI83" s="60">
        <f ca="1">AVERAGE(OFFSET($BH$3,0,0,'Données projet'!$E$11+1,1))-AVERAGE(OFFSET($H$3,0,0,'Données projet'!$E$11+1,1))</f>
        <v>556.75475431848258</v>
      </c>
      <c r="BJ83" s="60">
        <f t="shared" si="92"/>
        <v>256.77417912163997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284.60000000000002</v>
      </c>
      <c r="BW83" s="13">
        <f>VLOOKUP(A83,'Données projet'!$A$113:$I$133,9,0)</f>
        <v>2.9799999999999955</v>
      </c>
      <c r="BX83" s="13">
        <f t="array" ref="BX83">INDEX(BW:BW,MIN(IF(ISNUMBER(BW83:BW279),ROW(BW83:BW279),"")))</f>
        <v>2.9799999999999955</v>
      </c>
      <c r="BY83" s="13">
        <f>IF('Données projet'!$A$114&gt;35,BY82+BX83-CG82,IF(A83&lt;'Données projet'!$A$114,$BV$205^A83,IF(A83='Données projet'!$A$114,'Données projet'!$B$114,BY82+BX83-CG82)))</f>
        <v>284.60000000000036</v>
      </c>
      <c r="BZ83" s="14">
        <f>BY83*VLOOKUP('Données projet'!$B$12,Paramètres!$A$1:$I$89,3,0)*VLOOKUP('Données projet'!$B$12,Paramètres!$A$1:$I$89,5,0)</f>
        <v>208.66872000000026</v>
      </c>
      <c r="CA83" s="14">
        <f t="shared" si="93"/>
        <v>51.644559934074373</v>
      </c>
      <c r="CB83" s="22">
        <f t="shared" si="64"/>
        <v>453.3789625518466</v>
      </c>
      <c r="CC83" s="60">
        <f t="shared" si="65"/>
        <v>746.71229588517986</v>
      </c>
      <c r="CD83" s="60">
        <f ca="1">AVERAGE(OFFSET($CC$3,0,0,'Données projet'!$E$12+1,1))-AVERAGE(OFFSET($H$3,0,0,'Données projet'!$E$12+1,1))</f>
        <v>290.68086183422963</v>
      </c>
      <c r="CE83" s="60">
        <f t="shared" si="94"/>
        <v>317.88330630101785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284.60000000000002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211</v>
      </c>
      <c r="CR83" s="13">
        <f>VLOOKUP(A83,'Données projet'!$A$139:$I$159,9,0)</f>
        <v>3.8</v>
      </c>
      <c r="CS83" s="13">
        <f t="array" ref="CS83">INDEX(CR:CR,MIN(IF(ISNUMBER(CR83:CR279),ROW(CR83:CR279),"")))</f>
        <v>3.8</v>
      </c>
      <c r="CT83" s="13">
        <f>IF('Données projet'!$A$140&gt;35,CT82+CS83-DB82,IF(A83&lt;'Données projet'!$A$140,$CQ$205^A83,IF(A83='Données projet'!$A$140,'Données projet'!$B$140,CT82+CS83-DB82)))</f>
        <v>211.0000000000002</v>
      </c>
      <c r="CU83" s="18">
        <f>CT83*VLOOKUP('Données projet'!$B$13,Paramètres!$A$1:$I$89,3,0)*VLOOKUP('Données projet'!$B$13,Paramètres!$A$1:$I$89,5,0)</f>
        <v>138.24720000000013</v>
      </c>
      <c r="CV83" s="14">
        <f t="shared" si="95"/>
        <v>35.895169667226</v>
      </c>
      <c r="CW83" s="22">
        <f t="shared" si="67"/>
        <v>303.29796050375222</v>
      </c>
      <c r="CX83" s="60">
        <f t="shared" si="68"/>
        <v>596.63129383708554</v>
      </c>
      <c r="CY83" s="60">
        <f ca="1">AVERAGE(OFFSET($CX$3,0,0,'Données projet'!$E$13+1,1))-AVERAGE(OFFSET($H$3,0,0,'Données projet'!$E$13+1,1))</f>
        <v>243.04319555814601</v>
      </c>
      <c r="CZ83" s="60">
        <f t="shared" si="96"/>
        <v>235.68746142880792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0" t="e">
        <f t="shared" si="71"/>
        <v>#NUM!</v>
      </c>
      <c r="DT83" s="60">
        <f ca="1">AVERAGE(OFFSET($DS$3,0,0,'Données projet'!$E$14+1,1))-AVERAGE(OFFSET($H$3,0,0,'Données projet'!$E$14+1,1))</f>
        <v>201.4732637505823</v>
      </c>
      <c r="DU83" s="60">
        <f t="shared" si="98"/>
        <v>342.06887933351783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2.453991118104653</v>
      </c>
      <c r="EB83" s="23">
        <f>EXP(-LN(2)/25)*EB82+(1-EXP(-LN(2)/25))/(LN(2)/25)*Calculateur!DW83*Calculateur!DY83*VLOOKUP('Données projet'!$B$14,Paramètres!$A$1:$I$89,3,0)*0.475*44/12</f>
        <v>6.6104874773435158</v>
      </c>
      <c r="EC83" s="23">
        <f>EXP(-LN(2)/2)*EC82+(1-EXP(-LN(2)/2))/(LN(2)/2)*DW83*DZ83*VLOOKUP('Données projet'!$B$14,Paramètres!$A$1:$I$89,3,0)*0.475*44/12</f>
        <v>3.9926639333343462E-7</v>
      </c>
      <c r="ED83" s="24">
        <f t="shared" si="72"/>
        <v>9.0644789947145625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-3.4106051316484809E-13</v>
      </c>
      <c r="EK83" s="18">
        <f>EJ83*VLOOKUP('Données projet'!$B$15,Paramètres!$A$1:$I$89,3,0)*VLOOKUP('Données projet'!$B$15,Paramètres!$A$1:$I$89,5,0)</f>
        <v>-2.0395418687257919E-13</v>
      </c>
      <c r="EL83" s="14" t="e">
        <f t="shared" si="99"/>
        <v>#NUM!</v>
      </c>
      <c r="EM83" s="22" t="e">
        <f t="shared" si="73"/>
        <v>#NUM!</v>
      </c>
      <c r="EN83" s="60" t="e">
        <f t="shared" si="74"/>
        <v>#NUM!</v>
      </c>
      <c r="EO83" s="60">
        <f ca="1">AVERAGE(OFFSET($EN$3,0,0,'Données projet'!$E$15+1,1))-AVERAGE(OFFSET($H$3,0,0,'Données projet'!$E$15+1,1))</f>
        <v>260.01925143568263</v>
      </c>
      <c r="EP83" s="60">
        <f t="shared" si="100"/>
        <v>269.95358755269427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5.2795293968912915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5.2795293968912915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-1.1368683772161603E-13</v>
      </c>
      <c r="FF83" s="18">
        <f>FE83*VLOOKUP('Données projet'!$B$16,Paramètres!$A$1:$I$89,3,0)*VLOOKUP('Données projet'!$B$16,Paramètres!$A$1:$I$89,5,0)</f>
        <v>-9.2222762759774927E-14</v>
      </c>
      <c r="FG83" s="14" t="e">
        <f t="shared" si="101"/>
        <v>#NUM!</v>
      </c>
      <c r="FH83" s="22" t="e">
        <f t="shared" si="76"/>
        <v>#NUM!</v>
      </c>
      <c r="FI83" s="60" t="e">
        <f t="shared" si="77"/>
        <v>#NUM!</v>
      </c>
      <c r="FJ83" s="60">
        <f ca="1">AVERAGE(OFFSET($FI$3,0,0,'Données projet'!$E$16+1,1))-AVERAGE(OFFSET($H$3,0,0,'Données projet'!$E$16+1,1))</f>
        <v>256.19915261735281</v>
      </c>
      <c r="FK83" s="60">
        <f t="shared" si="102"/>
        <v>297.47246687305056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304.44615384615383</v>
      </c>
      <c r="FX83" s="13">
        <f>VLOOKUP(A83,'Données projet'!$A$243:$I$263,9,0)</f>
        <v>5.5269230769230742</v>
      </c>
      <c r="FY83" s="13">
        <f t="array" ref="FY83">INDEX(FX:FX,MIN(IF(ISNUMBER(FX83:FX279),ROW(FX83:FX279),"")))</f>
        <v>5.5269230769230742</v>
      </c>
      <c r="FZ83" s="13">
        <f>IF('Données projet'!$A$244&gt;35,FZ82+FY83-GH82,IF(A83&lt;'Données projet'!$A$244,$FW$205^A83,IF(A83='Données projet'!$A$244,'Données projet'!$B$244,FZ82+FY83-GH82)))</f>
        <v>304.44615384615389</v>
      </c>
      <c r="GA83" s="18">
        <f>FZ83*VLOOKUP('Données projet'!$B$17,Paramètres!$A$1:$I$89,3,0)*VLOOKUP('Données projet'!$B$17,Paramètres!$A$1:$I$89,5,0)</f>
        <v>174.14320000000004</v>
      </c>
      <c r="GB83" s="14">
        <f t="shared" si="103"/>
        <v>44.016658122288085</v>
      </c>
      <c r="GC83" s="22">
        <f t="shared" si="79"/>
        <v>379.9617528963185</v>
      </c>
      <c r="GD83" s="60">
        <f t="shared" si="80"/>
        <v>673.29508622965182</v>
      </c>
      <c r="GE83" s="60">
        <f ca="1">AVERAGE(OFFSET($GD$3,0,0,'Données projet'!$E$17+1,1))-AVERAGE(OFFSET($H$3,0,0,'Données projet'!$E$17+1,1))</f>
        <v>268.71641789629319</v>
      </c>
      <c r="GF83" s="60">
        <f t="shared" si="104"/>
        <v>199.94048514486104</v>
      </c>
      <c r="GG83" s="16">
        <f>IF(ISNA(VLOOKUP(A83,'Données projet'!$A$243:$I$263,3,0)),0,VLOOKUP(A83,'Données projet'!$A$243:$I$263,3,0))</f>
        <v>8</v>
      </c>
      <c r="GH83" s="16">
        <f>IF(ISNA(VLOOKUP(A83,'Données projet'!$A$243:$I$263,4,0)),0,VLOOKUP(A83,'Données projet'!$A$243:$I$263,4,0))</f>
        <v>34.915384615384617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0.52494906266472663</v>
      </c>
      <c r="GN83" s="23">
        <f>EXP(-LN(2)/2)*GN82+(1-EXP(-LN(2)/2))/(LN(2)/2)*GH83*GK83*VLOOKUP('Données projet'!$B$17,Paramètres!$A$1:$I$89,3,0)*0.475*44/12</f>
        <v>2.0789251536101734E-7</v>
      </c>
      <c r="GO83" s="23">
        <f t="shared" si="81"/>
        <v>0.52494927055724194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402.90769230769229</v>
      </c>
      <c r="GS83" s="13">
        <f>VLOOKUP(A83,'Données projet'!$A$269:$I$289,9,0)</f>
        <v>7.5584615384615343</v>
      </c>
      <c r="GT83" s="13">
        <f t="array" ref="GT83">INDEX(GS:GS,MIN(IF(ISNUMBER(GS83:GS279),ROW(GS83:GS279),"")))</f>
        <v>7.5584615384615343</v>
      </c>
      <c r="GU83" s="13">
        <f>IF('Données projet'!$A$270&gt;35,GU82+GT83-HC82,IF(A83&lt;'Données projet'!$A$270,$GR$205^A83,IF(A83='Données projet'!$A$270,'Données projet'!$B$270,GU82+GT83-HC82)))</f>
        <v>402.907692307692</v>
      </c>
      <c r="GV83" s="18">
        <f>GU83*VLOOKUP('Données projet'!$B$18,Paramètres!$A$1:$I$89,3,0)*VLOOKUP('Données projet'!$B$18,Paramètres!$A$1:$I$89,5,0)</f>
        <v>240.93879999999982</v>
      </c>
      <c r="GW83" s="14">
        <f t="shared" si="105"/>
        <v>58.64147195802866</v>
      </c>
      <c r="GX83" s="22">
        <f t="shared" si="82"/>
        <v>521.76897366023286</v>
      </c>
      <c r="GY83" s="60">
        <f t="shared" si="83"/>
        <v>815.10230699356612</v>
      </c>
      <c r="GZ83" s="60">
        <f ca="1">AVERAGE(OFFSET($GY$3,0,0,'Données projet'!$E$18+1,1))-AVERAGE(OFFSET($H$3,0,0,'Données projet'!$E$18+1,1))</f>
        <v>289.12367833861299</v>
      </c>
      <c r="HA83" s="60">
        <f t="shared" si="106"/>
        <v>229.06617320689003</v>
      </c>
      <c r="HB83" s="16">
        <f>IF(ISNA(VLOOKUP(A83,'Données projet'!$A$269:$I$289,3,0)),0,VLOOKUP(A83,'Données projet'!$A$269:$I$289,3,0))</f>
        <v>8</v>
      </c>
      <c r="HC83" s="16">
        <f>IF(ISNA(VLOOKUP(A83,'Données projet'!$A$269:$I$289,4,0)),0,VLOOKUP(A83,'Données projet'!$A$269:$I$289,4,0))</f>
        <v>402.90769230769229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1.2358531588391809E-7</v>
      </c>
      <c r="HJ83" s="24">
        <f t="shared" si="84"/>
        <v>1.2358531588391809E-7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241.40063999999992</v>
      </c>
      <c r="P84" s="14">
        <f t="shared" si="87"/>
        <v>58.740782866262698</v>
      </c>
      <c r="Q84" s="22">
        <f t="shared" si="54"/>
        <v>522.74631149207403</v>
      </c>
      <c r="R84" s="60">
        <f t="shared" si="55"/>
        <v>816.07964482540729</v>
      </c>
      <c r="S84" s="60">
        <f ca="1">AVERAGE(OFFSET($R$3,0,0,'Données projet'!$E$9+1,1))-AVERAGE(OFFSET($H$3,0,0,'Données projet'!$E$9+1,1))</f>
        <v>430.11660085503223</v>
      </c>
      <c r="T84" s="60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1.2710188457276673E-13</v>
      </c>
      <c r="AK84" s="14">
        <f t="shared" si="89"/>
        <v>1.856866851063998E-12</v>
      </c>
      <c r="AL84" s="22">
        <f t="shared" si="58"/>
        <v>3.4554122145673649E-12</v>
      </c>
      <c r="AM84" s="60">
        <f t="shared" si="59"/>
        <v>293.33333333333678</v>
      </c>
      <c r="AN84" s="60">
        <f ca="1">AVERAGE(OFFSET($AM$3,0,0,'Données projet'!$E$10+1,1))-AVERAGE(OFFSET($H$3,0,0,'Données projet'!$E$10+1,1))</f>
        <v>323.98185264074681</v>
      </c>
      <c r="AO84" s="60">
        <f t="shared" si="90"/>
        <v>301.22207291854005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1.625238502945952</v>
      </c>
      <c r="AV84" s="23">
        <f>EXP(-LN(2)/25)*AV83+(1-EXP(-LN(2)/25))/(LN(2)/25)*Calculateur!AQ84*Calculateur!AS84*VLOOKUP('Données projet'!$B$10,Paramètres!$A$1:$I$89,3,0)*0.475*44/12</f>
        <v>2.0054441996724313</v>
      </c>
      <c r="AW84" s="23">
        <f>EXP(-LN(2)/2)*AW83+(1-EXP(-LN(2)/2))/(LN(2)/2)*AQ84*AT84*VLOOKUP('Données projet'!$B$10,Paramètres!$A$1:$I$89,3,0)*0.475*44/12</f>
        <v>1.2829094348144688E-7</v>
      </c>
      <c r="AX84" s="23">
        <f t="shared" si="60"/>
        <v>3.6306828309093269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8.4</v>
      </c>
      <c r="BD84" s="13">
        <f>IF('Données projet'!$A$88&gt;35,BD83+BC84-BL83,IF(A84&lt;'Données projet'!$A$88,$BA$205^A84,IF(A84='Données projet'!$A$88,'Données projet'!$B$88,BD83+BC84-BL83)))</f>
        <v>359.39999999999986</v>
      </c>
      <c r="BE84" s="14">
        <f>BD84*VLOOKUP('Données projet'!$B$11,Paramètres!$A$1:$I$89,3,0)*VLOOKUP('Données projet'!$B$11,Paramètres!$A$1:$I$89,5,0)</f>
        <v>308.3651999999999</v>
      </c>
      <c r="BF84" s="14">
        <f t="shared" si="91"/>
        <v>72.927313872599754</v>
      </c>
      <c r="BG84" s="22">
        <f t="shared" si="61"/>
        <v>664.08446166144438</v>
      </c>
      <c r="BH84" s="60">
        <f t="shared" si="62"/>
        <v>957.41779499477775</v>
      </c>
      <c r="BI84" s="60">
        <f ca="1">AVERAGE(OFFSET($BH$3,0,0,'Données projet'!$E$11+1,1))-AVERAGE(OFFSET($H$3,0,0,'Données projet'!$E$11+1,1))</f>
        <v>556.75475431848258</v>
      </c>
      <c r="BJ84" s="60">
        <f t="shared" si="92"/>
        <v>256.77417912163997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3.4106051316484809E-13</v>
      </c>
      <c r="BZ84" s="14">
        <f>BY84*VLOOKUP('Données projet'!$B$12,Paramètres!$A$1:$I$89,3,0)*VLOOKUP('Données projet'!$B$12,Paramètres!$A$1:$I$89,5,0)</f>
        <v>2.5006556825246659E-13</v>
      </c>
      <c r="CA84" s="14">
        <f t="shared" si="93"/>
        <v>3.3765445850268018E-12</v>
      </c>
      <c r="CB84" s="22">
        <f t="shared" si="64"/>
        <v>6.3163460169613921E-12</v>
      </c>
      <c r="CC84" s="60">
        <f t="shared" si="65"/>
        <v>293.33333333333962</v>
      </c>
      <c r="CD84" s="60">
        <f ca="1">AVERAGE(OFFSET($CC$3,0,0,'Données projet'!$E$12+1,1))-AVERAGE(OFFSET($H$3,0,0,'Données projet'!$E$12+1,1))</f>
        <v>290.68086183422963</v>
      </c>
      <c r="CE84" s="60">
        <f t="shared" si="94"/>
        <v>317.88330630101785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3.6</v>
      </c>
      <c r="CT84" s="13">
        <f>IF('Données projet'!$A$140&gt;35,CT83+CS84-DB83,IF(A84&lt;'Données projet'!$A$140,$CQ$205^A84,IF(A84='Données projet'!$A$140,'Données projet'!$B$140,CT83+CS84-DB83)))</f>
        <v>214.60000000000019</v>
      </c>
      <c r="CU84" s="18">
        <f>CT84*VLOOKUP('Données projet'!$B$13,Paramètres!$A$1:$I$89,3,0)*VLOOKUP('Données projet'!$B$13,Paramètres!$A$1:$I$89,5,0)</f>
        <v>140.60592000000011</v>
      </c>
      <c r="CV84" s="14">
        <f t="shared" si="95"/>
        <v>36.435778350352294</v>
      </c>
      <c r="CW84" s="22">
        <f t="shared" si="67"/>
        <v>308.34762462686376</v>
      </c>
      <c r="CX84" s="60">
        <f t="shared" si="68"/>
        <v>601.68095796019702</v>
      </c>
      <c r="CY84" s="60">
        <f ca="1">AVERAGE(OFFSET($CX$3,0,0,'Données projet'!$E$13+1,1))-AVERAGE(OFFSET($H$3,0,0,'Données projet'!$E$13+1,1))</f>
        <v>243.04319555814601</v>
      </c>
      <c r="CZ84" s="60">
        <f t="shared" si="96"/>
        <v>235.68746142880792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0" t="e">
        <f t="shared" si="71"/>
        <v>#NUM!</v>
      </c>
      <c r="DT84" s="60">
        <f ca="1">AVERAGE(OFFSET($DS$3,0,0,'Données projet'!$E$14+1,1))-AVERAGE(OFFSET($H$3,0,0,'Données projet'!$E$14+1,1))</f>
        <v>201.4732637505823</v>
      </c>
      <c r="DU84" s="60">
        <f t="shared" si="98"/>
        <v>342.06887933351783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2.4058698490654074</v>
      </c>
      <c r="EB84" s="23">
        <f>EXP(-LN(2)/25)*EB83+(1-EXP(-LN(2)/25))/(LN(2)/25)*Calculateur!DW84*Calculateur!DY84*VLOOKUP('Données projet'!$B$14,Paramètres!$A$1:$I$89,3,0)*0.475*44/12</f>
        <v>6.4297233496451298</v>
      </c>
      <c r="EC84" s="23">
        <f>EXP(-LN(2)/2)*EC83+(1-EXP(-LN(2)/2))/(LN(2)/2)*DW84*DZ84*VLOOKUP('Données projet'!$B$14,Paramètres!$A$1:$I$89,3,0)*0.475*44/12</f>
        <v>2.8232397422596697E-7</v>
      </c>
      <c r="ED84" s="24">
        <f t="shared" si="72"/>
        <v>8.8355934810345111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-3.4106051316484809E-13</v>
      </c>
      <c r="EK84" s="18">
        <f>EJ84*VLOOKUP('Données projet'!$B$15,Paramètres!$A$1:$I$89,3,0)*VLOOKUP('Données projet'!$B$15,Paramètres!$A$1:$I$89,5,0)</f>
        <v>-2.0395418687257919E-13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260.01925143568263</v>
      </c>
      <c r="EP84" s="60">
        <f t="shared" si="100"/>
        <v>269.95358755269427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5.1760010456132175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5.1760010456132175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-1.1368683772161603E-13</v>
      </c>
      <c r="FF84" s="18">
        <f>FE84*VLOOKUP('Données projet'!$B$16,Paramètres!$A$1:$I$89,3,0)*VLOOKUP('Données projet'!$B$16,Paramètres!$A$1:$I$89,5,0)</f>
        <v>-9.2222762759774927E-14</v>
      </c>
      <c r="FG84" s="14" t="e">
        <f t="shared" si="101"/>
        <v>#NUM!</v>
      </c>
      <c r="FH84" s="22" t="e">
        <f t="shared" si="76"/>
        <v>#NUM!</v>
      </c>
      <c r="FI84" s="60" t="e">
        <f t="shared" si="77"/>
        <v>#NUM!</v>
      </c>
      <c r="FJ84" s="60">
        <f ca="1">AVERAGE(OFFSET($FI$3,0,0,'Données projet'!$E$16+1,1))-AVERAGE(OFFSET($H$3,0,0,'Données projet'!$E$16+1,1))</f>
        <v>256.19915261735281</v>
      </c>
      <c r="FK84" s="60">
        <f t="shared" si="102"/>
        <v>297.47246687305056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4.7676923076923057</v>
      </c>
      <c r="FZ84" s="13">
        <f>IF('Données projet'!$A$244&gt;35,FZ83+FY84-GH83,IF(A84&lt;'Données projet'!$A$244,$FW$205^A84,IF(A84='Données projet'!$A$244,'Données projet'!$B$244,FZ83+FY84-GH83)))</f>
        <v>274.29846153846159</v>
      </c>
      <c r="GA84" s="18">
        <f>FZ84*VLOOKUP('Données projet'!$B$17,Paramètres!$A$1:$I$89,3,0)*VLOOKUP('Données projet'!$B$17,Paramètres!$A$1:$I$89,5,0)</f>
        <v>156.89872000000003</v>
      </c>
      <c r="GB84" s="14">
        <f t="shared" si="103"/>
        <v>40.142218193023062</v>
      </c>
      <c r="GC84" s="22">
        <f t="shared" si="79"/>
        <v>343.17963401951516</v>
      </c>
      <c r="GD84" s="60">
        <f t="shared" si="80"/>
        <v>636.51296735284848</v>
      </c>
      <c r="GE84" s="60">
        <f ca="1">AVERAGE(OFFSET($GD$3,0,0,'Données projet'!$E$17+1,1))-AVERAGE(OFFSET($H$3,0,0,'Données projet'!$E$17+1,1))</f>
        <v>268.71641789629319</v>
      </c>
      <c r="GF84" s="60">
        <f t="shared" si="104"/>
        <v>199.94048514486104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0.51059430294028829</v>
      </c>
      <c r="GN84" s="23">
        <f>EXP(-LN(2)/2)*GN83+(1-EXP(-LN(2)/2))/(LN(2)/2)*GH84*GK84*VLOOKUP('Données projet'!$B$17,Paramètres!$A$1:$I$89,3,0)*0.475*44/12</f>
        <v>1.4700220736970385E-7</v>
      </c>
      <c r="GO84" s="23">
        <f t="shared" si="81"/>
        <v>0.5105944499424957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-2.8421709430404007E-13</v>
      </c>
      <c r="GV84" s="18">
        <f>GU84*VLOOKUP('Données projet'!$B$18,Paramètres!$A$1:$I$89,3,0)*VLOOKUP('Données projet'!$B$18,Paramètres!$A$1:$I$89,5,0)</f>
        <v>-1.69961822393816E-13</v>
      </c>
      <c r="GW84" s="14" t="e">
        <f t="shared" si="105"/>
        <v>#NUM!</v>
      </c>
      <c r="GX84" s="22" t="e">
        <f t="shared" si="82"/>
        <v>#NUM!</v>
      </c>
      <c r="GY84" s="60" t="e">
        <f t="shared" si="83"/>
        <v>#NUM!</v>
      </c>
      <c r="GZ84" s="60">
        <f ca="1">AVERAGE(OFFSET($GY$3,0,0,'Données projet'!$E$18+1,1))-AVERAGE(OFFSET($H$3,0,0,'Données projet'!$E$18+1,1))</f>
        <v>289.12367833861299</v>
      </c>
      <c r="HA84" s="60">
        <f t="shared" si="106"/>
        <v>229.06617320689003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8.7388014916600027E-8</v>
      </c>
      <c r="HJ84" s="24">
        <f t="shared" si="84"/>
        <v>8.7388014916600027E-8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246.64847999999992</v>
      </c>
      <c r="P85" s="14">
        <f t="shared" si="87"/>
        <v>59.867700517050096</v>
      </c>
      <c r="Q85" s="22">
        <f t="shared" si="54"/>
        <v>533.84901440052874</v>
      </c>
      <c r="R85" s="60">
        <f t="shared" si="55"/>
        <v>827.18234773386212</v>
      </c>
      <c r="S85" s="60">
        <f ca="1">AVERAGE(OFFSET($R$3,0,0,'Données projet'!$E$9+1,1))-AVERAGE(OFFSET($H$3,0,0,'Données projet'!$E$9+1,1))</f>
        <v>430.11660085503223</v>
      </c>
      <c r="T85" s="60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1.2710188457276673E-13</v>
      </c>
      <c r="AK85" s="14">
        <f t="shared" si="89"/>
        <v>1.856866851063998E-12</v>
      </c>
      <c r="AL85" s="22">
        <f t="shared" si="58"/>
        <v>3.4554122145673649E-12</v>
      </c>
      <c r="AM85" s="60">
        <f t="shared" si="59"/>
        <v>293.33333333333678</v>
      </c>
      <c r="AN85" s="60">
        <f ca="1">AVERAGE(OFFSET($AM$3,0,0,'Données projet'!$E$10+1,1))-AVERAGE(OFFSET($H$3,0,0,'Données projet'!$E$10+1,1))</f>
        <v>323.98185264074681</v>
      </c>
      <c r="AO85" s="60">
        <f t="shared" si="90"/>
        <v>301.22207291854005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1.5933685672007862</v>
      </c>
      <c r="AV85" s="23">
        <f>EXP(-LN(2)/25)*AV84+(1-EXP(-LN(2)/25))/(LN(2)/25)*Calculateur!AQ85*Calculateur!AS85*VLOOKUP('Données projet'!$B$10,Paramètres!$A$1:$I$89,3,0)*0.475*44/12</f>
        <v>1.9506052225706616</v>
      </c>
      <c r="AW85" s="23">
        <f>EXP(-LN(2)/2)*AW84+(1-EXP(-LN(2)/2))/(LN(2)/2)*AQ85*AT85*VLOOKUP('Données projet'!$B$10,Paramètres!$A$1:$I$89,3,0)*0.475*44/12</f>
        <v>9.0715396100551198E-8</v>
      </c>
      <c r="AX85" s="23">
        <f t="shared" si="60"/>
        <v>3.5439738804868437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8.4</v>
      </c>
      <c r="BD85" s="13">
        <f>IF('Données projet'!$A$88&gt;35,BD84+BC85-BL84,IF(A85&lt;'Données projet'!$A$88,$BA$205^A85,IF(A85='Données projet'!$A$88,'Données projet'!$B$88,BD84+BC85-BL84)))</f>
        <v>367.79999999999984</v>
      </c>
      <c r="BE85" s="14">
        <f>BD85*VLOOKUP('Données projet'!$B$11,Paramètres!$A$1:$I$89,3,0)*VLOOKUP('Données projet'!$B$11,Paramètres!$A$1:$I$89,5,0)</f>
        <v>315.5723999999999</v>
      </c>
      <c r="BF85" s="14">
        <f t="shared" si="91"/>
        <v>74.431359674407517</v>
      </c>
      <c r="BG85" s="22">
        <f t="shared" si="61"/>
        <v>679.25654809959303</v>
      </c>
      <c r="BH85" s="60">
        <f t="shared" si="62"/>
        <v>972.5898814329264</v>
      </c>
      <c r="BI85" s="60">
        <f ca="1">AVERAGE(OFFSET($BH$3,0,0,'Données projet'!$E$11+1,1))-AVERAGE(OFFSET($H$3,0,0,'Données projet'!$E$11+1,1))</f>
        <v>556.75475431848258</v>
      </c>
      <c r="BJ85" s="60">
        <f t="shared" si="92"/>
        <v>256.77417912163997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3.4106051316484809E-13</v>
      </c>
      <c r="BZ85" s="14">
        <f>BY85*VLOOKUP('Données projet'!$B$12,Paramètres!$A$1:$I$89,3,0)*VLOOKUP('Données projet'!$B$12,Paramètres!$A$1:$I$89,5,0)</f>
        <v>2.5006556825246659E-13</v>
      </c>
      <c r="CA85" s="14">
        <f t="shared" si="93"/>
        <v>3.3765445850268018E-12</v>
      </c>
      <c r="CB85" s="22">
        <f t="shared" si="64"/>
        <v>6.3163460169613921E-12</v>
      </c>
      <c r="CC85" s="60">
        <f t="shared" si="65"/>
        <v>293.33333333333962</v>
      </c>
      <c r="CD85" s="60">
        <f ca="1">AVERAGE(OFFSET($CC$3,0,0,'Données projet'!$E$12+1,1))-AVERAGE(OFFSET($H$3,0,0,'Données projet'!$E$12+1,1))</f>
        <v>290.68086183422963</v>
      </c>
      <c r="CE85" s="60">
        <f t="shared" si="94"/>
        <v>317.88330630101785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3.6</v>
      </c>
      <c r="CT85" s="13">
        <f>IF('Données projet'!$A$140&gt;35,CT84+CS85-DB84,IF(A85&lt;'Données projet'!$A$140,$CQ$205^A85,IF(A85='Données projet'!$A$140,'Données projet'!$B$140,CT84+CS85-DB84)))</f>
        <v>218.20000000000019</v>
      </c>
      <c r="CU85" s="18">
        <f>CT85*VLOOKUP('Données projet'!$B$13,Paramètres!$A$1:$I$89,3,0)*VLOOKUP('Données projet'!$B$13,Paramètres!$A$1:$I$89,5,0)</f>
        <v>142.96464000000012</v>
      </c>
      <c r="CV85" s="14">
        <f t="shared" si="95"/>
        <v>36.975332388300444</v>
      </c>
      <c r="CW85" s="22">
        <f t="shared" si="67"/>
        <v>313.39545190962349</v>
      </c>
      <c r="CX85" s="60">
        <f t="shared" si="68"/>
        <v>606.72878524295675</v>
      </c>
      <c r="CY85" s="60">
        <f ca="1">AVERAGE(OFFSET($CX$3,0,0,'Données projet'!$E$13+1,1))-AVERAGE(OFFSET($H$3,0,0,'Données projet'!$E$13+1,1))</f>
        <v>243.04319555814601</v>
      </c>
      <c r="CZ85" s="60">
        <f t="shared" si="96"/>
        <v>235.68746142880792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0" t="e">
        <f t="shared" si="71"/>
        <v>#NUM!</v>
      </c>
      <c r="DT85" s="60">
        <f ca="1">AVERAGE(OFFSET($DS$3,0,0,'Données projet'!$E$14+1,1))-AVERAGE(OFFSET($H$3,0,0,'Données projet'!$E$14+1,1))</f>
        <v>201.4732637505823</v>
      </c>
      <c r="DU85" s="60">
        <f t="shared" si="98"/>
        <v>342.06887933351783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2.3586922087609454</v>
      </c>
      <c r="EB85" s="23">
        <f>EXP(-LN(2)/25)*EB84+(1-EXP(-LN(2)/25))/(LN(2)/25)*Calculateur!DW85*Calculateur!DY85*VLOOKUP('Données projet'!$B$14,Paramètres!$A$1:$I$89,3,0)*0.475*44/12</f>
        <v>6.2539022265246285</v>
      </c>
      <c r="EC85" s="23">
        <f>EXP(-LN(2)/2)*EC84+(1-EXP(-LN(2)/2))/(LN(2)/2)*DW85*DZ85*VLOOKUP('Données projet'!$B$14,Paramètres!$A$1:$I$89,3,0)*0.475*44/12</f>
        <v>1.9963319666671731E-7</v>
      </c>
      <c r="ED85" s="24">
        <f t="shared" si="72"/>
        <v>8.6125946349187714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-3.4106051316484809E-13</v>
      </c>
      <c r="EK85" s="18">
        <f>EJ85*VLOOKUP('Données projet'!$B$15,Paramètres!$A$1:$I$89,3,0)*VLOOKUP('Données projet'!$B$15,Paramètres!$A$1:$I$89,5,0)</f>
        <v>-2.0395418687257919E-13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260.01925143568263</v>
      </c>
      <c r="EP85" s="60">
        <f t="shared" si="100"/>
        <v>269.95358755269427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5.0745028221576476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5.0745028221576476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-1.1368683772161603E-13</v>
      </c>
      <c r="FF85" s="18">
        <f>FE85*VLOOKUP('Données projet'!$B$16,Paramètres!$A$1:$I$89,3,0)*VLOOKUP('Données projet'!$B$16,Paramètres!$A$1:$I$89,5,0)</f>
        <v>-9.2222762759774927E-14</v>
      </c>
      <c r="FG85" s="14" t="e">
        <f t="shared" si="101"/>
        <v>#NUM!</v>
      </c>
      <c r="FH85" s="22" t="e">
        <f t="shared" si="76"/>
        <v>#NUM!</v>
      </c>
      <c r="FI85" s="60" t="e">
        <f t="shared" si="77"/>
        <v>#NUM!</v>
      </c>
      <c r="FJ85" s="60">
        <f ca="1">AVERAGE(OFFSET($FI$3,0,0,'Données projet'!$E$16+1,1))-AVERAGE(OFFSET($H$3,0,0,'Données projet'!$E$16+1,1))</f>
        <v>256.19915261735281</v>
      </c>
      <c r="FK85" s="60">
        <f t="shared" si="102"/>
        <v>297.47246687305056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4.7676923076923057</v>
      </c>
      <c r="FZ85" s="13">
        <f>IF('Données projet'!$A$244&gt;35,FZ84+FY85-GH84,IF(A85&lt;'Données projet'!$A$244,$FW$205^A85,IF(A85='Données projet'!$A$244,'Données projet'!$B$244,FZ84+FY85-GH84)))</f>
        <v>279.0661538461539</v>
      </c>
      <c r="GA85" s="18">
        <f>FZ85*VLOOKUP('Données projet'!$B$17,Paramètres!$A$1:$I$89,3,0)*VLOOKUP('Données projet'!$B$17,Paramètres!$A$1:$I$89,5,0)</f>
        <v>159.62584000000004</v>
      </c>
      <c r="GB85" s="14">
        <f t="shared" si="103"/>
        <v>40.758111078359128</v>
      </c>
      <c r="GC85" s="22">
        <f t="shared" si="79"/>
        <v>349.00204812814218</v>
      </c>
      <c r="GD85" s="60">
        <f t="shared" si="80"/>
        <v>642.33538146147544</v>
      </c>
      <c r="GE85" s="60">
        <f ca="1">AVERAGE(OFFSET($GD$3,0,0,'Données projet'!$E$17+1,1))-AVERAGE(OFFSET($H$3,0,0,'Données projet'!$E$17+1,1))</f>
        <v>268.71641789629319</v>
      </c>
      <c r="GF85" s="60">
        <f t="shared" si="104"/>
        <v>199.94048514486104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0.49663207487539868</v>
      </c>
      <c r="GN85" s="23">
        <f>EXP(-LN(2)/2)*GN84+(1-EXP(-LN(2)/2))/(LN(2)/2)*GH85*GK85*VLOOKUP('Données projet'!$B$17,Paramètres!$A$1:$I$89,3,0)*0.475*44/12</f>
        <v>1.0394625768050867E-7</v>
      </c>
      <c r="GO85" s="23">
        <f t="shared" si="81"/>
        <v>0.49663217882165633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-2.8421709430404007E-13</v>
      </c>
      <c r="GV85" s="18">
        <f>GU85*VLOOKUP('Données projet'!$B$18,Paramètres!$A$1:$I$89,3,0)*VLOOKUP('Données projet'!$B$18,Paramètres!$A$1:$I$89,5,0)</f>
        <v>-1.69961822393816E-13</v>
      </c>
      <c r="GW85" s="14" t="e">
        <f t="shared" si="105"/>
        <v>#NUM!</v>
      </c>
      <c r="GX85" s="22" t="e">
        <f t="shared" si="82"/>
        <v>#NUM!</v>
      </c>
      <c r="GY85" s="60" t="e">
        <f t="shared" si="83"/>
        <v>#NUM!</v>
      </c>
      <c r="GZ85" s="60">
        <f ca="1">AVERAGE(OFFSET($GY$3,0,0,'Données projet'!$E$18+1,1))-AVERAGE(OFFSET($H$3,0,0,'Données projet'!$E$18+1,1))</f>
        <v>289.12367833861299</v>
      </c>
      <c r="HA85" s="60">
        <f t="shared" si="106"/>
        <v>229.06617320689003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6.1792657941959046E-8</v>
      </c>
      <c r="HJ85" s="24">
        <f t="shared" si="84"/>
        <v>6.1792657941959046E-8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251.89631999999995</v>
      </c>
      <c r="P86" s="14">
        <f t="shared" si="87"/>
        <v>60.991830479199145</v>
      </c>
      <c r="Q86" s="22">
        <f t="shared" si="54"/>
        <v>544.94686208460519</v>
      </c>
      <c r="R86" s="60">
        <f t="shared" si="55"/>
        <v>838.28019541793856</v>
      </c>
      <c r="S86" s="60">
        <f ca="1">AVERAGE(OFFSET($R$3,0,0,'Données projet'!$E$9+1,1))-AVERAGE(OFFSET($H$3,0,0,'Données projet'!$E$9+1,1))</f>
        <v>430.11660085503223</v>
      </c>
      <c r="T86" s="60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1.2710188457276673E-13</v>
      </c>
      <c r="AK86" s="14">
        <f t="shared" si="89"/>
        <v>1.856866851063998E-12</v>
      </c>
      <c r="AL86" s="22">
        <f t="shared" si="58"/>
        <v>3.4554122145673649E-12</v>
      </c>
      <c r="AM86" s="60">
        <f t="shared" si="59"/>
        <v>293.33333333333678</v>
      </c>
      <c r="AN86" s="60">
        <f ca="1">AVERAGE(OFFSET($AM$3,0,0,'Données projet'!$E$10+1,1))-AVERAGE(OFFSET($H$3,0,0,'Données projet'!$E$10+1,1))</f>
        <v>323.98185264074681</v>
      </c>
      <c r="AO86" s="60">
        <f t="shared" si="90"/>
        <v>301.22207291854005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1.5621235814568417</v>
      </c>
      <c r="AV86" s="23">
        <f>EXP(-LN(2)/25)*AV85+(1-EXP(-LN(2)/25))/(LN(2)/25)*Calculateur!AQ86*Calculateur!AS86*VLOOKUP('Données projet'!$B$10,Paramètres!$A$1:$I$89,3,0)*0.475*44/12</f>
        <v>1.8972658201815964</v>
      </c>
      <c r="AW86" s="23">
        <f>EXP(-LN(2)/2)*AW85+(1-EXP(-LN(2)/2))/(LN(2)/2)*AQ86*AT86*VLOOKUP('Données projet'!$B$10,Paramètres!$A$1:$I$89,3,0)*0.475*44/12</f>
        <v>6.4145471740723441E-8</v>
      </c>
      <c r="AX86" s="23">
        <f t="shared" si="60"/>
        <v>3.4593894657839095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8.4</v>
      </c>
      <c r="BD86" s="13">
        <f>IF('Données projet'!$A$88&gt;35,BD85+BC86-BL85,IF(A86&lt;'Données projet'!$A$88,$BA$205^A86,IF(A86='Données projet'!$A$88,'Données projet'!$B$88,BD85+BC86-BL85)))</f>
        <v>376.19999999999982</v>
      </c>
      <c r="BE86" s="14">
        <f>BD86*VLOOKUP('Données projet'!$B$11,Paramètres!$A$1:$I$89,3,0)*VLOOKUP('Données projet'!$B$11,Paramètres!$A$1:$I$89,5,0)</f>
        <v>322.77959999999985</v>
      </c>
      <c r="BF86" s="14">
        <f t="shared" si="91"/>
        <v>75.931412061883805</v>
      </c>
      <c r="BG86" s="22">
        <f t="shared" si="61"/>
        <v>694.42167934111387</v>
      </c>
      <c r="BH86" s="60">
        <f t="shared" si="62"/>
        <v>987.75501267444724</v>
      </c>
      <c r="BI86" s="60">
        <f ca="1">AVERAGE(OFFSET($BH$3,0,0,'Données projet'!$E$11+1,1))-AVERAGE(OFFSET($H$3,0,0,'Données projet'!$E$11+1,1))</f>
        <v>556.75475431848258</v>
      </c>
      <c r="BJ86" s="60">
        <f t="shared" si="92"/>
        <v>256.77417912163997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3.4106051316484809E-13</v>
      </c>
      <c r="BZ86" s="14">
        <f>BY86*VLOOKUP('Données projet'!$B$12,Paramètres!$A$1:$I$89,3,0)*VLOOKUP('Données projet'!$B$12,Paramètres!$A$1:$I$89,5,0)</f>
        <v>2.5006556825246659E-13</v>
      </c>
      <c r="CA86" s="14">
        <f t="shared" si="93"/>
        <v>3.3765445850268018E-12</v>
      </c>
      <c r="CB86" s="22">
        <f t="shared" si="64"/>
        <v>6.3163460169613921E-12</v>
      </c>
      <c r="CC86" s="60">
        <f t="shared" si="65"/>
        <v>293.33333333333962</v>
      </c>
      <c r="CD86" s="60">
        <f ca="1">AVERAGE(OFFSET($CC$3,0,0,'Données projet'!$E$12+1,1))-AVERAGE(OFFSET($H$3,0,0,'Données projet'!$E$12+1,1))</f>
        <v>290.68086183422963</v>
      </c>
      <c r="CE86" s="60">
        <f t="shared" si="94"/>
        <v>317.88330630101785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3.6</v>
      </c>
      <c r="CT86" s="13">
        <f>IF('Données projet'!$A$140&gt;35,CT85+CS86-DB85,IF(A86&lt;'Données projet'!$A$140,$CQ$205^A86,IF(A86='Données projet'!$A$140,'Données projet'!$B$140,CT85+CS86-DB85)))</f>
        <v>221.80000000000018</v>
      </c>
      <c r="CU86" s="18">
        <f>CT86*VLOOKUP('Données projet'!$B$13,Paramètres!$A$1:$I$89,3,0)*VLOOKUP('Données projet'!$B$13,Paramètres!$A$1:$I$89,5,0)</f>
        <v>145.32336000000012</v>
      </c>
      <c r="CV86" s="14">
        <f t="shared" si="95"/>
        <v>37.513851189781882</v>
      </c>
      <c r="CW86" s="22">
        <f t="shared" si="67"/>
        <v>318.44147615553698</v>
      </c>
      <c r="CX86" s="60">
        <f t="shared" si="68"/>
        <v>611.77480948887023</v>
      </c>
      <c r="CY86" s="60">
        <f ca="1">AVERAGE(OFFSET($CX$3,0,0,'Données projet'!$E$13+1,1))-AVERAGE(OFFSET($H$3,0,0,'Données projet'!$E$13+1,1))</f>
        <v>243.04319555814601</v>
      </c>
      <c r="CZ86" s="60">
        <f t="shared" si="96"/>
        <v>235.68746142880792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0" t="e">
        <f t="shared" si="71"/>
        <v>#NUM!</v>
      </c>
      <c r="DT86" s="60">
        <f ca="1">AVERAGE(OFFSET($DS$3,0,0,'Données projet'!$E$14+1,1))-AVERAGE(OFFSET($H$3,0,0,'Données projet'!$E$14+1,1))</f>
        <v>201.4732637505823</v>
      </c>
      <c r="DU86" s="60">
        <f t="shared" si="98"/>
        <v>342.06887933351783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2.3124396932073346</v>
      </c>
      <c r="EB86" s="23">
        <f>EXP(-LN(2)/25)*EB85+(1-EXP(-LN(2)/25))/(LN(2)/25)*Calculateur!DW86*Calculateur!DY86*VLOOKUP('Données projet'!$B$14,Paramètres!$A$1:$I$89,3,0)*0.475*44/12</f>
        <v>6.0828889412618876</v>
      </c>
      <c r="EC86" s="23">
        <f>EXP(-LN(2)/2)*EC85+(1-EXP(-LN(2)/2))/(LN(2)/2)*DW86*DZ86*VLOOKUP('Données projet'!$B$14,Paramètres!$A$1:$I$89,3,0)*0.475*44/12</f>
        <v>1.4116198711298348E-7</v>
      </c>
      <c r="ED86" s="24">
        <f t="shared" si="72"/>
        <v>8.39532877563121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-3.4106051316484809E-13</v>
      </c>
      <c r="EK86" s="18">
        <f>EJ86*VLOOKUP('Données projet'!$B$15,Paramètres!$A$1:$I$89,3,0)*VLOOKUP('Données projet'!$B$15,Paramètres!$A$1:$I$89,5,0)</f>
        <v>-2.0395418687257919E-13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260.01925143568263</v>
      </c>
      <c r="EP86" s="60">
        <f t="shared" si="100"/>
        <v>269.95358755269427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4.9749949169562377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4.9749949169562377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-1.1368683772161603E-13</v>
      </c>
      <c r="FF86" s="18">
        <f>FE86*VLOOKUP('Données projet'!$B$16,Paramètres!$A$1:$I$89,3,0)*VLOOKUP('Données projet'!$B$16,Paramètres!$A$1:$I$89,5,0)</f>
        <v>-9.2222762759774927E-14</v>
      </c>
      <c r="FG86" s="14" t="e">
        <f t="shared" si="101"/>
        <v>#NUM!</v>
      </c>
      <c r="FH86" s="22" t="e">
        <f t="shared" si="76"/>
        <v>#NUM!</v>
      </c>
      <c r="FI86" s="60" t="e">
        <f t="shared" si="77"/>
        <v>#NUM!</v>
      </c>
      <c r="FJ86" s="60">
        <f ca="1">AVERAGE(OFFSET($FI$3,0,0,'Données projet'!$E$16+1,1))-AVERAGE(OFFSET($H$3,0,0,'Données projet'!$E$16+1,1))</f>
        <v>256.19915261735281</v>
      </c>
      <c r="FK86" s="60">
        <f t="shared" si="102"/>
        <v>297.47246687305056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4.7676923076923057</v>
      </c>
      <c r="FZ86" s="13">
        <f>IF('Données projet'!$A$244&gt;35,FZ85+FY86-GH85,IF(A86&lt;'Données projet'!$A$244,$FW$205^A86,IF(A86='Données projet'!$A$244,'Données projet'!$B$244,FZ85+FY86-GH85)))</f>
        <v>283.8338461538462</v>
      </c>
      <c r="GA86" s="18">
        <f>FZ86*VLOOKUP('Données projet'!$B$17,Paramètres!$A$1:$I$89,3,0)*VLOOKUP('Données projet'!$B$17,Paramètres!$A$1:$I$89,5,0)</f>
        <v>162.35296000000002</v>
      </c>
      <c r="GB86" s="14">
        <f t="shared" si="103"/>
        <v>41.372780334578415</v>
      </c>
      <c r="GC86" s="22">
        <f t="shared" si="79"/>
        <v>354.82233108272408</v>
      </c>
      <c r="GD86" s="60">
        <f t="shared" si="80"/>
        <v>648.15566441605733</v>
      </c>
      <c r="GE86" s="60">
        <f ca="1">AVERAGE(OFFSET($GD$3,0,0,'Données projet'!$E$17+1,1))-AVERAGE(OFFSET($H$3,0,0,'Données projet'!$E$17+1,1))</f>
        <v>268.71641789629319</v>
      </c>
      <c r="GF86" s="60">
        <f t="shared" si="104"/>
        <v>199.94048514486104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0.48305164467118517</v>
      </c>
      <c r="GN86" s="23">
        <f>EXP(-LN(2)/2)*GN85+(1-EXP(-LN(2)/2))/(LN(2)/2)*GH86*GK86*VLOOKUP('Données projet'!$B$17,Paramètres!$A$1:$I$89,3,0)*0.475*44/12</f>
        <v>7.3501103684851927E-8</v>
      </c>
      <c r="GO86" s="23">
        <f t="shared" si="81"/>
        <v>0.48305171817228887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-2.8421709430404007E-13</v>
      </c>
      <c r="GV86" s="18">
        <f>GU86*VLOOKUP('Données projet'!$B$18,Paramètres!$A$1:$I$89,3,0)*VLOOKUP('Données projet'!$B$18,Paramètres!$A$1:$I$89,5,0)</f>
        <v>-1.69961822393816E-13</v>
      </c>
      <c r="GW86" s="14" t="e">
        <f t="shared" si="105"/>
        <v>#NUM!</v>
      </c>
      <c r="GX86" s="22" t="e">
        <f t="shared" si="82"/>
        <v>#NUM!</v>
      </c>
      <c r="GY86" s="60" t="e">
        <f t="shared" si="83"/>
        <v>#NUM!</v>
      </c>
      <c r="GZ86" s="60">
        <f ca="1">AVERAGE(OFFSET($GY$3,0,0,'Données projet'!$E$18+1,1))-AVERAGE(OFFSET($H$3,0,0,'Données projet'!$E$18+1,1))</f>
        <v>289.12367833861299</v>
      </c>
      <c r="HA86" s="60">
        <f t="shared" si="106"/>
        <v>229.06617320689003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4.3694007458300014E-8</v>
      </c>
      <c r="HJ86" s="24">
        <f t="shared" si="84"/>
        <v>4.3694007458300014E-8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257.14415999999994</v>
      </c>
      <c r="P87" s="14">
        <f t="shared" si="87"/>
        <v>62.113237520609751</v>
      </c>
      <c r="Q87" s="22">
        <f t="shared" si="54"/>
        <v>556.03996734839518</v>
      </c>
      <c r="R87" s="60">
        <f t="shared" si="55"/>
        <v>849.37330068172855</v>
      </c>
      <c r="S87" s="60">
        <f ca="1">AVERAGE(OFFSET($R$3,0,0,'Données projet'!$E$9+1,1))-AVERAGE(OFFSET($H$3,0,0,'Données projet'!$E$9+1,1))</f>
        <v>430.11660085503223</v>
      </c>
      <c r="T87" s="60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1.2710188457276673E-13</v>
      </c>
      <c r="AK87" s="14">
        <f t="shared" si="89"/>
        <v>1.856866851063998E-12</v>
      </c>
      <c r="AL87" s="22">
        <f t="shared" si="58"/>
        <v>3.4554122145673649E-12</v>
      </c>
      <c r="AM87" s="60">
        <f t="shared" si="59"/>
        <v>293.33333333333678</v>
      </c>
      <c r="AN87" s="60">
        <f ca="1">AVERAGE(OFFSET($AM$3,0,0,'Données projet'!$E$10+1,1))-AVERAGE(OFFSET($H$3,0,0,'Données projet'!$E$10+1,1))</f>
        <v>323.98185264074681</v>
      </c>
      <c r="AO87" s="60">
        <f t="shared" si="90"/>
        <v>301.22207291854005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1.5314912908257765</v>
      </c>
      <c r="AV87" s="23">
        <f>EXP(-LN(2)/25)*AV86+(1-EXP(-LN(2)/25))/(LN(2)/25)*Calculateur!AQ87*Calculateur!AS87*VLOOKUP('Données projet'!$B$10,Paramètres!$A$1:$I$89,3,0)*0.475*44/12</f>
        <v>1.8453849865558574</v>
      </c>
      <c r="AW87" s="23">
        <f>EXP(-LN(2)/2)*AW86+(1-EXP(-LN(2)/2))/(LN(2)/2)*AQ87*AT87*VLOOKUP('Données projet'!$B$10,Paramètres!$A$1:$I$89,3,0)*0.475*44/12</f>
        <v>4.5357698050275599E-8</v>
      </c>
      <c r="AX87" s="23">
        <f t="shared" si="60"/>
        <v>3.3768763227393319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8.4</v>
      </c>
      <c r="BD87" s="13">
        <f>IF('Données projet'!$A$88&gt;35,BD86+BC87-BL86,IF(A87&lt;'Données projet'!$A$88,$BA$205^A87,IF(A87='Données projet'!$A$88,'Données projet'!$B$88,BD86+BC87-BL86)))</f>
        <v>384.5999999999998</v>
      </c>
      <c r="BE87" s="14">
        <f>BD87*VLOOKUP('Données projet'!$B$11,Paramètres!$A$1:$I$89,3,0)*VLOOKUP('Données projet'!$B$11,Paramètres!$A$1:$I$89,5,0)</f>
        <v>329.9867999999999</v>
      </c>
      <c r="BF87" s="14">
        <f t="shared" si="91"/>
        <v>77.427570468674034</v>
      </c>
      <c r="BG87" s="22">
        <f t="shared" si="61"/>
        <v>709.58002856627388</v>
      </c>
      <c r="BH87" s="60">
        <f t="shared" si="62"/>
        <v>1002.9133618996073</v>
      </c>
      <c r="BI87" s="60">
        <f ca="1">AVERAGE(OFFSET($BH$3,0,0,'Données projet'!$E$11+1,1))-AVERAGE(OFFSET($H$3,0,0,'Données projet'!$E$11+1,1))</f>
        <v>556.75475431848258</v>
      </c>
      <c r="BJ87" s="60">
        <f t="shared" si="92"/>
        <v>256.77417912163997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3.4106051316484809E-13</v>
      </c>
      <c r="BZ87" s="14">
        <f>BY87*VLOOKUP('Données projet'!$B$12,Paramètres!$A$1:$I$89,3,0)*VLOOKUP('Données projet'!$B$12,Paramètres!$A$1:$I$89,5,0)</f>
        <v>2.5006556825246659E-13</v>
      </c>
      <c r="CA87" s="14">
        <f t="shared" si="93"/>
        <v>3.3765445850268018E-12</v>
      </c>
      <c r="CB87" s="22">
        <f t="shared" si="64"/>
        <v>6.3163460169613921E-12</v>
      </c>
      <c r="CC87" s="60">
        <f t="shared" si="65"/>
        <v>293.33333333333962</v>
      </c>
      <c r="CD87" s="60">
        <f ca="1">AVERAGE(OFFSET($CC$3,0,0,'Données projet'!$E$12+1,1))-AVERAGE(OFFSET($H$3,0,0,'Données projet'!$E$12+1,1))</f>
        <v>290.68086183422963</v>
      </c>
      <c r="CE87" s="60">
        <f t="shared" si="94"/>
        <v>317.88330630101785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3.6</v>
      </c>
      <c r="CT87" s="13">
        <f>IF('Données projet'!$A$140&gt;35,CT86+CS87-DB86,IF(A87&lt;'Données projet'!$A$140,$CQ$205^A87,IF(A87='Données projet'!$A$140,'Données projet'!$B$140,CT86+CS87-DB86)))</f>
        <v>225.40000000000018</v>
      </c>
      <c r="CU87" s="18">
        <f>CT87*VLOOKUP('Données projet'!$B$13,Paramètres!$A$1:$I$89,3,0)*VLOOKUP('Données projet'!$B$13,Paramètres!$A$1:$I$89,5,0)</f>
        <v>147.68208000000013</v>
      </c>
      <c r="CV87" s="14">
        <f t="shared" si="95"/>
        <v>38.051353497342554</v>
      </c>
      <c r="CW87" s="22">
        <f t="shared" si="67"/>
        <v>323.48573000787184</v>
      </c>
      <c r="CX87" s="60">
        <f t="shared" si="68"/>
        <v>616.81906334120515</v>
      </c>
      <c r="CY87" s="60">
        <f ca="1">AVERAGE(OFFSET($CX$3,0,0,'Données projet'!$E$13+1,1))-AVERAGE(OFFSET($H$3,0,0,'Données projet'!$E$13+1,1))</f>
        <v>243.04319555814601</v>
      </c>
      <c r="CZ87" s="60">
        <f t="shared" si="96"/>
        <v>235.68746142880792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0" t="e">
        <f t="shared" si="71"/>
        <v>#NUM!</v>
      </c>
      <c r="DT87" s="60">
        <f ca="1">AVERAGE(OFFSET($DS$3,0,0,'Données projet'!$E$14+1,1))-AVERAGE(OFFSET($H$3,0,0,'Données projet'!$E$14+1,1))</f>
        <v>201.4732637505823</v>
      </c>
      <c r="DU87" s="60">
        <f t="shared" si="98"/>
        <v>342.06887933351783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2.2670941612724813</v>
      </c>
      <c r="EB87" s="23">
        <f>EXP(-LN(2)/25)*EB86+(1-EXP(-LN(2)/25))/(LN(2)/25)*Calculateur!DW87*Calculateur!DY87*VLOOKUP('Données projet'!$B$14,Paramètres!$A$1:$I$89,3,0)*0.475*44/12</f>
        <v>5.9165520232778546</v>
      </c>
      <c r="EC87" s="23">
        <f>EXP(-LN(2)/2)*EC86+(1-EXP(-LN(2)/2))/(LN(2)/2)*DW87*DZ87*VLOOKUP('Données projet'!$B$14,Paramètres!$A$1:$I$89,3,0)*0.475*44/12</f>
        <v>9.9816598333358655E-8</v>
      </c>
      <c r="ED87" s="24">
        <f t="shared" si="72"/>
        <v>8.1836462843669331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-3.4106051316484809E-13</v>
      </c>
      <c r="EK87" s="18">
        <f>EJ87*VLOOKUP('Données projet'!$B$15,Paramètres!$A$1:$I$89,3,0)*VLOOKUP('Données projet'!$B$15,Paramètres!$A$1:$I$89,5,0)</f>
        <v>-2.0395418687257919E-13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260.01925143568263</v>
      </c>
      <c r="EP87" s="60">
        <f t="shared" si="100"/>
        <v>269.95358755269427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4.8774383010819982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4.8774383010819982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-1.1368683772161603E-13</v>
      </c>
      <c r="FF87" s="18">
        <f>FE87*VLOOKUP('Données projet'!$B$16,Paramètres!$A$1:$I$89,3,0)*VLOOKUP('Données projet'!$B$16,Paramètres!$A$1:$I$89,5,0)</f>
        <v>-9.2222762759774927E-14</v>
      </c>
      <c r="FG87" s="14" t="e">
        <f t="shared" si="101"/>
        <v>#NUM!</v>
      </c>
      <c r="FH87" s="22" t="e">
        <f t="shared" si="76"/>
        <v>#NUM!</v>
      </c>
      <c r="FI87" s="60" t="e">
        <f t="shared" si="77"/>
        <v>#NUM!</v>
      </c>
      <c r="FJ87" s="60">
        <f ca="1">AVERAGE(OFFSET($FI$3,0,0,'Données projet'!$E$16+1,1))-AVERAGE(OFFSET($H$3,0,0,'Données projet'!$E$16+1,1))</f>
        <v>256.19915261735281</v>
      </c>
      <c r="FK87" s="60">
        <f t="shared" si="102"/>
        <v>297.47246687305056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4.7676923076923057</v>
      </c>
      <c r="FZ87" s="13">
        <f>IF('Données projet'!$A$244&gt;35,FZ86+FY87-GH86,IF(A87&lt;'Données projet'!$A$244,$FW$205^A87,IF(A87='Données projet'!$A$244,'Données projet'!$B$244,FZ86+FY87-GH86)))</f>
        <v>288.6015384615385</v>
      </c>
      <c r="GA87" s="18">
        <f>FZ87*VLOOKUP('Données projet'!$B$17,Paramètres!$A$1:$I$89,3,0)*VLOOKUP('Données projet'!$B$17,Paramètres!$A$1:$I$89,5,0)</f>
        <v>165.08008000000001</v>
      </c>
      <c r="GB87" s="14">
        <f t="shared" si="103"/>
        <v>41.986248887788392</v>
      </c>
      <c r="GC87" s="22">
        <f t="shared" si="79"/>
        <v>360.6405228128981</v>
      </c>
      <c r="GD87" s="60">
        <f t="shared" si="80"/>
        <v>653.97385614623136</v>
      </c>
      <c r="GE87" s="60">
        <f ca="1">AVERAGE(OFFSET($GD$3,0,0,'Données projet'!$E$17+1,1))-AVERAGE(OFFSET($H$3,0,0,'Données projet'!$E$17+1,1))</f>
        <v>268.71641789629319</v>
      </c>
      <c r="GF87" s="60">
        <f t="shared" si="104"/>
        <v>199.94048514486104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0.46984257204506963</v>
      </c>
      <c r="GN87" s="23">
        <f>EXP(-LN(2)/2)*GN86+(1-EXP(-LN(2)/2))/(LN(2)/2)*GH87*GK87*VLOOKUP('Données projet'!$B$17,Paramètres!$A$1:$I$89,3,0)*0.475*44/12</f>
        <v>5.1973128840254334E-8</v>
      </c>
      <c r="GO87" s="23">
        <f t="shared" si="81"/>
        <v>0.46984262401819848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-2.8421709430404007E-13</v>
      </c>
      <c r="GV87" s="18">
        <f>GU87*VLOOKUP('Données projet'!$B$18,Paramètres!$A$1:$I$89,3,0)*VLOOKUP('Données projet'!$B$18,Paramètres!$A$1:$I$89,5,0)</f>
        <v>-1.69961822393816E-13</v>
      </c>
      <c r="GW87" s="14" t="e">
        <f t="shared" si="105"/>
        <v>#NUM!</v>
      </c>
      <c r="GX87" s="22" t="e">
        <f t="shared" si="82"/>
        <v>#NUM!</v>
      </c>
      <c r="GY87" s="60" t="e">
        <f t="shared" si="83"/>
        <v>#NUM!</v>
      </c>
      <c r="GZ87" s="60">
        <f ca="1">AVERAGE(OFFSET($GY$3,0,0,'Données projet'!$E$18+1,1))-AVERAGE(OFFSET($H$3,0,0,'Données projet'!$E$18+1,1))</f>
        <v>289.12367833861299</v>
      </c>
      <c r="HA87" s="60">
        <f t="shared" si="106"/>
        <v>229.06617320689003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3.0896328970979523E-8</v>
      </c>
      <c r="HJ87" s="24">
        <f t="shared" si="84"/>
        <v>3.0896328970979523E-8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262.39199999999994</v>
      </c>
      <c r="P88" s="14">
        <f t="shared" si="87"/>
        <v>63.231983614474942</v>
      </c>
      <c r="Q88" s="22">
        <f t="shared" si="54"/>
        <v>567.12843812854373</v>
      </c>
      <c r="R88" s="60">
        <f t="shared" si="55"/>
        <v>860.46177146187711</v>
      </c>
      <c r="S88" s="60">
        <f ca="1">AVERAGE(OFFSET($R$3,0,0,'Données projet'!$E$9+1,1))-AVERAGE(OFFSET($H$3,0,0,'Données projet'!$E$9+1,1))</f>
        <v>430.11660085503223</v>
      </c>
      <c r="T88" s="60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1.2710188457276673E-13</v>
      </c>
      <c r="AK88" s="14">
        <f t="shared" si="89"/>
        <v>1.856866851063998E-12</v>
      </c>
      <c r="AL88" s="22">
        <f t="shared" si="58"/>
        <v>3.4554122145673649E-12</v>
      </c>
      <c r="AM88" s="60">
        <f t="shared" si="59"/>
        <v>293.33333333333678</v>
      </c>
      <c r="AN88" s="60">
        <f ca="1">AVERAGE(OFFSET($AM$3,0,0,'Données projet'!$E$10+1,1))-AVERAGE(OFFSET($H$3,0,0,'Données projet'!$E$10+1,1))</f>
        <v>323.98185264074681</v>
      </c>
      <c r="AO88" s="60">
        <f t="shared" si="90"/>
        <v>301.22207291854005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1.5014596807301339</v>
      </c>
      <c r="AV88" s="23">
        <f>EXP(-LN(2)/25)*AV87+(1-EXP(-LN(2)/25))/(LN(2)/25)*Calculateur!AQ88*Calculateur!AS88*VLOOKUP('Données projet'!$B$10,Paramètres!$A$1:$I$89,3,0)*0.475*44/12</f>
        <v>1.7949228370539088</v>
      </c>
      <c r="AW88" s="23">
        <f>EXP(-LN(2)/2)*AW87+(1-EXP(-LN(2)/2))/(LN(2)/2)*AQ88*AT88*VLOOKUP('Données projet'!$B$10,Paramètres!$A$1:$I$89,3,0)*0.475*44/12</f>
        <v>3.2072735870361721E-8</v>
      </c>
      <c r="AX88" s="23">
        <f t="shared" si="60"/>
        <v>3.2963825498567787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393</v>
      </c>
      <c r="BB88" s="13">
        <f>VLOOKUP(A88,'Données projet'!$A$87:$I$107,9,0)</f>
        <v>8.4</v>
      </c>
      <c r="BC88" s="13">
        <f t="array" ref="BC88">INDEX(BB:BB,MIN(IF(ISNUMBER(BB88:BB284),ROW(BB88:BB284),"")))</f>
        <v>8.4</v>
      </c>
      <c r="BD88" s="13">
        <f>IF('Données projet'!$A$88&gt;35,BD87+BC88-BL87,IF(A88&lt;'Données projet'!$A$88,$BA$205^A88,IF(A88='Données projet'!$A$88,'Données projet'!$B$88,BD87+BC88-BL87)))</f>
        <v>392.99999999999977</v>
      </c>
      <c r="BE88" s="14">
        <f>BD88*VLOOKUP('Données projet'!$B$11,Paramètres!$A$1:$I$89,3,0)*VLOOKUP('Données projet'!$B$11,Paramètres!$A$1:$I$89,5,0)</f>
        <v>337.19399999999985</v>
      </c>
      <c r="BF88" s="14">
        <f t="shared" si="91"/>
        <v>78.919929736940603</v>
      </c>
      <c r="BG88" s="22">
        <f t="shared" si="61"/>
        <v>724.73176095850465</v>
      </c>
      <c r="BH88" s="60">
        <f t="shared" si="62"/>
        <v>1018.065094291838</v>
      </c>
      <c r="BI88" s="60">
        <f ca="1">AVERAGE(OFFSET($BH$3,0,0,'Données projet'!$E$11+1,1))-AVERAGE(OFFSET($H$3,0,0,'Données projet'!$E$11+1,1))</f>
        <v>556.75475431848258</v>
      </c>
      <c r="BJ88" s="60">
        <f t="shared" si="92"/>
        <v>256.77417912163997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55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3.4106051316484809E-13</v>
      </c>
      <c r="BZ88" s="14">
        <f>BY88*VLOOKUP('Données projet'!$B$12,Paramètres!$A$1:$I$89,3,0)*VLOOKUP('Données projet'!$B$12,Paramètres!$A$1:$I$89,5,0)</f>
        <v>2.5006556825246659E-13</v>
      </c>
      <c r="CA88" s="14">
        <f t="shared" si="93"/>
        <v>3.3765445850268018E-12</v>
      </c>
      <c r="CB88" s="22">
        <f t="shared" si="64"/>
        <v>6.3163460169613921E-12</v>
      </c>
      <c r="CC88" s="60">
        <f t="shared" si="65"/>
        <v>293.33333333333962</v>
      </c>
      <c r="CD88" s="60">
        <f ca="1">AVERAGE(OFFSET($CC$3,0,0,'Données projet'!$E$12+1,1))-AVERAGE(OFFSET($H$3,0,0,'Données projet'!$E$12+1,1))</f>
        <v>290.68086183422963</v>
      </c>
      <c r="CE88" s="60">
        <f t="shared" si="94"/>
        <v>317.88330630101785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229</v>
      </c>
      <c r="CR88" s="13">
        <f>VLOOKUP(A88,'Données projet'!$A$139:$I$159,9,0)</f>
        <v>3.6</v>
      </c>
      <c r="CS88" s="13">
        <f t="array" ref="CS88">INDEX(CR:CR,MIN(IF(ISNUMBER(CR88:CR284),ROW(CR88:CR284),"")))</f>
        <v>3.6</v>
      </c>
      <c r="CT88" s="13">
        <f>IF('Données projet'!$A$140&gt;35,CT87+CS88-DB87,IF(A88&lt;'Données projet'!$A$140,$CQ$205^A88,IF(A88='Données projet'!$A$140,'Données projet'!$B$140,CT87+CS88-DB87)))</f>
        <v>229.00000000000017</v>
      </c>
      <c r="CU88" s="18">
        <f>CT88*VLOOKUP('Données projet'!$B$13,Paramètres!$A$1:$I$89,3,0)*VLOOKUP('Données projet'!$B$13,Paramètres!$A$1:$I$89,5,0)</f>
        <v>150.0408000000001</v>
      </c>
      <c r="CV88" s="14">
        <f t="shared" si="95"/>
        <v>38.587857420495212</v>
      </c>
      <c r="CW88" s="22">
        <f t="shared" si="67"/>
        <v>328.52824500736261</v>
      </c>
      <c r="CX88" s="60">
        <f t="shared" si="68"/>
        <v>621.86157834069593</v>
      </c>
      <c r="CY88" s="60">
        <f ca="1">AVERAGE(OFFSET($CX$3,0,0,'Données projet'!$E$13+1,1))-AVERAGE(OFFSET($H$3,0,0,'Données projet'!$E$13+1,1))</f>
        <v>243.04319555814601</v>
      </c>
      <c r="CZ88" s="60">
        <f t="shared" si="96"/>
        <v>235.68746142880792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0" t="e">
        <f t="shared" si="71"/>
        <v>#NUM!</v>
      </c>
      <c r="DT88" s="60">
        <f ca="1">AVERAGE(OFFSET($DS$3,0,0,'Données projet'!$E$14+1,1))-AVERAGE(OFFSET($H$3,0,0,'Données projet'!$E$14+1,1))</f>
        <v>201.4732637505823</v>
      </c>
      <c r="DU88" s="60">
        <f t="shared" si="98"/>
        <v>342.06887933351783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2.2226378275608272</v>
      </c>
      <c r="EB88" s="23">
        <f>EXP(-LN(2)/25)*EB87+(1-EXP(-LN(2)/25))/(LN(2)/25)*Calculateur!DW88*Calculateur!DY88*VLOOKUP('Données projet'!$B$14,Paramètres!$A$1:$I$89,3,0)*0.475*44/12</f>
        <v>5.7547635970633735</v>
      </c>
      <c r="EC88" s="23">
        <f>EXP(-LN(2)/2)*EC87+(1-EXP(-LN(2)/2))/(LN(2)/2)*DW88*DZ88*VLOOKUP('Données projet'!$B$14,Paramètres!$A$1:$I$89,3,0)*0.475*44/12</f>
        <v>7.0580993556491742E-8</v>
      </c>
      <c r="ED88" s="24">
        <f t="shared" si="72"/>
        <v>7.9774014952051946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-3.4106051316484809E-13</v>
      </c>
      <c r="EK88" s="18">
        <f>EJ88*VLOOKUP('Données projet'!$B$15,Paramètres!$A$1:$I$89,3,0)*VLOOKUP('Données projet'!$B$15,Paramètres!$A$1:$I$89,5,0)</f>
        <v>-2.0395418687257919E-13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260.01925143568263</v>
      </c>
      <c r="EP88" s="60">
        <f t="shared" si="100"/>
        <v>269.95358755269427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4.7817947109413925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4.7817947109413925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-1.1368683772161603E-13</v>
      </c>
      <c r="FF88" s="18">
        <f>FE88*VLOOKUP('Données projet'!$B$16,Paramètres!$A$1:$I$89,3,0)*VLOOKUP('Données projet'!$B$16,Paramètres!$A$1:$I$89,5,0)</f>
        <v>-9.2222762759774927E-14</v>
      </c>
      <c r="FG88" s="14" t="e">
        <f t="shared" si="101"/>
        <v>#NUM!</v>
      </c>
      <c r="FH88" s="22" t="e">
        <f t="shared" si="76"/>
        <v>#NUM!</v>
      </c>
      <c r="FI88" s="60" t="e">
        <f t="shared" si="77"/>
        <v>#NUM!</v>
      </c>
      <c r="FJ88" s="60">
        <f ca="1">AVERAGE(OFFSET($FI$3,0,0,'Données projet'!$E$16+1,1))-AVERAGE(OFFSET($H$3,0,0,'Données projet'!$E$16+1,1))</f>
        <v>256.19915261735281</v>
      </c>
      <c r="FK88" s="60">
        <f t="shared" si="102"/>
        <v>297.47246687305056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4.7676923076923057</v>
      </c>
      <c r="FZ88" s="13">
        <f>IF('Données projet'!$A$244&gt;35,FZ87+FY88-GH87,IF(A88&lt;'Données projet'!$A$244,$FW$205^A88,IF(A88='Données projet'!$A$244,'Données projet'!$B$244,FZ87+FY88-GH87)))</f>
        <v>293.3692307692308</v>
      </c>
      <c r="GA88" s="18">
        <f>FZ88*VLOOKUP('Données projet'!$B$17,Paramètres!$A$1:$I$89,3,0)*VLOOKUP('Données projet'!$B$17,Paramètres!$A$1:$I$89,5,0)</f>
        <v>167.80720000000002</v>
      </c>
      <c r="GB88" s="14">
        <f t="shared" si="103"/>
        <v>42.598538863194868</v>
      </c>
      <c r="GC88" s="22">
        <f t="shared" si="79"/>
        <v>366.45666185339775</v>
      </c>
      <c r="GD88" s="60">
        <f t="shared" si="80"/>
        <v>659.78999518673106</v>
      </c>
      <c r="GE88" s="60">
        <f ca="1">AVERAGE(OFFSET($GD$3,0,0,'Données projet'!$E$17+1,1))-AVERAGE(OFFSET($H$3,0,0,'Données projet'!$E$17+1,1))</f>
        <v>268.71641789629319</v>
      </c>
      <c r="GF88" s="60">
        <f t="shared" si="104"/>
        <v>199.94048514486104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0.45699470220455018</v>
      </c>
      <c r="GN88" s="23">
        <f>EXP(-LN(2)/2)*GN87+(1-EXP(-LN(2)/2))/(LN(2)/2)*GH88*GK88*VLOOKUP('Données projet'!$B$17,Paramètres!$A$1:$I$89,3,0)*0.475*44/12</f>
        <v>3.6750551842425963E-8</v>
      </c>
      <c r="GO88" s="23">
        <f t="shared" si="81"/>
        <v>0.45699473895510201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-2.8421709430404007E-13</v>
      </c>
      <c r="GV88" s="18">
        <f>GU88*VLOOKUP('Données projet'!$B$18,Paramètres!$A$1:$I$89,3,0)*VLOOKUP('Données projet'!$B$18,Paramètres!$A$1:$I$89,5,0)</f>
        <v>-1.69961822393816E-13</v>
      </c>
      <c r="GW88" s="14" t="e">
        <f t="shared" si="105"/>
        <v>#NUM!</v>
      </c>
      <c r="GX88" s="22" t="e">
        <f t="shared" si="82"/>
        <v>#NUM!</v>
      </c>
      <c r="GY88" s="60" t="e">
        <f t="shared" si="83"/>
        <v>#NUM!</v>
      </c>
      <c r="GZ88" s="60">
        <f ca="1">AVERAGE(OFFSET($GY$3,0,0,'Données projet'!$E$18+1,1))-AVERAGE(OFFSET($H$3,0,0,'Données projet'!$E$18+1,1))</f>
        <v>289.12367833861299</v>
      </c>
      <c r="HA88" s="60">
        <f t="shared" si="106"/>
        <v>229.06617320689003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2.1847003729150007E-8</v>
      </c>
      <c r="HJ88" s="24">
        <f t="shared" si="84"/>
        <v>2.1847003729150007E-8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229.09535999999991</v>
      </c>
      <c r="P89" s="14">
        <f t="shared" si="87"/>
        <v>56.087032370558362</v>
      </c>
      <c r="Q89" s="22">
        <f t="shared" si="54"/>
        <v>496.69266671205565</v>
      </c>
      <c r="R89" s="60">
        <f t="shared" si="55"/>
        <v>790.02600004538897</v>
      </c>
      <c r="S89" s="60">
        <f ca="1">AVERAGE(OFFSET($R$3,0,0,'Données projet'!$E$9+1,1))-AVERAGE(OFFSET($H$3,0,0,'Données projet'!$E$9+1,1))</f>
        <v>430.11660085503223</v>
      </c>
      <c r="T89" s="60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1.2710188457276673E-13</v>
      </c>
      <c r="AK89" s="14">
        <f t="shared" si="89"/>
        <v>1.856866851063998E-12</v>
      </c>
      <c r="AL89" s="22">
        <f t="shared" si="58"/>
        <v>3.4554122145673649E-12</v>
      </c>
      <c r="AM89" s="60">
        <f t="shared" si="59"/>
        <v>293.33333333333678</v>
      </c>
      <c r="AN89" s="60">
        <f ca="1">AVERAGE(OFFSET($AM$3,0,0,'Données projet'!$E$10+1,1))-AVERAGE(OFFSET($H$3,0,0,'Données projet'!$E$10+1,1))</f>
        <v>323.98185264074681</v>
      </c>
      <c r="AO89" s="60">
        <f t="shared" si="90"/>
        <v>301.22207291854005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1.4720169721909935</v>
      </c>
      <c r="AV89" s="23">
        <f>EXP(-LN(2)/25)*AV88+(1-EXP(-LN(2)/25))/(LN(2)/25)*Calculateur!AQ89*Calculateur!AS89*VLOOKUP('Données projet'!$B$10,Paramètres!$A$1:$I$89,3,0)*0.475*44/12</f>
        <v>1.74584057768378</v>
      </c>
      <c r="AW89" s="23">
        <f>EXP(-LN(2)/2)*AW88+(1-EXP(-LN(2)/2))/(LN(2)/2)*AQ89*AT89*VLOOKUP('Données projet'!$B$10,Paramètres!$A$1:$I$89,3,0)*0.475*44/12</f>
        <v>2.2678849025137799E-8</v>
      </c>
      <c r="AX89" s="23">
        <f t="shared" si="60"/>
        <v>3.2178575725536227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7.7</v>
      </c>
      <c r="BD89" s="13">
        <f>IF('Données projet'!$A$88&gt;35,BD88+BC89-BL88,IF(A89&lt;'Données projet'!$A$88,$BA$205^A89,IF(A89='Données projet'!$A$88,'Données projet'!$B$88,BD88+BC89-BL88)))</f>
        <v>345.69999999999976</v>
      </c>
      <c r="BE89" s="14">
        <f>BD89*VLOOKUP('Données projet'!$B$11,Paramètres!$A$1:$I$89,3,0)*VLOOKUP('Données projet'!$B$11,Paramètres!$A$1:$I$89,5,0)</f>
        <v>296.61059999999981</v>
      </c>
      <c r="BF89" s="14">
        <f t="shared" si="91"/>
        <v>70.465445854653041</v>
      </c>
      <c r="BG89" s="22">
        <f t="shared" si="61"/>
        <v>639.32411319685377</v>
      </c>
      <c r="BH89" s="60">
        <f t="shared" si="62"/>
        <v>932.65744653018714</v>
      </c>
      <c r="BI89" s="60">
        <f ca="1">AVERAGE(OFFSET($BH$3,0,0,'Données projet'!$E$11+1,1))-AVERAGE(OFFSET($H$3,0,0,'Données projet'!$E$11+1,1))</f>
        <v>556.75475431848258</v>
      </c>
      <c r="BJ89" s="60">
        <f t="shared" si="92"/>
        <v>256.77417912163997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3.4106051316484809E-13</v>
      </c>
      <c r="BZ89" s="14">
        <f>BY89*VLOOKUP('Données projet'!$B$12,Paramètres!$A$1:$I$89,3,0)*VLOOKUP('Données projet'!$B$12,Paramètres!$A$1:$I$89,5,0)</f>
        <v>2.5006556825246659E-13</v>
      </c>
      <c r="CA89" s="14">
        <f t="shared" si="93"/>
        <v>3.3765445850268018E-12</v>
      </c>
      <c r="CB89" s="22">
        <f t="shared" si="64"/>
        <v>6.3163460169613921E-12</v>
      </c>
      <c r="CC89" s="60">
        <f t="shared" si="65"/>
        <v>293.33333333333962</v>
      </c>
      <c r="CD89" s="60">
        <f ca="1">AVERAGE(OFFSET($CC$3,0,0,'Données projet'!$E$12+1,1))-AVERAGE(OFFSET($H$3,0,0,'Données projet'!$E$12+1,1))</f>
        <v>290.68086183422963</v>
      </c>
      <c r="CE89" s="60">
        <f t="shared" si="94"/>
        <v>317.88330630101785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3.4</v>
      </c>
      <c r="CT89" s="13">
        <f>IF('Données projet'!$A$140&gt;35,CT88+CS89-DB88,IF(A89&lt;'Données projet'!$A$140,$CQ$205^A89,IF(A89='Données projet'!$A$140,'Données projet'!$B$140,CT88+CS89-DB88)))</f>
        <v>232.40000000000018</v>
      </c>
      <c r="CU89" s="18">
        <f>CT89*VLOOKUP('Données projet'!$B$13,Paramètres!$A$1:$I$89,3,0)*VLOOKUP('Données projet'!$B$13,Paramètres!$A$1:$I$89,5,0)</f>
        <v>152.26848000000012</v>
      </c>
      <c r="CV89" s="14">
        <f t="shared" si="95"/>
        <v>39.093654628797537</v>
      </c>
      <c r="CW89" s="22">
        <f t="shared" si="67"/>
        <v>333.28905114515595</v>
      </c>
      <c r="CX89" s="60">
        <f t="shared" si="68"/>
        <v>626.62238447848927</v>
      </c>
      <c r="CY89" s="60">
        <f ca="1">AVERAGE(OFFSET($CX$3,0,0,'Données projet'!$E$13+1,1))-AVERAGE(OFFSET($H$3,0,0,'Données projet'!$E$13+1,1))</f>
        <v>243.04319555814601</v>
      </c>
      <c r="CZ89" s="60">
        <f t="shared" si="96"/>
        <v>235.68746142880792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0" t="e">
        <f t="shared" si="71"/>
        <v>#NUM!</v>
      </c>
      <c r="DT89" s="60">
        <f ca="1">AVERAGE(OFFSET($DS$3,0,0,'Données projet'!$E$14+1,1))-AVERAGE(OFFSET($H$3,0,0,'Données projet'!$E$14+1,1))</f>
        <v>201.4732637505823</v>
      </c>
      <c r="DU89" s="60">
        <f t="shared" si="98"/>
        <v>342.06887933351783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2.1790532554375726</v>
      </c>
      <c r="EB89" s="23">
        <f>EXP(-LN(2)/25)*EB88+(1-EXP(-LN(2)/25))/(LN(2)/25)*Calculateur!DW89*Calculateur!DY89*VLOOKUP('Données projet'!$B$14,Paramètres!$A$1:$I$89,3,0)*0.475*44/12</f>
        <v>5.5973992838718107</v>
      </c>
      <c r="EC89" s="23">
        <f>EXP(-LN(2)/2)*EC88+(1-EXP(-LN(2)/2))/(LN(2)/2)*DW89*DZ89*VLOOKUP('Données projet'!$B$14,Paramètres!$A$1:$I$89,3,0)*0.475*44/12</f>
        <v>4.9908299166679327E-8</v>
      </c>
      <c r="ED89" s="24">
        <f t="shared" si="72"/>
        <v>7.7764525892176826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-3.4106051316484809E-13</v>
      </c>
      <c r="EK89" s="18">
        <f>EJ89*VLOOKUP('Données projet'!$B$15,Paramètres!$A$1:$I$89,3,0)*VLOOKUP('Données projet'!$B$15,Paramètres!$A$1:$I$89,5,0)</f>
        <v>-2.0395418687257919E-13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260.01925143568263</v>
      </c>
      <c r="EP89" s="60">
        <f t="shared" si="100"/>
        <v>269.95358755269427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4.6880266332666141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4.6880266332666141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-1.1368683772161603E-13</v>
      </c>
      <c r="FF89" s="18">
        <f>FE89*VLOOKUP('Données projet'!$B$16,Paramètres!$A$1:$I$89,3,0)*VLOOKUP('Données projet'!$B$16,Paramètres!$A$1:$I$89,5,0)</f>
        <v>-9.2222762759774927E-14</v>
      </c>
      <c r="FG89" s="14" t="e">
        <f t="shared" si="101"/>
        <v>#NUM!</v>
      </c>
      <c r="FH89" s="22" t="e">
        <f t="shared" si="76"/>
        <v>#NUM!</v>
      </c>
      <c r="FI89" s="60" t="e">
        <f t="shared" si="77"/>
        <v>#NUM!</v>
      </c>
      <c r="FJ89" s="60">
        <f ca="1">AVERAGE(OFFSET($FI$3,0,0,'Données projet'!$E$16+1,1))-AVERAGE(OFFSET($H$3,0,0,'Données projet'!$E$16+1,1))</f>
        <v>256.19915261735281</v>
      </c>
      <c r="FK89" s="60">
        <f t="shared" si="102"/>
        <v>297.47246687305056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4.7676923076923057</v>
      </c>
      <c r="FZ89" s="13">
        <f>IF('Données projet'!$A$244&gt;35,FZ88+FY89-GH88,IF(A89&lt;'Données projet'!$A$244,$FW$205^A89,IF(A89='Données projet'!$A$244,'Données projet'!$B$244,FZ88+FY89-GH88)))</f>
        <v>298.1369230769231</v>
      </c>
      <c r="GA89" s="18">
        <f>FZ89*VLOOKUP('Données projet'!$B$17,Paramètres!$A$1:$I$89,3,0)*VLOOKUP('Données projet'!$B$17,Paramètres!$A$1:$I$89,5,0)</f>
        <v>170.53432000000001</v>
      </c>
      <c r="GB89" s="14">
        <f t="shared" si="103"/>
        <v>43.209671625633291</v>
      </c>
      <c r="GC89" s="22">
        <f t="shared" si="79"/>
        <v>372.27078541464465</v>
      </c>
      <c r="GD89" s="60">
        <f t="shared" si="80"/>
        <v>665.60411874797796</v>
      </c>
      <c r="GE89" s="60">
        <f ca="1">AVERAGE(OFFSET($GD$3,0,0,'Données projet'!$E$17+1,1))-AVERAGE(OFFSET($H$3,0,0,'Données projet'!$E$17+1,1))</f>
        <v>268.71641789629319</v>
      </c>
      <c r="GF89" s="60">
        <f t="shared" si="104"/>
        <v>199.94048514486104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0.44449815804045983</v>
      </c>
      <c r="GN89" s="23">
        <f>EXP(-LN(2)/2)*GN88+(1-EXP(-LN(2)/2))/(LN(2)/2)*GH89*GK89*VLOOKUP('Données projet'!$B$17,Paramètres!$A$1:$I$89,3,0)*0.475*44/12</f>
        <v>2.5986564420127167E-8</v>
      </c>
      <c r="GO89" s="23">
        <f t="shared" si="81"/>
        <v>0.44449818402702423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-2.8421709430404007E-13</v>
      </c>
      <c r="GV89" s="18">
        <f>GU89*VLOOKUP('Données projet'!$B$18,Paramètres!$A$1:$I$89,3,0)*VLOOKUP('Données projet'!$B$18,Paramètres!$A$1:$I$89,5,0)</f>
        <v>-1.69961822393816E-13</v>
      </c>
      <c r="GW89" s="14" t="e">
        <f t="shared" si="105"/>
        <v>#NUM!</v>
      </c>
      <c r="GX89" s="22" t="e">
        <f t="shared" si="82"/>
        <v>#NUM!</v>
      </c>
      <c r="GY89" s="60" t="e">
        <f t="shared" si="83"/>
        <v>#NUM!</v>
      </c>
      <c r="GZ89" s="60">
        <f ca="1">AVERAGE(OFFSET($GY$3,0,0,'Données projet'!$E$18+1,1))-AVERAGE(OFFSET($H$3,0,0,'Données projet'!$E$18+1,1))</f>
        <v>289.12367833861299</v>
      </c>
      <c r="HA89" s="60">
        <f t="shared" si="106"/>
        <v>229.06617320689003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1.5448164485489761E-8</v>
      </c>
      <c r="HJ89" s="24">
        <f t="shared" si="84"/>
        <v>1.5448164485489761E-8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233.80031999999994</v>
      </c>
      <c r="P90" s="14">
        <f t="shared" si="87"/>
        <v>57.103614181373779</v>
      </c>
      <c r="Q90" s="22">
        <f t="shared" si="54"/>
        <v>506.65768536589252</v>
      </c>
      <c r="R90" s="60">
        <f t="shared" si="55"/>
        <v>799.99101869922583</v>
      </c>
      <c r="S90" s="60">
        <f ca="1">AVERAGE(OFFSET($R$3,0,0,'Données projet'!$E$9+1,1))-AVERAGE(OFFSET($H$3,0,0,'Données projet'!$E$9+1,1))</f>
        <v>430.11660085503223</v>
      </c>
      <c r="T90" s="60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1.2710188457276673E-13</v>
      </c>
      <c r="AK90" s="14">
        <f t="shared" si="89"/>
        <v>1.856866851063998E-12</v>
      </c>
      <c r="AL90" s="22">
        <f t="shared" si="58"/>
        <v>3.4554122145673649E-12</v>
      </c>
      <c r="AM90" s="60">
        <f t="shared" si="59"/>
        <v>293.33333333333678</v>
      </c>
      <c r="AN90" s="60">
        <f ca="1">AVERAGE(OFFSET($AM$3,0,0,'Données projet'!$E$10+1,1))-AVERAGE(OFFSET($H$3,0,0,'Données projet'!$E$10+1,1))</f>
        <v>323.98185264074681</v>
      </c>
      <c r="AO90" s="60">
        <f t="shared" si="90"/>
        <v>301.22207291854005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1.4431516172080265</v>
      </c>
      <c r="AV90" s="23">
        <f>EXP(-LN(2)/25)*AV89+(1-EXP(-LN(2)/25))/(LN(2)/25)*Calculateur!AQ90*Calculateur!AS90*VLOOKUP('Données projet'!$B$10,Paramètres!$A$1:$I$89,3,0)*0.475*44/12</f>
        <v>1.6981004752772513</v>
      </c>
      <c r="AW90" s="23">
        <f>EXP(-LN(2)/2)*AW89+(1-EXP(-LN(2)/2))/(LN(2)/2)*AQ90*AT90*VLOOKUP('Données projet'!$B$10,Paramètres!$A$1:$I$89,3,0)*0.475*44/12</f>
        <v>1.603636793518086E-8</v>
      </c>
      <c r="AX90" s="23">
        <f t="shared" si="60"/>
        <v>3.1412521085216456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7.7</v>
      </c>
      <c r="BD90" s="13">
        <f>IF('Données projet'!$A$88&gt;35,BD89+BC90-BL89,IF(A90&lt;'Données projet'!$A$88,$BA$205^A90,IF(A90='Données projet'!$A$88,'Données projet'!$B$88,BD89+BC90-BL89)))</f>
        <v>353.39999999999975</v>
      </c>
      <c r="BE90" s="14">
        <f>BD90*VLOOKUP('Données projet'!$B$11,Paramètres!$A$1:$I$89,3,0)*VLOOKUP('Données projet'!$B$11,Paramètres!$A$1:$I$89,5,0)</f>
        <v>303.21719999999982</v>
      </c>
      <c r="BF90" s="14">
        <f t="shared" si="91"/>
        <v>71.850492891887725</v>
      </c>
      <c r="BG90" s="22">
        <f t="shared" si="61"/>
        <v>653.24289845337069</v>
      </c>
      <c r="BH90" s="60">
        <f t="shared" si="62"/>
        <v>946.57623178670406</v>
      </c>
      <c r="BI90" s="60">
        <f ca="1">AVERAGE(OFFSET($BH$3,0,0,'Données projet'!$E$11+1,1))-AVERAGE(OFFSET($H$3,0,0,'Données projet'!$E$11+1,1))</f>
        <v>556.75475431848258</v>
      </c>
      <c r="BJ90" s="60">
        <f t="shared" si="92"/>
        <v>256.77417912163997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3.4106051316484809E-13</v>
      </c>
      <c r="BZ90" s="14">
        <f>BY90*VLOOKUP('Données projet'!$B$12,Paramètres!$A$1:$I$89,3,0)*VLOOKUP('Données projet'!$B$12,Paramètres!$A$1:$I$89,5,0)</f>
        <v>2.5006556825246659E-13</v>
      </c>
      <c r="CA90" s="14">
        <f t="shared" si="93"/>
        <v>3.3765445850268018E-12</v>
      </c>
      <c r="CB90" s="22">
        <f t="shared" si="64"/>
        <v>6.3163460169613921E-12</v>
      </c>
      <c r="CC90" s="60">
        <f t="shared" si="65"/>
        <v>293.33333333333962</v>
      </c>
      <c r="CD90" s="60">
        <f ca="1">AVERAGE(OFFSET($CC$3,0,0,'Données projet'!$E$12+1,1))-AVERAGE(OFFSET($H$3,0,0,'Données projet'!$E$12+1,1))</f>
        <v>290.68086183422963</v>
      </c>
      <c r="CE90" s="60">
        <f t="shared" si="94"/>
        <v>317.88330630101785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3.4</v>
      </c>
      <c r="CT90" s="13">
        <f>IF('Données projet'!$A$140&gt;35,CT89+CS90-DB89,IF(A90&lt;'Données projet'!$A$140,$CQ$205^A90,IF(A90='Données projet'!$A$140,'Données projet'!$B$140,CT89+CS90-DB89)))</f>
        <v>235.80000000000018</v>
      </c>
      <c r="CU90" s="18">
        <f>CT90*VLOOKUP('Données projet'!$B$13,Paramètres!$A$1:$I$89,3,0)*VLOOKUP('Données projet'!$B$13,Paramètres!$A$1:$I$89,5,0)</f>
        <v>154.49616000000012</v>
      </c>
      <c r="CV90" s="14">
        <f t="shared" si="95"/>
        <v>39.598591202405387</v>
      </c>
      <c r="CW90" s="22">
        <f t="shared" si="67"/>
        <v>338.04835834418958</v>
      </c>
      <c r="CX90" s="60">
        <f t="shared" si="68"/>
        <v>631.38169167752289</v>
      </c>
      <c r="CY90" s="60">
        <f ca="1">AVERAGE(OFFSET($CX$3,0,0,'Données projet'!$E$13+1,1))-AVERAGE(OFFSET($H$3,0,0,'Données projet'!$E$13+1,1))</f>
        <v>243.04319555814601</v>
      </c>
      <c r="CZ90" s="60">
        <f t="shared" si="96"/>
        <v>235.68746142880792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0" t="e">
        <f t="shared" si="71"/>
        <v>#NUM!</v>
      </c>
      <c r="DT90" s="60">
        <f ca="1">AVERAGE(OFFSET($DS$3,0,0,'Données projet'!$E$14+1,1))-AVERAGE(OFFSET($H$3,0,0,'Données projet'!$E$14+1,1))</f>
        <v>201.4732637505823</v>
      </c>
      <c r="DU90" s="60">
        <f t="shared" si="98"/>
        <v>342.06887933351783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2.1363233501896906</v>
      </c>
      <c r="EB90" s="23">
        <f>EXP(-LN(2)/25)*EB89+(1-EXP(-LN(2)/25))/(LN(2)/25)*Calculateur!DW90*Calculateur!DY90*VLOOKUP('Données projet'!$B$14,Paramètres!$A$1:$I$89,3,0)*0.475*44/12</f>
        <v>5.4443381060999005</v>
      </c>
      <c r="EC90" s="23">
        <f>EXP(-LN(2)/2)*EC89+(1-EXP(-LN(2)/2))/(LN(2)/2)*DW90*DZ90*VLOOKUP('Données projet'!$B$14,Paramètres!$A$1:$I$89,3,0)*0.475*44/12</f>
        <v>3.5290496778245871E-8</v>
      </c>
      <c r="ED90" s="24">
        <f t="shared" si="72"/>
        <v>7.5806614915800878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-3.4106051316484809E-13</v>
      </c>
      <c r="EK90" s="18">
        <f>EJ90*VLOOKUP('Données projet'!$B$15,Paramètres!$A$1:$I$89,3,0)*VLOOKUP('Données projet'!$B$15,Paramètres!$A$1:$I$89,5,0)</f>
        <v>-2.0395418687257919E-13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260.01925143568263</v>
      </c>
      <c r="EP90" s="60">
        <f t="shared" si="100"/>
        <v>269.95358755269427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4.5960972904021586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4.5960972904021586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-1.1368683772161603E-13</v>
      </c>
      <c r="FF90" s="18">
        <f>FE90*VLOOKUP('Données projet'!$B$16,Paramètres!$A$1:$I$89,3,0)*VLOOKUP('Données projet'!$B$16,Paramètres!$A$1:$I$89,5,0)</f>
        <v>-9.2222762759774927E-14</v>
      </c>
      <c r="FG90" s="14" t="e">
        <f t="shared" si="101"/>
        <v>#NUM!</v>
      </c>
      <c r="FH90" s="22" t="e">
        <f t="shared" si="76"/>
        <v>#NUM!</v>
      </c>
      <c r="FI90" s="60" t="e">
        <f t="shared" si="77"/>
        <v>#NUM!</v>
      </c>
      <c r="FJ90" s="60">
        <f ca="1">AVERAGE(OFFSET($FI$3,0,0,'Données projet'!$E$16+1,1))-AVERAGE(OFFSET($H$3,0,0,'Données projet'!$E$16+1,1))</f>
        <v>256.19915261735281</v>
      </c>
      <c r="FK90" s="60">
        <f t="shared" si="102"/>
        <v>297.47246687305056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4.7676923076923057</v>
      </c>
      <c r="FZ90" s="13">
        <f>IF('Données projet'!$A$244&gt;35,FZ89+FY90-GH89,IF(A90&lt;'Données projet'!$A$244,$FW$205^A90,IF(A90='Données projet'!$A$244,'Données projet'!$B$244,FZ89+FY90-GH89)))</f>
        <v>302.9046153846154</v>
      </c>
      <c r="GA90" s="18">
        <f>FZ90*VLOOKUP('Données projet'!$B$17,Paramètres!$A$1:$I$89,3,0)*VLOOKUP('Données projet'!$B$17,Paramètres!$A$1:$I$89,5,0)</f>
        <v>173.26144000000002</v>
      </c>
      <c r="GB90" s="14">
        <f t="shared" si="103"/>
        <v>43.81966781743413</v>
      </c>
      <c r="GC90" s="22">
        <f t="shared" si="79"/>
        <v>378.08292944869777</v>
      </c>
      <c r="GD90" s="60">
        <f t="shared" si="80"/>
        <v>671.41626278203103</v>
      </c>
      <c r="GE90" s="60">
        <f ca="1">AVERAGE(OFFSET($GD$3,0,0,'Données projet'!$E$17+1,1))-AVERAGE(OFFSET($H$3,0,0,'Données projet'!$E$17+1,1))</f>
        <v>268.71641789629319</v>
      </c>
      <c r="GF90" s="60">
        <f t="shared" si="104"/>
        <v>199.94048514486104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0.43234333253370122</v>
      </c>
      <c r="GN90" s="23">
        <f>EXP(-LN(2)/2)*GN89+(1-EXP(-LN(2)/2))/(LN(2)/2)*GH90*GK90*VLOOKUP('Données projet'!$B$17,Paramètres!$A$1:$I$89,3,0)*0.475*44/12</f>
        <v>1.8375275921212982E-8</v>
      </c>
      <c r="GO90" s="23">
        <f t="shared" si="81"/>
        <v>0.43234335090897713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-2.8421709430404007E-13</v>
      </c>
      <c r="GV90" s="18">
        <f>GU90*VLOOKUP('Données projet'!$B$18,Paramètres!$A$1:$I$89,3,0)*VLOOKUP('Données projet'!$B$18,Paramètres!$A$1:$I$89,5,0)</f>
        <v>-1.69961822393816E-13</v>
      </c>
      <c r="GW90" s="14" t="e">
        <f t="shared" si="105"/>
        <v>#NUM!</v>
      </c>
      <c r="GX90" s="22" t="e">
        <f t="shared" si="82"/>
        <v>#NUM!</v>
      </c>
      <c r="GY90" s="60" t="e">
        <f t="shared" si="83"/>
        <v>#NUM!</v>
      </c>
      <c r="GZ90" s="60">
        <f ca="1">AVERAGE(OFFSET($GY$3,0,0,'Données projet'!$E$18+1,1))-AVERAGE(OFFSET($H$3,0,0,'Données projet'!$E$18+1,1))</f>
        <v>289.12367833861299</v>
      </c>
      <c r="HA90" s="60">
        <f t="shared" si="106"/>
        <v>229.06617320689003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1.0923501864575003E-8</v>
      </c>
      <c r="HJ90" s="24">
        <f t="shared" si="84"/>
        <v>1.0923501864575003E-8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238.50527999999991</v>
      </c>
      <c r="P91" s="14">
        <f t="shared" si="87"/>
        <v>58.117817352909881</v>
      </c>
      <c r="Q91" s="22">
        <f t="shared" si="54"/>
        <v>516.61856122298445</v>
      </c>
      <c r="R91" s="60">
        <f t="shared" si="55"/>
        <v>809.95189455631771</v>
      </c>
      <c r="S91" s="60">
        <f ca="1">AVERAGE(OFFSET($R$3,0,0,'Données projet'!$E$9+1,1))-AVERAGE(OFFSET($H$3,0,0,'Données projet'!$E$9+1,1))</f>
        <v>430.11660085503223</v>
      </c>
      <c r="T91" s="60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1.2710188457276673E-13</v>
      </c>
      <c r="AK91" s="14">
        <f t="shared" si="89"/>
        <v>1.856866851063998E-12</v>
      </c>
      <c r="AL91" s="22">
        <f t="shared" si="58"/>
        <v>3.4554122145673649E-12</v>
      </c>
      <c r="AM91" s="60">
        <f t="shared" si="59"/>
        <v>293.33333333333678</v>
      </c>
      <c r="AN91" s="60">
        <f ca="1">AVERAGE(OFFSET($AM$3,0,0,'Données projet'!$E$10+1,1))-AVERAGE(OFFSET($H$3,0,0,'Données projet'!$E$10+1,1))</f>
        <v>323.98185264074681</v>
      </c>
      <c r="AO91" s="60">
        <f t="shared" si="90"/>
        <v>301.22207291854005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1.4148522942301476</v>
      </c>
      <c r="AV91" s="23">
        <f>EXP(-LN(2)/25)*AV90+(1-EXP(-LN(2)/25))/(LN(2)/25)*Calculateur!AQ91*Calculateur!AS91*VLOOKUP('Données projet'!$B$10,Paramètres!$A$1:$I$89,3,0)*0.475*44/12</f>
        <v>1.651665828481572</v>
      </c>
      <c r="AW91" s="23">
        <f>EXP(-LN(2)/2)*AW90+(1-EXP(-LN(2)/2))/(LN(2)/2)*AQ91*AT91*VLOOKUP('Données projet'!$B$10,Paramètres!$A$1:$I$89,3,0)*0.475*44/12</f>
        <v>1.13394245125689E-8</v>
      </c>
      <c r="AX91" s="23">
        <f t="shared" si="60"/>
        <v>3.0665181340511438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7.7</v>
      </c>
      <c r="BD91" s="13">
        <f>IF('Données projet'!$A$88&gt;35,BD90+BC91-BL90,IF(A91&lt;'Données projet'!$A$88,$BA$205^A91,IF(A91='Données projet'!$A$88,'Données projet'!$B$88,BD90+BC91-BL90)))</f>
        <v>361.09999999999974</v>
      </c>
      <c r="BE91" s="14">
        <f>BD91*VLOOKUP('Données projet'!$B$11,Paramètres!$A$1:$I$89,3,0)*VLOOKUP('Données projet'!$B$11,Paramètres!$A$1:$I$89,5,0)</f>
        <v>309.82379999999984</v>
      </c>
      <c r="BF91" s="14">
        <f t="shared" si="91"/>
        <v>73.232031381301638</v>
      </c>
      <c r="BG91" s="22">
        <f t="shared" si="61"/>
        <v>667.15557298910005</v>
      </c>
      <c r="BH91" s="60">
        <f t="shared" si="62"/>
        <v>960.48890632243342</v>
      </c>
      <c r="BI91" s="60">
        <f ca="1">AVERAGE(OFFSET($BH$3,0,0,'Données projet'!$E$11+1,1))-AVERAGE(OFFSET($H$3,0,0,'Données projet'!$E$11+1,1))</f>
        <v>556.75475431848258</v>
      </c>
      <c r="BJ91" s="60">
        <f t="shared" si="92"/>
        <v>256.77417912163997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3.4106051316484809E-13</v>
      </c>
      <c r="BZ91" s="14">
        <f>BY91*VLOOKUP('Données projet'!$B$12,Paramètres!$A$1:$I$89,3,0)*VLOOKUP('Données projet'!$B$12,Paramètres!$A$1:$I$89,5,0)</f>
        <v>2.5006556825246659E-13</v>
      </c>
      <c r="CA91" s="14">
        <f t="shared" si="93"/>
        <v>3.3765445850268018E-12</v>
      </c>
      <c r="CB91" s="22">
        <f t="shared" si="64"/>
        <v>6.3163460169613921E-12</v>
      </c>
      <c r="CC91" s="60">
        <f t="shared" si="65"/>
        <v>293.33333333333962</v>
      </c>
      <c r="CD91" s="60">
        <f ca="1">AVERAGE(OFFSET($CC$3,0,0,'Données projet'!$E$12+1,1))-AVERAGE(OFFSET($H$3,0,0,'Données projet'!$E$12+1,1))</f>
        <v>290.68086183422963</v>
      </c>
      <c r="CE91" s="60">
        <f t="shared" si="94"/>
        <v>317.88330630101785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3.4</v>
      </c>
      <c r="CT91" s="13">
        <f>IF('Données projet'!$A$140&gt;35,CT90+CS91-DB90,IF(A91&lt;'Données projet'!$A$140,$CQ$205^A91,IF(A91='Données projet'!$A$140,'Données projet'!$B$140,CT90+CS91-DB90)))</f>
        <v>239.20000000000019</v>
      </c>
      <c r="CU91" s="18">
        <f>CT91*VLOOKUP('Données projet'!$B$13,Paramètres!$A$1:$I$89,3,0)*VLOOKUP('Données projet'!$B$13,Paramètres!$A$1:$I$89,5,0)</f>
        <v>156.72384000000011</v>
      </c>
      <c r="CV91" s="14">
        <f t="shared" si="95"/>
        <v>40.10268098462052</v>
      </c>
      <c r="CW91" s="22">
        <f t="shared" si="67"/>
        <v>342.80619071488087</v>
      </c>
      <c r="CX91" s="60">
        <f t="shared" si="68"/>
        <v>636.13952404821418</v>
      </c>
      <c r="CY91" s="60">
        <f ca="1">AVERAGE(OFFSET($CX$3,0,0,'Données projet'!$E$13+1,1))-AVERAGE(OFFSET($H$3,0,0,'Données projet'!$E$13+1,1))</f>
        <v>243.04319555814601</v>
      </c>
      <c r="CZ91" s="60">
        <f t="shared" si="96"/>
        <v>235.68746142880792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0" t="e">
        <f t="shared" si="71"/>
        <v>#NUM!</v>
      </c>
      <c r="DT91" s="60">
        <f ca="1">AVERAGE(OFFSET($DS$3,0,0,'Données projet'!$E$14+1,1))-AVERAGE(OFFSET($H$3,0,0,'Données projet'!$E$14+1,1))</f>
        <v>201.4732637505823</v>
      </c>
      <c r="DU91" s="60">
        <f t="shared" si="98"/>
        <v>342.06887933351783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2.0944313523210512</v>
      </c>
      <c r="EB91" s="23">
        <f>EXP(-LN(2)/25)*EB90+(1-EXP(-LN(2)/25))/(LN(2)/25)*Calculateur!DW91*Calculateur!DY91*VLOOKUP('Données projet'!$B$14,Paramètres!$A$1:$I$89,3,0)*0.475*44/12</f>
        <v>5.2954623942833008</v>
      </c>
      <c r="EC91" s="23">
        <f>EXP(-LN(2)/2)*EC90+(1-EXP(-LN(2)/2))/(LN(2)/2)*DW91*DZ91*VLOOKUP('Données projet'!$B$14,Paramètres!$A$1:$I$89,3,0)*0.475*44/12</f>
        <v>2.4954149583339664E-8</v>
      </c>
      <c r="ED91" s="24">
        <f t="shared" si="72"/>
        <v>7.3898937715585022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-3.4106051316484809E-13</v>
      </c>
      <c r="EK91" s="18">
        <f>EJ91*VLOOKUP('Données projet'!$B$15,Paramètres!$A$1:$I$89,3,0)*VLOOKUP('Données projet'!$B$15,Paramètres!$A$1:$I$89,5,0)</f>
        <v>-2.0395418687257919E-13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260.01925143568263</v>
      </c>
      <c r="EP91" s="60">
        <f t="shared" si="100"/>
        <v>269.95358755269427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4.5059706258799119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4.5059706258799119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-1.1368683772161603E-13</v>
      </c>
      <c r="FF91" s="18">
        <f>FE91*VLOOKUP('Données projet'!$B$16,Paramètres!$A$1:$I$89,3,0)*VLOOKUP('Données projet'!$B$16,Paramètres!$A$1:$I$89,5,0)</f>
        <v>-9.2222762759774927E-14</v>
      </c>
      <c r="FG91" s="14" t="e">
        <f t="shared" si="101"/>
        <v>#NUM!</v>
      </c>
      <c r="FH91" s="22" t="e">
        <f t="shared" si="76"/>
        <v>#NUM!</v>
      </c>
      <c r="FI91" s="60" t="e">
        <f t="shared" si="77"/>
        <v>#NUM!</v>
      </c>
      <c r="FJ91" s="60">
        <f ca="1">AVERAGE(OFFSET($FI$3,0,0,'Données projet'!$E$16+1,1))-AVERAGE(OFFSET($H$3,0,0,'Données projet'!$E$16+1,1))</f>
        <v>256.19915261735281</v>
      </c>
      <c r="FK91" s="60">
        <f t="shared" si="102"/>
        <v>297.47246687305056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4.7676923076923057</v>
      </c>
      <c r="FZ91" s="13">
        <f>IF('Données projet'!$A$244&gt;35,FZ90+FY91-GH90,IF(A91&lt;'Données projet'!$A$244,$FW$205^A91,IF(A91='Données projet'!$A$244,'Données projet'!$B$244,FZ90+FY91-GH90)))</f>
        <v>307.6723076923077</v>
      </c>
      <c r="GA91" s="18">
        <f>FZ91*VLOOKUP('Données projet'!$B$17,Paramètres!$A$1:$I$89,3,0)*VLOOKUP('Données projet'!$B$17,Paramètres!$A$1:$I$89,5,0)</f>
        <v>175.98856000000001</v>
      </c>
      <c r="GB91" s="14">
        <f t="shared" si="103"/>
        <v>44.428547393836148</v>
      </c>
      <c r="GC91" s="22">
        <f t="shared" si="79"/>
        <v>383.89312871093125</v>
      </c>
      <c r="GD91" s="60">
        <f t="shared" si="80"/>
        <v>677.22646204426451</v>
      </c>
      <c r="GE91" s="60">
        <f ca="1">AVERAGE(OFFSET($GD$3,0,0,'Données projet'!$E$17+1,1))-AVERAGE(OFFSET($H$3,0,0,'Données projet'!$E$17+1,1))</f>
        <v>268.71641789629319</v>
      </c>
      <c r="GF91" s="60">
        <f t="shared" si="104"/>
        <v>199.94048514486104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0.42052088136961946</v>
      </c>
      <c r="GN91" s="23">
        <f>EXP(-LN(2)/2)*GN90+(1-EXP(-LN(2)/2))/(LN(2)/2)*GH91*GK91*VLOOKUP('Données projet'!$B$17,Paramètres!$A$1:$I$89,3,0)*0.475*44/12</f>
        <v>1.2993282210063583E-8</v>
      </c>
      <c r="GO91" s="23">
        <f t="shared" si="81"/>
        <v>0.42052089436290169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-2.8421709430404007E-13</v>
      </c>
      <c r="GV91" s="18">
        <f>GU91*VLOOKUP('Données projet'!$B$18,Paramètres!$A$1:$I$89,3,0)*VLOOKUP('Données projet'!$B$18,Paramètres!$A$1:$I$89,5,0)</f>
        <v>-1.69961822393816E-13</v>
      </c>
      <c r="GW91" s="14" t="e">
        <f t="shared" si="105"/>
        <v>#NUM!</v>
      </c>
      <c r="GX91" s="22" t="e">
        <f t="shared" si="82"/>
        <v>#NUM!</v>
      </c>
      <c r="GY91" s="60" t="e">
        <f t="shared" si="83"/>
        <v>#NUM!</v>
      </c>
      <c r="GZ91" s="60">
        <f ca="1">AVERAGE(OFFSET($GY$3,0,0,'Données projet'!$E$18+1,1))-AVERAGE(OFFSET($H$3,0,0,'Données projet'!$E$18+1,1))</f>
        <v>289.12367833861299</v>
      </c>
      <c r="HA91" s="60">
        <f t="shared" si="106"/>
        <v>229.06617320689003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7.7240822427448807E-9</v>
      </c>
      <c r="HJ91" s="24">
        <f t="shared" si="84"/>
        <v>7.7240822427448807E-9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243.21023999999991</v>
      </c>
      <c r="P92" s="14">
        <f t="shared" si="87"/>
        <v>59.129694216846737</v>
      </c>
      <c r="Q92" s="22">
        <f t="shared" si="54"/>
        <v>526.57538542767463</v>
      </c>
      <c r="R92" s="60">
        <f t="shared" si="55"/>
        <v>819.908718761008</v>
      </c>
      <c r="S92" s="60">
        <f ca="1">AVERAGE(OFFSET($R$3,0,0,'Données projet'!$E$9+1,1))-AVERAGE(OFFSET($H$3,0,0,'Données projet'!$E$9+1,1))</f>
        <v>430.11660085503223</v>
      </c>
      <c r="T92" s="60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1.2710188457276673E-13</v>
      </c>
      <c r="AK92" s="14">
        <f t="shared" si="89"/>
        <v>1.856866851063998E-12</v>
      </c>
      <c r="AL92" s="22">
        <f t="shared" si="58"/>
        <v>3.4554122145673649E-12</v>
      </c>
      <c r="AM92" s="60">
        <f t="shared" si="59"/>
        <v>293.33333333333678</v>
      </c>
      <c r="AN92" s="60">
        <f ca="1">AVERAGE(OFFSET($AM$3,0,0,'Données projet'!$E$10+1,1))-AVERAGE(OFFSET($H$3,0,0,'Données projet'!$E$10+1,1))</f>
        <v>323.98185264074681</v>
      </c>
      <c r="AO92" s="60">
        <f t="shared" si="90"/>
        <v>301.22207291854005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1.3871079037149823</v>
      </c>
      <c r="AV92" s="23">
        <f>EXP(-LN(2)/25)*AV91+(1-EXP(-LN(2)/25))/(LN(2)/25)*Calculateur!AQ92*Calculateur!AS92*VLOOKUP('Données projet'!$B$10,Paramètres!$A$1:$I$89,3,0)*0.475*44/12</f>
        <v>1.6065009395444123</v>
      </c>
      <c r="AW92" s="23">
        <f>EXP(-LN(2)/2)*AW91+(1-EXP(-LN(2)/2))/(LN(2)/2)*AQ92*AT92*VLOOKUP('Données projet'!$B$10,Paramètres!$A$1:$I$89,3,0)*0.475*44/12</f>
        <v>8.0181839675904301E-9</v>
      </c>
      <c r="AX92" s="23">
        <f t="shared" si="60"/>
        <v>2.9936088512775787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7.7</v>
      </c>
      <c r="BD92" s="13">
        <f>IF('Données projet'!$A$88&gt;35,BD91+BC92-BL91,IF(A92&lt;'Données projet'!$A$88,$BA$205^A92,IF(A92='Données projet'!$A$88,'Données projet'!$B$88,BD91+BC92-BL91)))</f>
        <v>368.79999999999973</v>
      </c>
      <c r="BE92" s="14">
        <f>BD92*VLOOKUP('Données projet'!$B$11,Paramètres!$A$1:$I$89,3,0)*VLOOKUP('Données projet'!$B$11,Paramètres!$A$1:$I$89,5,0)</f>
        <v>316.43039999999979</v>
      </c>
      <c r="BF92" s="14">
        <f t="shared" si="91"/>
        <v>74.610144755935139</v>
      </c>
      <c r="BG92" s="22">
        <f t="shared" si="61"/>
        <v>681.06228211658663</v>
      </c>
      <c r="BH92" s="60">
        <f t="shared" si="62"/>
        <v>974.39561544991989</v>
      </c>
      <c r="BI92" s="60">
        <f ca="1">AVERAGE(OFFSET($BH$3,0,0,'Données projet'!$E$11+1,1))-AVERAGE(OFFSET($H$3,0,0,'Données projet'!$E$11+1,1))</f>
        <v>556.75475431848258</v>
      </c>
      <c r="BJ92" s="60">
        <f t="shared" si="92"/>
        <v>256.77417912163997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3.4106051316484809E-13</v>
      </c>
      <c r="BZ92" s="14">
        <f>BY92*VLOOKUP('Données projet'!$B$12,Paramètres!$A$1:$I$89,3,0)*VLOOKUP('Données projet'!$B$12,Paramètres!$A$1:$I$89,5,0)</f>
        <v>2.5006556825246659E-13</v>
      </c>
      <c r="CA92" s="14">
        <f t="shared" si="93"/>
        <v>3.3765445850268018E-12</v>
      </c>
      <c r="CB92" s="22">
        <f t="shared" si="64"/>
        <v>6.3163460169613921E-12</v>
      </c>
      <c r="CC92" s="60">
        <f t="shared" si="65"/>
        <v>293.33333333333962</v>
      </c>
      <c r="CD92" s="60">
        <f ca="1">AVERAGE(OFFSET($CC$3,0,0,'Données projet'!$E$12+1,1))-AVERAGE(OFFSET($H$3,0,0,'Données projet'!$E$12+1,1))</f>
        <v>290.68086183422963</v>
      </c>
      <c r="CE92" s="60">
        <f t="shared" si="94"/>
        <v>317.88330630101785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3.4</v>
      </c>
      <c r="CT92" s="13">
        <f>IF('Données projet'!$A$140&gt;35,CT91+CS92-DB91,IF(A92&lt;'Données projet'!$A$140,$CQ$205^A92,IF(A92='Données projet'!$A$140,'Données projet'!$B$140,CT91+CS92-DB91)))</f>
        <v>242.60000000000019</v>
      </c>
      <c r="CU92" s="18">
        <f>CT92*VLOOKUP('Données projet'!$B$13,Paramètres!$A$1:$I$89,3,0)*VLOOKUP('Données projet'!$B$13,Paramètres!$A$1:$I$89,5,0)</f>
        <v>158.95152000000013</v>
      </c>
      <c r="CV92" s="14">
        <f t="shared" si="95"/>
        <v>40.60593740260461</v>
      </c>
      <c r="CW92" s="22">
        <f t="shared" si="67"/>
        <v>347.5625716428699</v>
      </c>
      <c r="CX92" s="60">
        <f t="shared" si="68"/>
        <v>640.89590497620316</v>
      </c>
      <c r="CY92" s="60">
        <f ca="1">AVERAGE(OFFSET($CX$3,0,0,'Données projet'!$E$13+1,1))-AVERAGE(OFFSET($H$3,0,0,'Données projet'!$E$13+1,1))</f>
        <v>243.04319555814601</v>
      </c>
      <c r="CZ92" s="60">
        <f t="shared" si="96"/>
        <v>235.68746142880792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0" t="e">
        <f t="shared" si="71"/>
        <v>#NUM!</v>
      </c>
      <c r="DT92" s="60">
        <f ca="1">AVERAGE(OFFSET($DS$3,0,0,'Données projet'!$E$14+1,1))-AVERAGE(OFFSET($H$3,0,0,'Données projet'!$E$14+1,1))</f>
        <v>201.4732637505823</v>
      </c>
      <c r="DU92" s="60">
        <f t="shared" si="98"/>
        <v>342.06887933351783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2.0533608309790199</v>
      </c>
      <c r="EB92" s="23">
        <f>EXP(-LN(2)/25)*EB91+(1-EXP(-LN(2)/25))/(LN(2)/25)*Calculateur!DW92*Calculateur!DY92*VLOOKUP('Données projet'!$B$14,Paramètres!$A$1:$I$89,3,0)*0.475*44/12</f>
        <v>5.1506576966353599</v>
      </c>
      <c r="EC92" s="23">
        <f>EXP(-LN(2)/2)*EC91+(1-EXP(-LN(2)/2))/(LN(2)/2)*DW92*DZ92*VLOOKUP('Données projet'!$B$14,Paramètres!$A$1:$I$89,3,0)*0.475*44/12</f>
        <v>1.7645248389122936E-8</v>
      </c>
      <c r="ED92" s="24">
        <f t="shared" si="72"/>
        <v>7.204018545259629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-3.4106051316484809E-13</v>
      </c>
      <c r="EK92" s="18">
        <f>EJ92*VLOOKUP('Données projet'!$B$15,Paramètres!$A$1:$I$89,3,0)*VLOOKUP('Données projet'!$B$15,Paramètres!$A$1:$I$89,5,0)</f>
        <v>-2.0395418687257919E-13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260.01925143568263</v>
      </c>
      <c r="EP92" s="60">
        <f t="shared" si="100"/>
        <v>269.95358755269427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4.4176112902771099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4.4176112902771099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-1.1368683772161603E-13</v>
      </c>
      <c r="FF92" s="18">
        <f>FE92*VLOOKUP('Données projet'!$B$16,Paramètres!$A$1:$I$89,3,0)*VLOOKUP('Données projet'!$B$16,Paramètres!$A$1:$I$89,5,0)</f>
        <v>-9.2222762759774927E-14</v>
      </c>
      <c r="FG92" s="14" t="e">
        <f t="shared" si="101"/>
        <v>#NUM!</v>
      </c>
      <c r="FH92" s="22" t="e">
        <f t="shared" si="76"/>
        <v>#NUM!</v>
      </c>
      <c r="FI92" s="60" t="e">
        <f t="shared" si="77"/>
        <v>#NUM!</v>
      </c>
      <c r="FJ92" s="60">
        <f ca="1">AVERAGE(OFFSET($FI$3,0,0,'Données projet'!$E$16+1,1))-AVERAGE(OFFSET($H$3,0,0,'Données projet'!$E$16+1,1))</f>
        <v>256.19915261735281</v>
      </c>
      <c r="FK92" s="60">
        <f t="shared" si="102"/>
        <v>297.47246687305056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4.7676923076923057</v>
      </c>
      <c r="FZ92" s="13">
        <f>IF('Données projet'!$A$244&gt;35,FZ91+FY92-GH91,IF(A92&lt;'Données projet'!$A$244,$FW$205^A92,IF(A92='Données projet'!$A$244,'Données projet'!$B$244,FZ91+FY92-GH91)))</f>
        <v>312.44</v>
      </c>
      <c r="GA92" s="18">
        <f>FZ92*VLOOKUP('Données projet'!$B$17,Paramètres!$A$1:$I$89,3,0)*VLOOKUP('Données projet'!$B$17,Paramètres!$A$1:$I$89,5,0)</f>
        <v>178.71568000000002</v>
      </c>
      <c r="GB92" s="14">
        <f t="shared" si="103"/>
        <v>45.036329656142925</v>
      </c>
      <c r="GC92" s="22">
        <f t="shared" si="79"/>
        <v>389.70141681778227</v>
      </c>
      <c r="GD92" s="60">
        <f t="shared" si="80"/>
        <v>683.03475015111553</v>
      </c>
      <c r="GE92" s="60">
        <f ca="1">AVERAGE(OFFSET($GD$3,0,0,'Données projet'!$E$17+1,1))-AVERAGE(OFFSET($H$3,0,0,'Données projet'!$E$17+1,1))</f>
        <v>268.71641789629319</v>
      </c>
      <c r="GF92" s="60">
        <f t="shared" si="104"/>
        <v>199.94048514486104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0.40902171575433516</v>
      </c>
      <c r="GN92" s="23">
        <f>EXP(-LN(2)/2)*GN91+(1-EXP(-LN(2)/2))/(LN(2)/2)*GH92*GK92*VLOOKUP('Données projet'!$B$17,Paramètres!$A$1:$I$89,3,0)*0.475*44/12</f>
        <v>9.1876379606064908E-9</v>
      </c>
      <c r="GO92" s="23">
        <f t="shared" si="81"/>
        <v>0.40902172494197314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-2.8421709430404007E-13</v>
      </c>
      <c r="GV92" s="18">
        <f>GU92*VLOOKUP('Données projet'!$B$18,Paramètres!$A$1:$I$89,3,0)*VLOOKUP('Données projet'!$B$18,Paramètres!$A$1:$I$89,5,0)</f>
        <v>-1.69961822393816E-13</v>
      </c>
      <c r="GW92" s="14" t="e">
        <f t="shared" si="105"/>
        <v>#NUM!</v>
      </c>
      <c r="GX92" s="22" t="e">
        <f t="shared" si="82"/>
        <v>#NUM!</v>
      </c>
      <c r="GY92" s="60" t="e">
        <f t="shared" si="83"/>
        <v>#NUM!</v>
      </c>
      <c r="GZ92" s="60">
        <f ca="1">AVERAGE(OFFSET($GY$3,0,0,'Données projet'!$E$18+1,1))-AVERAGE(OFFSET($H$3,0,0,'Données projet'!$E$18+1,1))</f>
        <v>289.12367833861299</v>
      </c>
      <c r="HA92" s="60">
        <f t="shared" si="106"/>
        <v>229.06617320689003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5.4617509322875017E-9</v>
      </c>
      <c r="HJ92" s="24">
        <f t="shared" si="84"/>
        <v>5.4617509322875017E-9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247.91519999999991</v>
      </c>
      <c r="P93" s="14">
        <f t="shared" si="87"/>
        <v>60.139294964297406</v>
      </c>
      <c r="Q93" s="22">
        <f t="shared" si="54"/>
        <v>536.52824539615108</v>
      </c>
      <c r="R93" s="60">
        <f t="shared" si="55"/>
        <v>829.86157872948434</v>
      </c>
      <c r="S93" s="60">
        <f ca="1">AVERAGE(OFFSET($R$3,0,0,'Données projet'!$E$9+1,1))-AVERAGE(OFFSET($H$3,0,0,'Données projet'!$E$9+1,1))</f>
        <v>430.11660085503223</v>
      </c>
      <c r="T93" s="60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1.2710188457276673E-13</v>
      </c>
      <c r="AK93" s="14">
        <f t="shared" si="89"/>
        <v>1.856866851063998E-12</v>
      </c>
      <c r="AL93" s="22">
        <f t="shared" si="58"/>
        <v>3.4554122145673649E-12</v>
      </c>
      <c r="AM93" s="60">
        <f t="shared" si="59"/>
        <v>293.33333333333678</v>
      </c>
      <c r="AN93" s="60">
        <f ca="1">AVERAGE(OFFSET($AM$3,0,0,'Données projet'!$E$10+1,1))-AVERAGE(OFFSET($H$3,0,0,'Données projet'!$E$10+1,1))</f>
        <v>323.98185264074681</v>
      </c>
      <c r="AO93" s="60">
        <f t="shared" si="90"/>
        <v>301.22207291854005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1.3599075637754121</v>
      </c>
      <c r="AV93" s="23">
        <f>EXP(-LN(2)/25)*AV92+(1-EXP(-LN(2)/25))/(LN(2)/25)*Calculateur!AQ93*Calculateur!AS93*VLOOKUP('Données projet'!$B$10,Paramètres!$A$1:$I$89,3,0)*0.475*44/12</f>
        <v>1.5625710868703577</v>
      </c>
      <c r="AW93" s="23">
        <f>EXP(-LN(2)/2)*AW92+(1-EXP(-LN(2)/2))/(LN(2)/2)*AQ93*AT93*VLOOKUP('Données projet'!$B$10,Paramètres!$A$1:$I$89,3,0)*0.475*44/12</f>
        <v>5.6697122562844499E-9</v>
      </c>
      <c r="AX93" s="23">
        <f t="shared" si="60"/>
        <v>2.9224786563154823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7.7</v>
      </c>
      <c r="BD93" s="13">
        <f>IF('Données projet'!$A$88&gt;35,BD92+BC93-BL92,IF(A93&lt;'Données projet'!$A$88,$BA$205^A93,IF(A93='Données projet'!$A$88,'Données projet'!$B$88,BD92+BC93-BL92)))</f>
        <v>376.49999999999972</v>
      </c>
      <c r="BE93" s="14">
        <f>BD93*VLOOKUP('Données projet'!$B$11,Paramètres!$A$1:$I$89,3,0)*VLOOKUP('Données projet'!$B$11,Paramètres!$A$1:$I$89,5,0)</f>
        <v>323.03699999999975</v>
      </c>
      <c r="BF93" s="14">
        <f t="shared" si="91"/>
        <v>75.984912765820113</v>
      </c>
      <c r="BG93" s="22">
        <f t="shared" si="61"/>
        <v>694.96316473380296</v>
      </c>
      <c r="BH93" s="60">
        <f t="shared" si="62"/>
        <v>988.29649806713633</v>
      </c>
      <c r="BI93" s="60">
        <f ca="1">AVERAGE(OFFSET($BH$3,0,0,'Données projet'!$E$11+1,1))-AVERAGE(OFFSET($H$3,0,0,'Données projet'!$E$11+1,1))</f>
        <v>556.75475431848258</v>
      </c>
      <c r="BJ93" s="60">
        <f t="shared" si="92"/>
        <v>256.77417912163997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3.4106051316484809E-13</v>
      </c>
      <c r="BZ93" s="14">
        <f>BY93*VLOOKUP('Données projet'!$B$12,Paramètres!$A$1:$I$89,3,0)*VLOOKUP('Données projet'!$B$12,Paramètres!$A$1:$I$89,5,0)</f>
        <v>2.5006556825246659E-13</v>
      </c>
      <c r="CA93" s="14">
        <f t="shared" si="93"/>
        <v>3.3765445850268018E-12</v>
      </c>
      <c r="CB93" s="22">
        <f t="shared" si="64"/>
        <v>6.3163460169613921E-12</v>
      </c>
      <c r="CC93" s="60">
        <f t="shared" si="65"/>
        <v>293.33333333333962</v>
      </c>
      <c r="CD93" s="60">
        <f ca="1">AVERAGE(OFFSET($CC$3,0,0,'Données projet'!$E$12+1,1))-AVERAGE(OFFSET($H$3,0,0,'Données projet'!$E$12+1,1))</f>
        <v>290.68086183422963</v>
      </c>
      <c r="CE93" s="60">
        <f t="shared" si="94"/>
        <v>317.88330630101785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246</v>
      </c>
      <c r="CR93" s="13">
        <f>VLOOKUP(A93,'Données projet'!$A$139:$I$159,9,0)</f>
        <v>3.4</v>
      </c>
      <c r="CS93" s="13">
        <f t="array" ref="CS93">INDEX(CR:CR,MIN(IF(ISNUMBER(CR93:CR289),ROW(CR93:CR289),"")))</f>
        <v>3.4</v>
      </c>
      <c r="CT93" s="13">
        <f>IF('Données projet'!$A$140&gt;35,CT92+CS93-DB92,IF(A93&lt;'Données projet'!$A$140,$CQ$205^A93,IF(A93='Données projet'!$A$140,'Données projet'!$B$140,CT92+CS93-DB92)))</f>
        <v>246.0000000000002</v>
      </c>
      <c r="CU93" s="18">
        <f>CT93*VLOOKUP('Données projet'!$B$13,Paramètres!$A$1:$I$89,3,0)*VLOOKUP('Données projet'!$B$13,Paramètres!$A$1:$I$89,5,0)</f>
        <v>161.17920000000012</v>
      </c>
      <c r="CV93" s="14">
        <f t="shared" si="95"/>
        <v>41.108373485542003</v>
      </c>
      <c r="CW93" s="22">
        <f t="shared" si="67"/>
        <v>352.31752382065253</v>
      </c>
      <c r="CX93" s="60">
        <f t="shared" si="68"/>
        <v>645.65085715398584</v>
      </c>
      <c r="CY93" s="60">
        <f ca="1">AVERAGE(OFFSET($CX$3,0,0,'Données projet'!$E$13+1,1))-AVERAGE(OFFSET($H$3,0,0,'Données projet'!$E$13+1,1))</f>
        <v>243.04319555814601</v>
      </c>
      <c r="CZ93" s="60">
        <f t="shared" si="96"/>
        <v>235.68746142880792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246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0" t="e">
        <f t="shared" si="71"/>
        <v>#NUM!</v>
      </c>
      <c r="DT93" s="60">
        <f ca="1">AVERAGE(OFFSET($DS$3,0,0,'Données projet'!$E$14+1,1))-AVERAGE(OFFSET($H$3,0,0,'Données projet'!$E$14+1,1))</f>
        <v>201.4732637505823</v>
      </c>
      <c r="DU93" s="60">
        <f t="shared" si="98"/>
        <v>342.06887933351783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2.0130956775099613</v>
      </c>
      <c r="EB93" s="23">
        <f>EXP(-LN(2)/25)*EB92+(1-EXP(-LN(2)/25))/(LN(2)/25)*Calculateur!DW93*Calculateur!DY93*VLOOKUP('Données projet'!$B$14,Paramètres!$A$1:$I$89,3,0)*0.475*44/12</f>
        <v>5.0098126910595493</v>
      </c>
      <c r="EC93" s="23">
        <f>EXP(-LN(2)/2)*EC92+(1-EXP(-LN(2)/2))/(LN(2)/2)*DW93*DZ93*VLOOKUP('Données projet'!$B$14,Paramètres!$A$1:$I$89,3,0)*0.475*44/12</f>
        <v>1.2477074791669832E-8</v>
      </c>
      <c r="ED93" s="24">
        <f t="shared" si="72"/>
        <v>7.0229083810465847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-3.4106051316484809E-13</v>
      </c>
      <c r="EK93" s="18">
        <f>EJ93*VLOOKUP('Données projet'!$B$15,Paramètres!$A$1:$I$89,3,0)*VLOOKUP('Données projet'!$B$15,Paramètres!$A$1:$I$89,5,0)</f>
        <v>-2.0395418687257919E-13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260.01925143568263</v>
      </c>
      <c r="EP93" s="60">
        <f t="shared" si="100"/>
        <v>269.95358755269427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4.3309846273516053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4.3309846273516053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-1.1368683772161603E-13</v>
      </c>
      <c r="FF93" s="18">
        <f>FE93*VLOOKUP('Données projet'!$B$16,Paramètres!$A$1:$I$89,3,0)*VLOOKUP('Données projet'!$B$16,Paramètres!$A$1:$I$89,5,0)</f>
        <v>-9.2222762759774927E-14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256.19915261735281</v>
      </c>
      <c r="FK93" s="60">
        <f t="shared" si="102"/>
        <v>297.47246687305056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317.2076923076923</v>
      </c>
      <c r="FX93" s="13">
        <f>VLOOKUP(A93,'Données projet'!$A$243:$I$263,9,0)</f>
        <v>4.7676923076923057</v>
      </c>
      <c r="FY93" s="13">
        <f t="array" ref="FY93">INDEX(FX:FX,MIN(IF(ISNUMBER(FX93:FX289),ROW(FX93:FX289),"")))</f>
        <v>4.7676923076923057</v>
      </c>
      <c r="FZ93" s="13">
        <f>IF('Données projet'!$A$244&gt;35,FZ92+FY93-GH92,IF(A93&lt;'Données projet'!$A$244,$FW$205^A93,IF(A93='Données projet'!$A$244,'Données projet'!$B$244,FZ92+FY93-GH92)))</f>
        <v>317.2076923076923</v>
      </c>
      <c r="GA93" s="18">
        <f>FZ93*VLOOKUP('Données projet'!$B$17,Paramètres!$A$1:$I$89,3,0)*VLOOKUP('Données projet'!$B$17,Paramètres!$A$1:$I$89,5,0)</f>
        <v>181.44279999999998</v>
      </c>
      <c r="GB93" s="14">
        <f t="shared" si="103"/>
        <v>45.643033282797646</v>
      </c>
      <c r="GC93" s="22">
        <f t="shared" si="79"/>
        <v>395.50782630087252</v>
      </c>
      <c r="GD93" s="60">
        <f t="shared" si="80"/>
        <v>688.84115963420584</v>
      </c>
      <c r="GE93" s="60">
        <f ca="1">AVERAGE(OFFSET($GD$3,0,0,'Données projet'!$E$17+1,1))-AVERAGE(OFFSET($H$3,0,0,'Données projet'!$E$17+1,1))</f>
        <v>268.71641789629319</v>
      </c>
      <c r="GF93" s="60">
        <f t="shared" si="104"/>
        <v>199.94048514486104</v>
      </c>
      <c r="GG93" s="16">
        <f>IF(ISNA(VLOOKUP(A93,'Données projet'!$A$243:$I$263,3,0)),0,VLOOKUP(A93,'Données projet'!$A$243:$I$263,3,0))</f>
        <v>9</v>
      </c>
      <c r="GH93" s="16">
        <f>IF(ISNA(VLOOKUP(A93,'Données projet'!$A$243:$I$263,4,0)),0,VLOOKUP(A93,'Données projet'!$A$243:$I$263,4,0))</f>
        <v>35.161538461538463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0.39783699542751566</v>
      </c>
      <c r="GN93" s="23">
        <f>EXP(-LN(2)/2)*GN92+(1-EXP(-LN(2)/2))/(LN(2)/2)*GH93*GK93*VLOOKUP('Données projet'!$B$17,Paramètres!$A$1:$I$89,3,0)*0.475*44/12</f>
        <v>6.4966411050317917E-9</v>
      </c>
      <c r="GO93" s="23">
        <f t="shared" si="81"/>
        <v>0.39783700192415677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-2.8421709430404007E-13</v>
      </c>
      <c r="GV93" s="18">
        <f>GU93*VLOOKUP('Données projet'!$B$18,Paramètres!$A$1:$I$89,3,0)*VLOOKUP('Données projet'!$B$18,Paramètres!$A$1:$I$89,5,0)</f>
        <v>-1.69961822393816E-13</v>
      </c>
      <c r="GW93" s="14" t="e">
        <f t="shared" si="105"/>
        <v>#NUM!</v>
      </c>
      <c r="GX93" s="22" t="e">
        <f t="shared" si="82"/>
        <v>#NUM!</v>
      </c>
      <c r="GY93" s="60" t="e">
        <f t="shared" si="83"/>
        <v>#NUM!</v>
      </c>
      <c r="GZ93" s="60">
        <f ca="1">AVERAGE(OFFSET($GY$3,0,0,'Données projet'!$E$18+1,1))-AVERAGE(OFFSET($H$3,0,0,'Données projet'!$E$18+1,1))</f>
        <v>289.12367833861299</v>
      </c>
      <c r="HA93" s="60">
        <f t="shared" si="106"/>
        <v>229.06617320689003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3.8620411213724403E-9</v>
      </c>
      <c r="HJ93" s="24">
        <f t="shared" si="84"/>
        <v>3.8620411213724403E-9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252.62015999999988</v>
      </c>
      <c r="P94" s="14">
        <f t="shared" si="87"/>
        <v>61.14666777229877</v>
      </c>
      <c r="Q94" s="22">
        <f t="shared" si="54"/>
        <v>546.47722503675345</v>
      </c>
      <c r="R94" s="60">
        <f t="shared" si="55"/>
        <v>839.81055837008671</v>
      </c>
      <c r="S94" s="60">
        <f ca="1">AVERAGE(OFFSET($R$3,0,0,'Données projet'!$E$9+1,1))-AVERAGE(OFFSET($H$3,0,0,'Données projet'!$E$9+1,1))</f>
        <v>430.11660085503223</v>
      </c>
      <c r="T94" s="60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1.2710188457276673E-13</v>
      </c>
      <c r="AK94" s="14">
        <f t="shared" si="89"/>
        <v>1.856866851063998E-12</v>
      </c>
      <c r="AL94" s="22">
        <f t="shared" si="58"/>
        <v>3.4554122145673649E-12</v>
      </c>
      <c r="AM94" s="60">
        <f t="shared" si="59"/>
        <v>293.33333333333678</v>
      </c>
      <c r="AN94" s="60">
        <f ca="1">AVERAGE(OFFSET($AM$3,0,0,'Données projet'!$E$10+1,1))-AVERAGE(OFFSET($H$3,0,0,'Données projet'!$E$10+1,1))</f>
        <v>323.98185264074681</v>
      </c>
      <c r="AO94" s="60">
        <f t="shared" si="90"/>
        <v>301.22207291854005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1.3332406059114876</v>
      </c>
      <c r="AV94" s="23">
        <f>EXP(-LN(2)/25)*AV93+(1-EXP(-LN(2)/25))/(LN(2)/25)*Calculateur!AQ94*Calculateur!AS94*VLOOKUP('Données projet'!$B$10,Paramètres!$A$1:$I$89,3,0)*0.475*44/12</f>
        <v>1.5198424983278456</v>
      </c>
      <c r="AW94" s="23">
        <f>EXP(-LN(2)/2)*AW93+(1-EXP(-LN(2)/2))/(LN(2)/2)*AQ94*AT94*VLOOKUP('Données projet'!$B$10,Paramètres!$A$1:$I$89,3,0)*0.475*44/12</f>
        <v>4.0090919837952151E-9</v>
      </c>
      <c r="AX94" s="23">
        <f t="shared" si="60"/>
        <v>2.8530831082484256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7.7</v>
      </c>
      <c r="BD94" s="13">
        <f>IF('Données projet'!$A$88&gt;35,BD93+BC94-BL93,IF(A94&lt;'Données projet'!$A$88,$BA$205^A94,IF(A94='Données projet'!$A$88,'Données projet'!$B$88,BD93+BC94-BL93)))</f>
        <v>384.1999999999997</v>
      </c>
      <c r="BE94" s="14">
        <f>BD94*VLOOKUP('Données projet'!$B$11,Paramètres!$A$1:$I$89,3,0)*VLOOKUP('Données projet'!$B$11,Paramètres!$A$1:$I$89,5,0)</f>
        <v>329.64359999999976</v>
      </c>
      <c r="BF94" s="14">
        <f t="shared" si="91"/>
        <v>77.356411712502833</v>
      </c>
      <c r="BG94" s="22">
        <f t="shared" si="61"/>
        <v>708.85835373260863</v>
      </c>
      <c r="BH94" s="60">
        <f t="shared" si="62"/>
        <v>1002.191687065942</v>
      </c>
      <c r="BI94" s="60">
        <f ca="1">AVERAGE(OFFSET($BH$3,0,0,'Données projet'!$E$11+1,1))-AVERAGE(OFFSET($H$3,0,0,'Données projet'!$E$11+1,1))</f>
        <v>556.75475431848258</v>
      </c>
      <c r="BJ94" s="60">
        <f t="shared" si="92"/>
        <v>256.77417912163997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3.4106051316484809E-13</v>
      </c>
      <c r="BZ94" s="14">
        <f>BY94*VLOOKUP('Données projet'!$B$12,Paramètres!$A$1:$I$89,3,0)*VLOOKUP('Données projet'!$B$12,Paramètres!$A$1:$I$89,5,0)</f>
        <v>2.5006556825246659E-13</v>
      </c>
      <c r="CA94" s="14">
        <f t="shared" si="93"/>
        <v>3.3765445850268018E-12</v>
      </c>
      <c r="CB94" s="22">
        <f t="shared" si="64"/>
        <v>6.3163460169613921E-12</v>
      </c>
      <c r="CC94" s="60">
        <f t="shared" si="65"/>
        <v>293.33333333333962</v>
      </c>
      <c r="CD94" s="60">
        <f ca="1">AVERAGE(OFFSET($CC$3,0,0,'Données projet'!$E$12+1,1))-AVERAGE(OFFSET($H$3,0,0,'Données projet'!$E$12+1,1))</f>
        <v>290.68086183422963</v>
      </c>
      <c r="CE94" s="60">
        <f t="shared" si="94"/>
        <v>317.88330630101785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1.9895196601282805E-13</v>
      </c>
      <c r="CU94" s="18">
        <f>CT94*VLOOKUP('Données projet'!$B$13,Paramètres!$A$1:$I$89,3,0)*VLOOKUP('Données projet'!$B$13,Paramètres!$A$1:$I$89,5,0)</f>
        <v>1.3035332813160495E-13</v>
      </c>
      <c r="CV94" s="14">
        <f t="shared" si="95"/>
        <v>1.8987770485018903E-12</v>
      </c>
      <c r="CW94" s="22">
        <f t="shared" si="67"/>
        <v>3.5340687393033375E-12</v>
      </c>
      <c r="CX94" s="60">
        <f t="shared" si="68"/>
        <v>293.33333333333684</v>
      </c>
      <c r="CY94" s="60">
        <f ca="1">AVERAGE(OFFSET($CX$3,0,0,'Données projet'!$E$13+1,1))-AVERAGE(OFFSET($H$3,0,0,'Données projet'!$E$13+1,1))</f>
        <v>243.04319555814601</v>
      </c>
      <c r="CZ94" s="60">
        <f t="shared" si="96"/>
        <v>235.68746142880792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0" t="e">
        <f t="shared" si="71"/>
        <v>#NUM!</v>
      </c>
      <c r="DT94" s="60">
        <f ca="1">AVERAGE(OFFSET($DS$3,0,0,'Données projet'!$E$14+1,1))-AVERAGE(OFFSET($H$3,0,0,'Données projet'!$E$14+1,1))</f>
        <v>201.4732637505823</v>
      </c>
      <c r="DU94" s="60">
        <f t="shared" si="98"/>
        <v>342.06887933351783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1.9736200991411124</v>
      </c>
      <c r="EB94" s="23">
        <f>EXP(-LN(2)/25)*EB93+(1-EXP(-LN(2)/25))/(LN(2)/25)*Calculateur!DW94*Calculateur!DY94*VLOOKUP('Données projet'!$B$14,Paramètres!$A$1:$I$89,3,0)*0.475*44/12</f>
        <v>4.8728190995679261</v>
      </c>
      <c r="EC94" s="23">
        <f>EXP(-LN(2)/2)*EC93+(1-EXP(-LN(2)/2))/(LN(2)/2)*DW94*DZ94*VLOOKUP('Données projet'!$B$14,Paramètres!$A$1:$I$89,3,0)*0.475*44/12</f>
        <v>8.8226241945614678E-9</v>
      </c>
      <c r="ED94" s="24">
        <f t="shared" si="72"/>
        <v>6.8464392075316631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-3.4106051316484809E-13</v>
      </c>
      <c r="EK94" s="18">
        <f>EJ94*VLOOKUP('Données projet'!$B$15,Paramètres!$A$1:$I$89,3,0)*VLOOKUP('Données projet'!$B$15,Paramètres!$A$1:$I$89,5,0)</f>
        <v>-2.0395418687257919E-13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260.01925143568263</v>
      </c>
      <c r="EP94" s="60">
        <f t="shared" si="100"/>
        <v>269.95358755269427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4.2460566604490229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4.2460566604490229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-1.1368683772161603E-13</v>
      </c>
      <c r="FF94" s="18">
        <f>FE94*VLOOKUP('Données projet'!$B$16,Paramètres!$A$1:$I$89,3,0)*VLOOKUP('Données projet'!$B$16,Paramètres!$A$1:$I$89,5,0)</f>
        <v>-9.2222762759774927E-14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256.19915261735281</v>
      </c>
      <c r="FK94" s="60">
        <f t="shared" si="102"/>
        <v>297.47246687305056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4.1123076923076898</v>
      </c>
      <c r="FZ94" s="13">
        <f>IF('Données projet'!$A$244&gt;35,FZ93+FY94-GH93,IF(A94&lt;'Données projet'!$A$244,$FW$205^A94,IF(A94='Données projet'!$A$244,'Données projet'!$B$244,FZ93+FY94-GH93)))</f>
        <v>286.15846153846155</v>
      </c>
      <c r="GA94" s="18">
        <f>FZ94*VLOOKUP('Données projet'!$B$17,Paramètres!$A$1:$I$89,3,0)*VLOOKUP('Données projet'!$B$17,Paramètres!$A$1:$I$89,5,0)</f>
        <v>163.68264000000002</v>
      </c>
      <c r="GB94" s="14">
        <f t="shared" si="103"/>
        <v>41.672041875460934</v>
      </c>
      <c r="GC94" s="22">
        <f t="shared" si="79"/>
        <v>357.65940426642783</v>
      </c>
      <c r="GD94" s="60">
        <f t="shared" si="80"/>
        <v>650.99273759976109</v>
      </c>
      <c r="GE94" s="60">
        <f ca="1">AVERAGE(OFFSET($GD$3,0,0,'Données projet'!$E$17+1,1))-AVERAGE(OFFSET($H$3,0,0,'Données projet'!$E$17+1,1))</f>
        <v>268.71641789629319</v>
      </c>
      <c r="GF94" s="60">
        <f t="shared" si="104"/>
        <v>199.94048514486104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0.38695812186621192</v>
      </c>
      <c r="GN94" s="23">
        <f>EXP(-LN(2)/2)*GN93+(1-EXP(-LN(2)/2))/(LN(2)/2)*GH94*GK94*VLOOKUP('Données projet'!$B$17,Paramètres!$A$1:$I$89,3,0)*0.475*44/12</f>
        <v>4.5938189803032454E-9</v>
      </c>
      <c r="GO94" s="23">
        <f t="shared" si="81"/>
        <v>0.38695812646003092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-2.8421709430404007E-13</v>
      </c>
      <c r="GV94" s="18">
        <f>GU94*VLOOKUP('Données projet'!$B$18,Paramètres!$A$1:$I$89,3,0)*VLOOKUP('Données projet'!$B$18,Paramètres!$A$1:$I$89,5,0)</f>
        <v>-1.69961822393816E-13</v>
      </c>
      <c r="GW94" s="14" t="e">
        <f t="shared" si="105"/>
        <v>#NUM!</v>
      </c>
      <c r="GX94" s="22" t="e">
        <f t="shared" si="82"/>
        <v>#NUM!</v>
      </c>
      <c r="GY94" s="60" t="e">
        <f t="shared" si="83"/>
        <v>#NUM!</v>
      </c>
      <c r="GZ94" s="60">
        <f ca="1">AVERAGE(OFFSET($GY$3,0,0,'Données projet'!$E$18+1,1))-AVERAGE(OFFSET($H$3,0,0,'Données projet'!$E$18+1,1))</f>
        <v>289.12367833861299</v>
      </c>
      <c r="HA94" s="60">
        <f t="shared" si="106"/>
        <v>229.06617320689003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2.7308754661437508E-9</v>
      </c>
      <c r="HJ94" s="24">
        <f t="shared" si="84"/>
        <v>2.7308754661437508E-9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257.32511999999986</v>
      </c>
      <c r="P95" s="14">
        <f t="shared" si="87"/>
        <v>62.151858920612646</v>
      </c>
      <c r="Q95" s="22">
        <f t="shared" si="54"/>
        <v>556.42240495340013</v>
      </c>
      <c r="R95" s="60">
        <f t="shared" si="55"/>
        <v>849.7557382867335</v>
      </c>
      <c r="S95" s="60">
        <f ca="1">AVERAGE(OFFSET($R$3,0,0,'Données projet'!$E$9+1,1))-AVERAGE(OFFSET($H$3,0,0,'Données projet'!$E$9+1,1))</f>
        <v>430.11660085503223</v>
      </c>
      <c r="T95" s="60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1.2710188457276673E-13</v>
      </c>
      <c r="AK95" s="14">
        <f t="shared" si="89"/>
        <v>1.856866851063998E-12</v>
      </c>
      <c r="AL95" s="22">
        <f t="shared" si="58"/>
        <v>3.4554122145673649E-12</v>
      </c>
      <c r="AM95" s="60">
        <f t="shared" si="59"/>
        <v>293.33333333333678</v>
      </c>
      <c r="AN95" s="60">
        <f ca="1">AVERAGE(OFFSET($AM$3,0,0,'Données projet'!$E$10+1,1))-AVERAGE(OFFSET($H$3,0,0,'Données projet'!$E$10+1,1))</f>
        <v>323.98185264074681</v>
      </c>
      <c r="AO95" s="60">
        <f t="shared" si="90"/>
        <v>301.22207291854005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1.3070965708260365</v>
      </c>
      <c r="AV95" s="23">
        <f>EXP(-LN(2)/25)*AV94+(1-EXP(-LN(2)/25))/(LN(2)/25)*Calculateur!AQ95*Calculateur!AS95*VLOOKUP('Données projet'!$B$10,Paramètres!$A$1:$I$89,3,0)*0.475*44/12</f>
        <v>1.4782823252860273</v>
      </c>
      <c r="AW95" s="23">
        <f>EXP(-LN(2)/2)*AW94+(1-EXP(-LN(2)/2))/(LN(2)/2)*AQ95*AT95*VLOOKUP('Données projet'!$B$10,Paramètres!$A$1:$I$89,3,0)*0.475*44/12</f>
        <v>2.8348561281422249E-9</v>
      </c>
      <c r="AX95" s="23">
        <f t="shared" si="60"/>
        <v>2.7853788989469201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7.7</v>
      </c>
      <c r="BD95" s="13">
        <f>IF('Données projet'!$A$88&gt;35,BD94+BC95-BL94,IF(A95&lt;'Données projet'!$A$88,$BA$205^A95,IF(A95='Données projet'!$A$88,'Données projet'!$B$88,BD94+BC95-BL94)))</f>
        <v>391.89999999999969</v>
      </c>
      <c r="BE95" s="14">
        <f>BD95*VLOOKUP('Données projet'!$B$11,Paramètres!$A$1:$I$89,3,0)*VLOOKUP('Données projet'!$B$11,Paramètres!$A$1:$I$89,5,0)</f>
        <v>336.25019999999978</v>
      </c>
      <c r="BF95" s="14">
        <f t="shared" si="91"/>
        <v>78.72471466423552</v>
      </c>
      <c r="BG95" s="22">
        <f t="shared" si="61"/>
        <v>722.74797637354322</v>
      </c>
      <c r="BH95" s="60">
        <f t="shared" si="62"/>
        <v>1016.0813097068765</v>
      </c>
      <c r="BI95" s="60">
        <f ca="1">AVERAGE(OFFSET($BH$3,0,0,'Données projet'!$E$11+1,1))-AVERAGE(OFFSET($H$3,0,0,'Données projet'!$E$11+1,1))</f>
        <v>556.75475431848258</v>
      </c>
      <c r="BJ95" s="60">
        <f t="shared" si="92"/>
        <v>256.77417912163997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3.4106051316484809E-13</v>
      </c>
      <c r="BZ95" s="14">
        <f>BY95*VLOOKUP('Données projet'!$B$12,Paramètres!$A$1:$I$89,3,0)*VLOOKUP('Données projet'!$B$12,Paramètres!$A$1:$I$89,5,0)</f>
        <v>2.5006556825246659E-13</v>
      </c>
      <c r="CA95" s="14">
        <f t="shared" si="93"/>
        <v>3.3765445850268018E-12</v>
      </c>
      <c r="CB95" s="22">
        <f t="shared" si="64"/>
        <v>6.3163460169613921E-12</v>
      </c>
      <c r="CC95" s="60">
        <f t="shared" si="65"/>
        <v>293.33333333333962</v>
      </c>
      <c r="CD95" s="60">
        <f ca="1">AVERAGE(OFFSET($CC$3,0,0,'Données projet'!$E$12+1,1))-AVERAGE(OFFSET($H$3,0,0,'Données projet'!$E$12+1,1))</f>
        <v>290.68086183422963</v>
      </c>
      <c r="CE95" s="60">
        <f t="shared" si="94"/>
        <v>317.88330630101785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1.9895196601282805E-13</v>
      </c>
      <c r="CU95" s="18">
        <f>CT95*VLOOKUP('Données projet'!$B$13,Paramètres!$A$1:$I$89,3,0)*VLOOKUP('Données projet'!$B$13,Paramètres!$A$1:$I$89,5,0)</f>
        <v>1.3035332813160495E-13</v>
      </c>
      <c r="CV95" s="14">
        <f t="shared" si="95"/>
        <v>1.8987770485018903E-12</v>
      </c>
      <c r="CW95" s="22">
        <f t="shared" si="67"/>
        <v>3.5340687393033375E-12</v>
      </c>
      <c r="CX95" s="60">
        <f t="shared" si="68"/>
        <v>293.33333333333684</v>
      </c>
      <c r="CY95" s="60">
        <f ca="1">AVERAGE(OFFSET($CX$3,0,0,'Données projet'!$E$13+1,1))-AVERAGE(OFFSET($H$3,0,0,'Données projet'!$E$13+1,1))</f>
        <v>243.04319555814601</v>
      </c>
      <c r="CZ95" s="60">
        <f t="shared" si="96"/>
        <v>235.68746142880792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0" t="e">
        <f t="shared" si="71"/>
        <v>#NUM!</v>
      </c>
      <c r="DT95" s="60">
        <f ca="1">AVERAGE(OFFSET($DS$3,0,0,'Données projet'!$E$14+1,1))-AVERAGE(OFFSET($H$3,0,0,'Données projet'!$E$14+1,1))</f>
        <v>201.4732637505823</v>
      </c>
      <c r="DU95" s="60">
        <f t="shared" si="98"/>
        <v>342.06887933351783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1.9349186127863514</v>
      </c>
      <c r="EB95" s="23">
        <f>EXP(-LN(2)/25)*EB94+(1-EXP(-LN(2)/25))/(LN(2)/25)*Calculateur!DW95*Calculateur!DY95*VLOOKUP('Données projet'!$B$14,Paramètres!$A$1:$I$89,3,0)*0.475*44/12</f>
        <v>4.7395716050398216</v>
      </c>
      <c r="EC95" s="23">
        <f>EXP(-LN(2)/2)*EC94+(1-EXP(-LN(2)/2))/(LN(2)/2)*DW95*DZ95*VLOOKUP('Données projet'!$B$14,Paramètres!$A$1:$I$89,3,0)*0.475*44/12</f>
        <v>6.2385373958349159E-9</v>
      </c>
      <c r="ED95" s="24">
        <f t="shared" si="72"/>
        <v>6.6744902240647104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-3.4106051316484809E-13</v>
      </c>
      <c r="EK95" s="18">
        <f>EJ95*VLOOKUP('Données projet'!$B$15,Paramètres!$A$1:$I$89,3,0)*VLOOKUP('Données projet'!$B$15,Paramètres!$A$1:$I$89,5,0)</f>
        <v>-2.0395418687257919E-13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260.01925143568263</v>
      </c>
      <c r="EP95" s="60">
        <f t="shared" si="100"/>
        <v>269.95358755269427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4.1627940791764546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4.1627940791764546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-1.1368683772161603E-13</v>
      </c>
      <c r="FF95" s="18">
        <f>FE95*VLOOKUP('Données projet'!$B$16,Paramètres!$A$1:$I$89,3,0)*VLOOKUP('Données projet'!$B$16,Paramètres!$A$1:$I$89,5,0)</f>
        <v>-9.2222762759774927E-14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256.19915261735281</v>
      </c>
      <c r="FK95" s="60">
        <f t="shared" si="102"/>
        <v>297.47246687305056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4.1123076923076898</v>
      </c>
      <c r="FZ95" s="13">
        <f>IF('Données projet'!$A$244&gt;35,FZ94+FY95-GH94,IF(A95&lt;'Données projet'!$A$244,$FW$205^A95,IF(A95='Données projet'!$A$244,'Données projet'!$B$244,FZ94+FY95-GH94)))</f>
        <v>290.27076923076925</v>
      </c>
      <c r="GA95" s="18">
        <f>FZ95*VLOOKUP('Données projet'!$B$17,Paramètres!$A$1:$I$89,3,0)*VLOOKUP('Données projet'!$B$17,Paramètres!$A$1:$I$89,5,0)</f>
        <v>166.03488000000002</v>
      </c>
      <c r="GB95" s="14">
        <f t="shared" si="103"/>
        <v>42.200752504647369</v>
      </c>
      <c r="GC95" s="22">
        <f t="shared" si="79"/>
        <v>362.67705994559418</v>
      </c>
      <c r="GD95" s="60">
        <f t="shared" si="80"/>
        <v>656.01039327892749</v>
      </c>
      <c r="GE95" s="60">
        <f ca="1">AVERAGE(OFFSET($GD$3,0,0,'Données projet'!$E$17+1,1))-AVERAGE(OFFSET($H$3,0,0,'Données projet'!$E$17+1,1))</f>
        <v>268.71641789629319</v>
      </c>
      <c r="GF95" s="60">
        <f t="shared" si="104"/>
        <v>199.94048514486104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0.37637673167453711</v>
      </c>
      <c r="GN95" s="23">
        <f>EXP(-LN(2)/2)*GN94+(1-EXP(-LN(2)/2))/(LN(2)/2)*GH95*GK95*VLOOKUP('Données projet'!$B$17,Paramètres!$A$1:$I$89,3,0)*0.475*44/12</f>
        <v>3.2483205525158959E-9</v>
      </c>
      <c r="GO95" s="23">
        <f t="shared" si="81"/>
        <v>0.37637673492285767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-2.8421709430404007E-13</v>
      </c>
      <c r="GV95" s="18">
        <f>GU95*VLOOKUP('Données projet'!$B$18,Paramètres!$A$1:$I$89,3,0)*VLOOKUP('Données projet'!$B$18,Paramètres!$A$1:$I$89,5,0)</f>
        <v>-1.69961822393816E-13</v>
      </c>
      <c r="GW95" s="14" t="e">
        <f t="shared" si="105"/>
        <v>#NUM!</v>
      </c>
      <c r="GX95" s="22" t="e">
        <f t="shared" si="82"/>
        <v>#NUM!</v>
      </c>
      <c r="GY95" s="60" t="e">
        <f t="shared" si="83"/>
        <v>#NUM!</v>
      </c>
      <c r="GZ95" s="60">
        <f ca="1">AVERAGE(OFFSET($GY$3,0,0,'Données projet'!$E$18+1,1))-AVERAGE(OFFSET($H$3,0,0,'Données projet'!$E$18+1,1))</f>
        <v>289.12367833861299</v>
      </c>
      <c r="HA95" s="60">
        <f t="shared" si="106"/>
        <v>229.06617320689003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1.9310205606862202E-9</v>
      </c>
      <c r="HJ95" s="24">
        <f t="shared" si="84"/>
        <v>1.9310205606862202E-9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262.03007999999988</v>
      </c>
      <c r="P96" s="14">
        <f t="shared" si="87"/>
        <v>63.154912899742584</v>
      </c>
      <c r="Q96" s="22">
        <f t="shared" si="54"/>
        <v>566.3638626337181</v>
      </c>
      <c r="R96" s="60">
        <f t="shared" si="55"/>
        <v>859.69719596705136</v>
      </c>
      <c r="S96" s="60">
        <f ca="1">AVERAGE(OFFSET($R$3,0,0,'Données projet'!$E$9+1,1))-AVERAGE(OFFSET($H$3,0,0,'Données projet'!$E$9+1,1))</f>
        <v>430.11660085503223</v>
      </c>
      <c r="T96" s="60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1.2710188457276673E-13</v>
      </c>
      <c r="AK96" s="14">
        <f t="shared" si="89"/>
        <v>1.856866851063998E-12</v>
      </c>
      <c r="AL96" s="22">
        <f t="shared" si="58"/>
        <v>3.4554122145673649E-12</v>
      </c>
      <c r="AM96" s="60">
        <f t="shared" si="59"/>
        <v>293.33333333333678</v>
      </c>
      <c r="AN96" s="60">
        <f ca="1">AVERAGE(OFFSET($AM$3,0,0,'Données projet'!$E$10+1,1))-AVERAGE(OFFSET($H$3,0,0,'Données projet'!$E$10+1,1))</f>
        <v>323.98185264074681</v>
      </c>
      <c r="AO96" s="60">
        <f t="shared" si="90"/>
        <v>301.22207291854005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1.2814652043223242</v>
      </c>
      <c r="AV96" s="23">
        <f>EXP(-LN(2)/25)*AV95+(1-EXP(-LN(2)/25))/(LN(2)/25)*Calculateur!AQ96*Calculateur!AS96*VLOOKUP('Données projet'!$B$10,Paramètres!$A$1:$I$89,3,0)*0.475*44/12</f>
        <v>1.4378586173615922</v>
      </c>
      <c r="AW96" s="23">
        <f>EXP(-LN(2)/2)*AW95+(1-EXP(-LN(2)/2))/(LN(2)/2)*AQ96*AT96*VLOOKUP('Données projet'!$B$10,Paramètres!$A$1:$I$89,3,0)*0.475*44/12</f>
        <v>2.0045459918976075E-9</v>
      </c>
      <c r="AX96" s="23">
        <f t="shared" si="60"/>
        <v>2.7193238236884625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7.7</v>
      </c>
      <c r="BD96" s="13">
        <f>IF('Données projet'!$A$88&gt;35,BD95+BC96-BL95,IF(A96&lt;'Données projet'!$A$88,$BA$205^A96,IF(A96='Données projet'!$A$88,'Données projet'!$B$88,BD95+BC96-BL95)))</f>
        <v>399.59999999999968</v>
      </c>
      <c r="BE96" s="14">
        <f>BD96*VLOOKUP('Données projet'!$B$11,Paramètres!$A$1:$I$89,3,0)*VLOOKUP('Données projet'!$B$11,Paramètres!$A$1:$I$89,5,0)</f>
        <v>342.85679999999974</v>
      </c>
      <c r="BF96" s="14">
        <f t="shared" si="91"/>
        <v>80.089891653777755</v>
      </c>
      <c r="BG96" s="22">
        <f t="shared" si="61"/>
        <v>736.63215463032918</v>
      </c>
      <c r="BH96" s="60">
        <f t="shared" si="62"/>
        <v>1029.9654879636626</v>
      </c>
      <c r="BI96" s="60">
        <f ca="1">AVERAGE(OFFSET($BH$3,0,0,'Données projet'!$E$11+1,1))-AVERAGE(OFFSET($H$3,0,0,'Données projet'!$E$11+1,1))</f>
        <v>556.75475431848258</v>
      </c>
      <c r="BJ96" s="60">
        <f t="shared" si="92"/>
        <v>256.77417912163997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3.4106051316484809E-13</v>
      </c>
      <c r="BZ96" s="14">
        <f>BY96*VLOOKUP('Données projet'!$B$12,Paramètres!$A$1:$I$89,3,0)*VLOOKUP('Données projet'!$B$12,Paramètres!$A$1:$I$89,5,0)</f>
        <v>2.5006556825246659E-13</v>
      </c>
      <c r="CA96" s="14">
        <f t="shared" si="93"/>
        <v>3.3765445850268018E-12</v>
      </c>
      <c r="CB96" s="22">
        <f t="shared" si="64"/>
        <v>6.3163460169613921E-12</v>
      </c>
      <c r="CC96" s="60">
        <f t="shared" si="65"/>
        <v>293.33333333333962</v>
      </c>
      <c r="CD96" s="60">
        <f ca="1">AVERAGE(OFFSET($CC$3,0,0,'Données projet'!$E$12+1,1))-AVERAGE(OFFSET($H$3,0,0,'Données projet'!$E$12+1,1))</f>
        <v>290.68086183422963</v>
      </c>
      <c r="CE96" s="60">
        <f t="shared" si="94"/>
        <v>317.88330630101785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1.9895196601282805E-13</v>
      </c>
      <c r="CU96" s="18">
        <f>CT96*VLOOKUP('Données projet'!$B$13,Paramètres!$A$1:$I$89,3,0)*VLOOKUP('Données projet'!$B$13,Paramètres!$A$1:$I$89,5,0)</f>
        <v>1.3035332813160495E-13</v>
      </c>
      <c r="CV96" s="14">
        <f t="shared" si="95"/>
        <v>1.8987770485018903E-12</v>
      </c>
      <c r="CW96" s="22">
        <f t="shared" si="67"/>
        <v>3.5340687393033375E-12</v>
      </c>
      <c r="CX96" s="60">
        <f t="shared" si="68"/>
        <v>293.33333333333684</v>
      </c>
      <c r="CY96" s="60">
        <f ca="1">AVERAGE(OFFSET($CX$3,0,0,'Données projet'!$E$13+1,1))-AVERAGE(OFFSET($H$3,0,0,'Données projet'!$E$13+1,1))</f>
        <v>243.04319555814601</v>
      </c>
      <c r="CZ96" s="60">
        <f t="shared" si="96"/>
        <v>235.68746142880792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0" t="e">
        <f t="shared" si="71"/>
        <v>#NUM!</v>
      </c>
      <c r="DT96" s="60">
        <f ca="1">AVERAGE(OFFSET($DS$3,0,0,'Données projet'!$E$14+1,1))-AVERAGE(OFFSET($H$3,0,0,'Données projet'!$E$14+1,1))</f>
        <v>201.4732637505823</v>
      </c>
      <c r="DU96" s="60">
        <f t="shared" si="98"/>
        <v>342.06887933351783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1.8969760389734314</v>
      </c>
      <c r="EB96" s="23">
        <f>EXP(-LN(2)/25)*EB95+(1-EXP(-LN(2)/25))/(LN(2)/25)*Calculateur!DW96*Calculateur!DY96*VLOOKUP('Données projet'!$B$14,Paramètres!$A$1:$I$89,3,0)*0.475*44/12</f>
        <v>4.6099677702567696</v>
      </c>
      <c r="EC96" s="23">
        <f>EXP(-LN(2)/2)*EC95+(1-EXP(-LN(2)/2))/(LN(2)/2)*DW96*DZ96*VLOOKUP('Données projet'!$B$14,Paramètres!$A$1:$I$89,3,0)*0.475*44/12</f>
        <v>4.4113120972807339E-9</v>
      </c>
      <c r="ED96" s="24">
        <f t="shared" si="72"/>
        <v>6.506943813641513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-3.4106051316484809E-13</v>
      </c>
      <c r="EK96" s="18">
        <f>EJ96*VLOOKUP('Données projet'!$B$15,Paramètres!$A$1:$I$89,3,0)*VLOOKUP('Données projet'!$B$15,Paramètres!$A$1:$I$89,5,0)</f>
        <v>-2.0395418687257919E-13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260.01925143568263</v>
      </c>
      <c r="EP96" s="60">
        <f t="shared" si="100"/>
        <v>269.95358755269427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4.0811642263374823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4.0811642263374823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-1.1368683772161603E-13</v>
      </c>
      <c r="FF96" s="18">
        <f>FE96*VLOOKUP('Données projet'!$B$16,Paramètres!$A$1:$I$89,3,0)*VLOOKUP('Données projet'!$B$16,Paramètres!$A$1:$I$89,5,0)</f>
        <v>-9.2222762759774927E-14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256.19915261735281</v>
      </c>
      <c r="FK96" s="60">
        <f t="shared" si="102"/>
        <v>297.47246687305056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4.1123076923076898</v>
      </c>
      <c r="FZ96" s="13">
        <f>IF('Données projet'!$A$244&gt;35,FZ95+FY96-GH95,IF(A96&lt;'Données projet'!$A$244,$FW$205^A96,IF(A96='Données projet'!$A$244,'Données projet'!$B$244,FZ95+FY96-GH95)))</f>
        <v>294.38307692307694</v>
      </c>
      <c r="GA96" s="18">
        <f>FZ96*VLOOKUP('Données projet'!$B$17,Paramètres!$A$1:$I$89,3,0)*VLOOKUP('Données projet'!$B$17,Paramètres!$A$1:$I$89,5,0)</f>
        <v>168.38712000000004</v>
      </c>
      <c r="GB96" s="14">
        <f t="shared" si="103"/>
        <v>42.728591948324535</v>
      </c>
      <c r="GC96" s="22">
        <f t="shared" si="79"/>
        <v>367.69319830999865</v>
      </c>
      <c r="GD96" s="60">
        <f t="shared" si="80"/>
        <v>661.02653164333196</v>
      </c>
      <c r="GE96" s="60">
        <f ca="1">AVERAGE(OFFSET($GD$3,0,0,'Données projet'!$E$17+1,1))-AVERAGE(OFFSET($H$3,0,0,'Données projet'!$E$17+1,1))</f>
        <v>268.71641789629319</v>
      </c>
      <c r="GF96" s="60">
        <f t="shared" si="104"/>
        <v>199.94048514486104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0.36608469015410477</v>
      </c>
      <c r="GN96" s="23">
        <f>EXP(-LN(2)/2)*GN95+(1-EXP(-LN(2)/2))/(LN(2)/2)*GH96*GK96*VLOOKUP('Données projet'!$B$17,Paramètres!$A$1:$I$89,3,0)*0.475*44/12</f>
        <v>2.2969094901516227E-9</v>
      </c>
      <c r="GO96" s="23">
        <f t="shared" si="81"/>
        <v>0.36608469245101427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-2.8421709430404007E-13</v>
      </c>
      <c r="GV96" s="18">
        <f>GU96*VLOOKUP('Données projet'!$B$18,Paramètres!$A$1:$I$89,3,0)*VLOOKUP('Données projet'!$B$18,Paramètres!$A$1:$I$89,5,0)</f>
        <v>-1.69961822393816E-13</v>
      </c>
      <c r="GW96" s="14" t="e">
        <f t="shared" si="105"/>
        <v>#NUM!</v>
      </c>
      <c r="GX96" s="22" t="e">
        <f t="shared" si="82"/>
        <v>#NUM!</v>
      </c>
      <c r="GY96" s="60" t="e">
        <f t="shared" si="83"/>
        <v>#NUM!</v>
      </c>
      <c r="GZ96" s="60">
        <f ca="1">AVERAGE(OFFSET($GY$3,0,0,'Données projet'!$E$18+1,1))-AVERAGE(OFFSET($H$3,0,0,'Données projet'!$E$18+1,1))</f>
        <v>289.12367833861299</v>
      </c>
      <c r="HA96" s="60">
        <f t="shared" si="106"/>
        <v>229.06617320689003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1.3654377330718754E-9</v>
      </c>
      <c r="HJ96" s="24">
        <f t="shared" si="84"/>
        <v>1.3654377330718754E-9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266.73503999999986</v>
      </c>
      <c r="P97" s="14">
        <f t="shared" si="87"/>
        <v>64.155872510973225</v>
      </c>
      <c r="Q97" s="22">
        <f t="shared" si="54"/>
        <v>576.30167262327802</v>
      </c>
      <c r="R97" s="60">
        <f t="shared" si="55"/>
        <v>869.63500595661139</v>
      </c>
      <c r="S97" s="60">
        <f ca="1">AVERAGE(OFFSET($R$3,0,0,'Données projet'!$E$9+1,1))-AVERAGE(OFFSET($H$3,0,0,'Données projet'!$E$9+1,1))</f>
        <v>430.11660085503223</v>
      </c>
      <c r="T97" s="60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1.2710188457276673E-13</v>
      </c>
      <c r="AK97" s="14">
        <f t="shared" si="89"/>
        <v>1.856866851063998E-12</v>
      </c>
      <c r="AL97" s="22">
        <f t="shared" si="58"/>
        <v>3.4554122145673649E-12</v>
      </c>
      <c r="AM97" s="60">
        <f t="shared" si="59"/>
        <v>293.33333333333678</v>
      </c>
      <c r="AN97" s="60">
        <f ca="1">AVERAGE(OFFSET($AM$3,0,0,'Données projet'!$E$10+1,1))-AVERAGE(OFFSET($H$3,0,0,'Données projet'!$E$10+1,1))</f>
        <v>323.98185264074681</v>
      </c>
      <c r="AO97" s="60">
        <f t="shared" si="90"/>
        <v>301.22207291854005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1.2563364532821599</v>
      </c>
      <c r="AV97" s="23">
        <f>EXP(-LN(2)/25)*AV96+(1-EXP(-LN(2)/25))/(LN(2)/25)*Calculateur!AQ97*Calculateur!AS97*VLOOKUP('Données projet'!$B$10,Paramètres!$A$1:$I$89,3,0)*0.475*44/12</f>
        <v>1.398540297856141</v>
      </c>
      <c r="AW97" s="23">
        <f>EXP(-LN(2)/2)*AW96+(1-EXP(-LN(2)/2))/(LN(2)/2)*AQ97*AT97*VLOOKUP('Données projet'!$B$10,Paramètres!$A$1:$I$89,3,0)*0.475*44/12</f>
        <v>1.4174280640711125E-9</v>
      </c>
      <c r="AX97" s="23">
        <f t="shared" si="60"/>
        <v>2.6548767525557286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7.7</v>
      </c>
      <c r="BD97" s="13">
        <f>IF('Données projet'!$A$88&gt;35,BD96+BC97-BL96,IF(A97&lt;'Données projet'!$A$88,$BA$205^A97,IF(A97='Données projet'!$A$88,'Données projet'!$B$88,BD96+BC97-BL96)))</f>
        <v>407.29999999999967</v>
      </c>
      <c r="BE97" s="14">
        <f>BD97*VLOOKUP('Données projet'!$B$11,Paramètres!$A$1:$I$89,3,0)*VLOOKUP('Données projet'!$B$11,Paramètres!$A$1:$I$89,5,0)</f>
        <v>349.46339999999975</v>
      </c>
      <c r="BF97" s="14">
        <f t="shared" si="91"/>
        <v>81.452009860520761</v>
      </c>
      <c r="BG97" s="22">
        <f t="shared" si="61"/>
        <v>750.51100550707315</v>
      </c>
      <c r="BH97" s="60">
        <f t="shared" si="62"/>
        <v>1043.8443388404064</v>
      </c>
      <c r="BI97" s="60">
        <f ca="1">AVERAGE(OFFSET($BH$3,0,0,'Données projet'!$E$11+1,1))-AVERAGE(OFFSET($H$3,0,0,'Données projet'!$E$11+1,1))</f>
        <v>556.75475431848258</v>
      </c>
      <c r="BJ97" s="60">
        <f t="shared" si="92"/>
        <v>256.77417912163997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3.4106051316484809E-13</v>
      </c>
      <c r="BZ97" s="14">
        <f>BY97*VLOOKUP('Données projet'!$B$12,Paramètres!$A$1:$I$89,3,0)*VLOOKUP('Données projet'!$B$12,Paramètres!$A$1:$I$89,5,0)</f>
        <v>2.5006556825246659E-13</v>
      </c>
      <c r="CA97" s="14">
        <f t="shared" si="93"/>
        <v>3.3765445850268018E-12</v>
      </c>
      <c r="CB97" s="22">
        <f t="shared" si="64"/>
        <v>6.3163460169613921E-12</v>
      </c>
      <c r="CC97" s="60">
        <f t="shared" si="65"/>
        <v>293.33333333333962</v>
      </c>
      <c r="CD97" s="60">
        <f ca="1">AVERAGE(OFFSET($CC$3,0,0,'Données projet'!$E$12+1,1))-AVERAGE(OFFSET($H$3,0,0,'Données projet'!$E$12+1,1))</f>
        <v>290.68086183422963</v>
      </c>
      <c r="CE97" s="60">
        <f t="shared" si="94"/>
        <v>317.88330630101785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1.9895196601282805E-13</v>
      </c>
      <c r="CU97" s="18">
        <f>CT97*VLOOKUP('Données projet'!$B$13,Paramètres!$A$1:$I$89,3,0)*VLOOKUP('Données projet'!$B$13,Paramètres!$A$1:$I$89,5,0)</f>
        <v>1.3035332813160495E-13</v>
      </c>
      <c r="CV97" s="14">
        <f t="shared" si="95"/>
        <v>1.8987770485018903E-12</v>
      </c>
      <c r="CW97" s="22">
        <f t="shared" si="67"/>
        <v>3.5340687393033375E-12</v>
      </c>
      <c r="CX97" s="60">
        <f t="shared" si="68"/>
        <v>293.33333333333684</v>
      </c>
      <c r="CY97" s="60">
        <f ca="1">AVERAGE(OFFSET($CX$3,0,0,'Données projet'!$E$13+1,1))-AVERAGE(OFFSET($H$3,0,0,'Données projet'!$E$13+1,1))</f>
        <v>243.04319555814601</v>
      </c>
      <c r="CZ97" s="60">
        <f t="shared" si="96"/>
        <v>235.68746142880792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0" t="e">
        <f t="shared" si="71"/>
        <v>#NUM!</v>
      </c>
      <c r="DT97" s="60">
        <f ca="1">AVERAGE(OFFSET($DS$3,0,0,'Données projet'!$E$14+1,1))-AVERAGE(OFFSET($H$3,0,0,'Données projet'!$E$14+1,1))</f>
        <v>201.4732637505823</v>
      </c>
      <c r="DU97" s="60">
        <f t="shared" si="98"/>
        <v>342.06887933351783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1.8597774958902977</v>
      </c>
      <c r="EB97" s="23">
        <f>EXP(-LN(2)/25)*EB96+(1-EXP(-LN(2)/25))/(LN(2)/25)*Calculateur!DW97*Calculateur!DY97*VLOOKUP('Données projet'!$B$14,Paramètres!$A$1:$I$89,3,0)*0.475*44/12</f>
        <v>4.4839079591514297</v>
      </c>
      <c r="EC97" s="23">
        <f>EXP(-LN(2)/2)*EC96+(1-EXP(-LN(2)/2))/(LN(2)/2)*DW97*DZ97*VLOOKUP('Données projet'!$B$14,Paramètres!$A$1:$I$89,3,0)*0.475*44/12</f>
        <v>3.119268697917458E-9</v>
      </c>
      <c r="ED97" s="24">
        <f t="shared" si="72"/>
        <v>6.343685458160996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-3.4106051316484809E-13</v>
      </c>
      <c r="EK97" s="18">
        <f>EJ97*VLOOKUP('Données projet'!$B$15,Paramètres!$A$1:$I$89,3,0)*VLOOKUP('Données projet'!$B$15,Paramètres!$A$1:$I$89,5,0)</f>
        <v>-2.0395418687257919E-13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260.01925143568263</v>
      </c>
      <c r="EP97" s="60">
        <f t="shared" si="100"/>
        <v>269.95358755269427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4.001135085123388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4.001135085123388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-1.1368683772161603E-13</v>
      </c>
      <c r="FF97" s="18">
        <f>FE97*VLOOKUP('Données projet'!$B$16,Paramètres!$A$1:$I$89,3,0)*VLOOKUP('Données projet'!$B$16,Paramètres!$A$1:$I$89,5,0)</f>
        <v>-9.2222762759774927E-14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256.19915261735281</v>
      </c>
      <c r="FK97" s="60">
        <f t="shared" si="102"/>
        <v>297.47246687305056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4.1123076923076898</v>
      </c>
      <c r="FZ97" s="13">
        <f>IF('Données projet'!$A$244&gt;35,FZ96+FY97-GH96,IF(A97&lt;'Données projet'!$A$244,$FW$205^A97,IF(A97='Données projet'!$A$244,'Données projet'!$B$244,FZ96+FY97-GH96)))</f>
        <v>298.49538461538464</v>
      </c>
      <c r="GA97" s="18">
        <f>FZ97*VLOOKUP('Données projet'!$B$17,Paramètres!$A$1:$I$89,3,0)*VLOOKUP('Données projet'!$B$17,Paramètres!$A$1:$I$89,5,0)</f>
        <v>170.73936</v>
      </c>
      <c r="GB97" s="14">
        <f t="shared" si="103"/>
        <v>43.255573782704637</v>
      </c>
      <c r="GC97" s="22">
        <f t="shared" si="79"/>
        <v>372.70784300487725</v>
      </c>
      <c r="GD97" s="60">
        <f t="shared" si="80"/>
        <v>666.04117633821056</v>
      </c>
      <c r="GE97" s="60">
        <f ca="1">AVERAGE(OFFSET($GD$3,0,0,'Données projet'!$E$17+1,1))-AVERAGE(OFFSET($H$3,0,0,'Données projet'!$E$17+1,1))</f>
        <v>268.71641789629319</v>
      </c>
      <c r="GF97" s="60">
        <f t="shared" si="104"/>
        <v>199.94048514486104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0.3560740850502836</v>
      </c>
      <c r="GN97" s="23">
        <f>EXP(-LN(2)/2)*GN96+(1-EXP(-LN(2)/2))/(LN(2)/2)*GH97*GK97*VLOOKUP('Données projet'!$B$17,Paramètres!$A$1:$I$89,3,0)*0.475*44/12</f>
        <v>1.6241602762579479E-9</v>
      </c>
      <c r="GO97" s="23">
        <f t="shared" si="81"/>
        <v>0.35607408667444385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-2.8421709430404007E-13</v>
      </c>
      <c r="GV97" s="18">
        <f>GU97*VLOOKUP('Données projet'!$B$18,Paramètres!$A$1:$I$89,3,0)*VLOOKUP('Données projet'!$B$18,Paramètres!$A$1:$I$89,5,0)</f>
        <v>-1.69961822393816E-13</v>
      </c>
      <c r="GW97" s="14" t="e">
        <f t="shared" si="105"/>
        <v>#NUM!</v>
      </c>
      <c r="GX97" s="22" t="e">
        <f t="shared" si="82"/>
        <v>#NUM!</v>
      </c>
      <c r="GY97" s="60" t="e">
        <f t="shared" si="83"/>
        <v>#NUM!</v>
      </c>
      <c r="GZ97" s="60">
        <f ca="1">AVERAGE(OFFSET($GY$3,0,0,'Données projet'!$E$18+1,1))-AVERAGE(OFFSET($H$3,0,0,'Données projet'!$E$18+1,1))</f>
        <v>289.12367833861299</v>
      </c>
      <c r="HA97" s="60">
        <f t="shared" si="106"/>
        <v>229.06617320689003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9.6551028034311009E-10</v>
      </c>
      <c r="HJ97" s="24">
        <f t="shared" si="84"/>
        <v>9.6551028034311009E-10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271.43999999999983</v>
      </c>
      <c r="P98" s="14">
        <f t="shared" si="87"/>
        <v>65.154778959151173</v>
      </c>
      <c r="Q98" s="22">
        <f t="shared" si="54"/>
        <v>586.23590668718793</v>
      </c>
      <c r="R98" s="60">
        <f t="shared" si="55"/>
        <v>879.56924002052119</v>
      </c>
      <c r="S98" s="60">
        <f ca="1">AVERAGE(OFFSET($R$3,0,0,'Données projet'!$E$9+1,1))-AVERAGE(OFFSET($H$3,0,0,'Données projet'!$E$9+1,1))</f>
        <v>430.11660085503223</v>
      </c>
      <c r="T98" s="60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1.2710188457276673E-13</v>
      </c>
      <c r="AK98" s="14">
        <f t="shared" si="89"/>
        <v>1.856866851063998E-12</v>
      </c>
      <c r="AL98" s="22">
        <f t="shared" si="58"/>
        <v>3.4554122145673649E-12</v>
      </c>
      <c r="AM98" s="60">
        <f t="shared" si="59"/>
        <v>293.33333333333678</v>
      </c>
      <c r="AN98" s="60">
        <f ca="1">AVERAGE(OFFSET($AM$3,0,0,'Données projet'!$E$10+1,1))-AVERAGE(OFFSET($H$3,0,0,'Données projet'!$E$10+1,1))</f>
        <v>323.98185264074681</v>
      </c>
      <c r="AO98" s="60">
        <f t="shared" si="90"/>
        <v>301.22207291854005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1.2317004617228684</v>
      </c>
      <c r="AV98" s="23">
        <f>EXP(-LN(2)/25)*AV97+(1-EXP(-LN(2)/25))/(LN(2)/25)*Calculateur!AQ98*Calculateur!AS98*VLOOKUP('Données projet'!$B$10,Paramètres!$A$1:$I$89,3,0)*0.475*44/12</f>
        <v>1.360297139865227</v>
      </c>
      <c r="AW98" s="23">
        <f>EXP(-LN(2)/2)*AW97+(1-EXP(-LN(2)/2))/(LN(2)/2)*AQ98*AT98*VLOOKUP('Données projet'!$B$10,Paramètres!$A$1:$I$89,3,0)*0.475*44/12</f>
        <v>1.0022729959488038E-9</v>
      </c>
      <c r="AX98" s="23">
        <f t="shared" si="60"/>
        <v>2.5919976025903684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415</v>
      </c>
      <c r="BB98" s="13">
        <f>VLOOKUP(A98,'Données projet'!$A$87:$I$107,9,0)</f>
        <v>7.7</v>
      </c>
      <c r="BC98" s="13">
        <f t="array" ref="BC98">INDEX(BB:BB,MIN(IF(ISNUMBER(BB98:BB294),ROW(BB98:BB294),"")))</f>
        <v>7.7</v>
      </c>
      <c r="BD98" s="13">
        <f>IF('Données projet'!$A$88&gt;35,BD97+BC98-BL97,IF(A98&lt;'Données projet'!$A$88,$BA$205^A98,IF(A98='Données projet'!$A$88,'Données projet'!$B$88,BD97+BC98-BL97)))</f>
        <v>414.99999999999966</v>
      </c>
      <c r="BE98" s="14">
        <f>BD98*VLOOKUP('Données projet'!$B$11,Paramètres!$A$1:$I$89,3,0)*VLOOKUP('Données projet'!$B$11,Paramètres!$A$1:$I$89,5,0)</f>
        <v>356.06999999999977</v>
      </c>
      <c r="BF98" s="14">
        <f t="shared" si="91"/>
        <v>82.811133778450042</v>
      </c>
      <c r="BG98" s="22">
        <f t="shared" si="61"/>
        <v>764.38464133080004</v>
      </c>
      <c r="BH98" s="60">
        <f t="shared" si="62"/>
        <v>1057.7179746641334</v>
      </c>
      <c r="BI98" s="60">
        <f ca="1">AVERAGE(OFFSET($BH$3,0,0,'Données projet'!$E$11+1,1))-AVERAGE(OFFSET($H$3,0,0,'Données projet'!$E$11+1,1))</f>
        <v>556.75475431848258</v>
      </c>
      <c r="BJ98" s="60">
        <f t="shared" si="92"/>
        <v>256.77417912163997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51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3.4106051316484809E-13</v>
      </c>
      <c r="BZ98" s="14">
        <f>BY98*VLOOKUP('Données projet'!$B$12,Paramètres!$A$1:$I$89,3,0)*VLOOKUP('Données projet'!$B$12,Paramètres!$A$1:$I$89,5,0)</f>
        <v>2.5006556825246659E-13</v>
      </c>
      <c r="CA98" s="14">
        <f t="shared" si="93"/>
        <v>3.3765445850268018E-12</v>
      </c>
      <c r="CB98" s="22">
        <f t="shared" si="64"/>
        <v>6.3163460169613921E-12</v>
      </c>
      <c r="CC98" s="60">
        <f t="shared" si="65"/>
        <v>293.33333333333962</v>
      </c>
      <c r="CD98" s="60">
        <f ca="1">AVERAGE(OFFSET($CC$3,0,0,'Données projet'!$E$12+1,1))-AVERAGE(OFFSET($H$3,0,0,'Données projet'!$E$12+1,1))</f>
        <v>290.68086183422963</v>
      </c>
      <c r="CE98" s="60">
        <f t="shared" si="94"/>
        <v>317.88330630101785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1.9895196601282805E-13</v>
      </c>
      <c r="CU98" s="18">
        <f>CT98*VLOOKUP('Données projet'!$B$13,Paramètres!$A$1:$I$89,3,0)*VLOOKUP('Données projet'!$B$13,Paramètres!$A$1:$I$89,5,0)</f>
        <v>1.3035332813160495E-13</v>
      </c>
      <c r="CV98" s="14">
        <f t="shared" si="95"/>
        <v>1.8987770485018903E-12</v>
      </c>
      <c r="CW98" s="22">
        <f t="shared" si="67"/>
        <v>3.5340687393033375E-12</v>
      </c>
      <c r="CX98" s="60">
        <f t="shared" si="68"/>
        <v>293.33333333333684</v>
      </c>
      <c r="CY98" s="60">
        <f ca="1">AVERAGE(OFFSET($CX$3,0,0,'Données projet'!$E$13+1,1))-AVERAGE(OFFSET($H$3,0,0,'Données projet'!$E$13+1,1))</f>
        <v>243.04319555814601</v>
      </c>
      <c r="CZ98" s="60">
        <f t="shared" si="96"/>
        <v>235.68746142880792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0" t="e">
        <f t="shared" si="71"/>
        <v>#NUM!</v>
      </c>
      <c r="DT98" s="60">
        <f ca="1">AVERAGE(OFFSET($DS$3,0,0,'Données projet'!$E$14+1,1))-AVERAGE(OFFSET($H$3,0,0,'Données projet'!$E$14+1,1))</f>
        <v>201.4732637505823</v>
      </c>
      <c r="DU98" s="60">
        <f t="shared" si="98"/>
        <v>342.06887933351783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1.8233083935481535</v>
      </c>
      <c r="EB98" s="23">
        <f>EXP(-LN(2)/25)*EB97+(1-EXP(-LN(2)/25))/(LN(2)/25)*Calculateur!DW98*Calculateur!DY98*VLOOKUP('Données projet'!$B$14,Paramètres!$A$1:$I$89,3,0)*0.475*44/12</f>
        <v>4.3612952602099622</v>
      </c>
      <c r="EC98" s="23">
        <f>EXP(-LN(2)/2)*EC97+(1-EXP(-LN(2)/2))/(LN(2)/2)*DW98*DZ98*VLOOKUP('Données projet'!$B$14,Paramètres!$A$1:$I$89,3,0)*0.475*44/12</f>
        <v>2.2056560486403669E-9</v>
      </c>
      <c r="ED98" s="24">
        <f t="shared" si="72"/>
        <v>6.1846036559637714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-3.4106051316484809E-13</v>
      </c>
      <c r="EK98" s="18">
        <f>EJ98*VLOOKUP('Données projet'!$B$15,Paramètres!$A$1:$I$89,3,0)*VLOOKUP('Données projet'!$B$15,Paramètres!$A$1:$I$89,5,0)</f>
        <v>-2.0395418687257919E-13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260.01925143568263</v>
      </c>
      <c r="EP98" s="60">
        <f t="shared" si="100"/>
        <v>269.95358755269427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3.9226752665555455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3.9226752665555455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-1.1368683772161603E-13</v>
      </c>
      <c r="FF98" s="18">
        <f>FE98*VLOOKUP('Données projet'!$B$16,Paramètres!$A$1:$I$89,3,0)*VLOOKUP('Données projet'!$B$16,Paramètres!$A$1:$I$89,5,0)</f>
        <v>-9.2222762759774927E-14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256.19915261735281</v>
      </c>
      <c r="FK98" s="60">
        <f t="shared" si="102"/>
        <v>297.47246687305056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4.1123076923076898</v>
      </c>
      <c r="FZ98" s="13">
        <f>IF('Données projet'!$A$244&gt;35,FZ97+FY98-GH97,IF(A98&lt;'Données projet'!$A$244,$FW$205^A98,IF(A98='Données projet'!$A$244,'Données projet'!$B$244,FZ97+FY98-GH97)))</f>
        <v>302.60769230769233</v>
      </c>
      <c r="GA98" s="18">
        <f>FZ98*VLOOKUP('Données projet'!$B$17,Paramètres!$A$1:$I$89,3,0)*VLOOKUP('Données projet'!$B$17,Paramètres!$A$1:$I$89,5,0)</f>
        <v>173.09160000000003</v>
      </c>
      <c r="GB98" s="14">
        <f t="shared" si="103"/>
        <v>43.781711188435843</v>
      </c>
      <c r="GC98" s="22">
        <f t="shared" si="79"/>
        <v>377.72101698652585</v>
      </c>
      <c r="GD98" s="60">
        <f t="shared" si="80"/>
        <v>671.05435031985917</v>
      </c>
      <c r="GE98" s="60">
        <f ca="1">AVERAGE(OFFSET($GD$3,0,0,'Données projet'!$E$17+1,1))-AVERAGE(OFFSET($H$3,0,0,'Données projet'!$E$17+1,1))</f>
        <v>268.71641789629319</v>
      </c>
      <c r="GF98" s="60">
        <f t="shared" si="104"/>
        <v>199.94048514486104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0.34633722046946125</v>
      </c>
      <c r="GN98" s="23">
        <f>EXP(-LN(2)/2)*GN97+(1-EXP(-LN(2)/2))/(LN(2)/2)*GH98*GK98*VLOOKUP('Données projet'!$B$17,Paramètres!$A$1:$I$89,3,0)*0.475*44/12</f>
        <v>1.1484547450758114E-9</v>
      </c>
      <c r="GO98" s="23">
        <f t="shared" si="81"/>
        <v>0.34633722161791597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-2.8421709430404007E-13</v>
      </c>
      <c r="GV98" s="18">
        <f>GU98*VLOOKUP('Données projet'!$B$18,Paramètres!$A$1:$I$89,3,0)*VLOOKUP('Données projet'!$B$18,Paramètres!$A$1:$I$89,5,0)</f>
        <v>-1.69961822393816E-13</v>
      </c>
      <c r="GW98" s="14" t="e">
        <f t="shared" si="105"/>
        <v>#NUM!</v>
      </c>
      <c r="GX98" s="22" t="e">
        <f t="shared" si="82"/>
        <v>#NUM!</v>
      </c>
      <c r="GY98" s="60" t="e">
        <f t="shared" si="83"/>
        <v>#NUM!</v>
      </c>
      <c r="GZ98" s="60">
        <f ca="1">AVERAGE(OFFSET($GY$3,0,0,'Données projet'!$E$18+1,1))-AVERAGE(OFFSET($H$3,0,0,'Données projet'!$E$18+1,1))</f>
        <v>289.12367833861299</v>
      </c>
      <c r="HA98" s="60">
        <f t="shared" si="106"/>
        <v>229.06617320689003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6.8271886653593771E-10</v>
      </c>
      <c r="HJ98" s="24">
        <f t="shared" si="84"/>
        <v>6.8271886653593771E-10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237.69095999999982</v>
      </c>
      <c r="P99" s="14">
        <f t="shared" si="87"/>
        <v>57.942450096949393</v>
      </c>
      <c r="Q99" s="22">
        <f t="shared" ref="Q99:Q130" si="107">(O99+P99)*0.475*44/12</f>
        <v>514.89485591885318</v>
      </c>
      <c r="R99" s="60">
        <f t="shared" si="55"/>
        <v>808.22818925218644</v>
      </c>
      <c r="S99" s="60">
        <f ca="1">AVERAGE(OFFSET($R$3,0,0,'Données projet'!$E$9+1,1))-AVERAGE(OFFSET($H$3,0,0,'Données projet'!$E$9+1,1))</f>
        <v>430.11660085503223</v>
      </c>
      <c r="T99" s="60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1.2710188457276673E-13</v>
      </c>
      <c r="AK99" s="14">
        <f t="shared" si="89"/>
        <v>1.856866851063998E-12</v>
      </c>
      <c r="AL99" s="22">
        <f t="shared" si="58"/>
        <v>3.4554122145673649E-12</v>
      </c>
      <c r="AM99" s="60">
        <f t="shared" si="59"/>
        <v>293.33333333333678</v>
      </c>
      <c r="AN99" s="60">
        <f ca="1">AVERAGE(OFFSET($AM$3,0,0,'Données projet'!$E$10+1,1))-AVERAGE(OFFSET($H$3,0,0,'Données projet'!$E$10+1,1))</f>
        <v>323.98185264074681</v>
      </c>
      <c r="AO99" s="60">
        <f t="shared" si="90"/>
        <v>301.22207291854005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1.2075475669315836</v>
      </c>
      <c r="AV99" s="23">
        <f>EXP(-LN(2)/25)*AV98+(1-EXP(-LN(2)/25))/(LN(2)/25)*Calculateur!AQ99*Calculateur!AS99*VLOOKUP('Données projet'!$B$10,Paramètres!$A$1:$I$89,3,0)*0.475*44/12</f>
        <v>1.3230997430406948</v>
      </c>
      <c r="AW99" s="23">
        <f>EXP(-LN(2)/2)*AW98+(1-EXP(-LN(2)/2))/(LN(2)/2)*AQ99*AT99*VLOOKUP('Données projet'!$B$10,Paramètres!$A$1:$I$89,3,0)*0.475*44/12</f>
        <v>7.0871403203555623E-10</v>
      </c>
      <c r="AX99" s="23">
        <f t="shared" si="60"/>
        <v>2.5306473106809921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7</v>
      </c>
      <c r="BD99" s="13">
        <f>IF('Données projet'!$A$88&gt;35,BD98+BC99-BL98,IF(A99&lt;'Données projet'!$A$88,$BA$205^A99,IF(A99='Données projet'!$A$88,'Données projet'!$B$88,BD98+BC99-BL98)))</f>
        <v>370.99999999999966</v>
      </c>
      <c r="BE99" s="14">
        <f>BD99*VLOOKUP('Données projet'!$B$11,Paramètres!$A$1:$I$89,3,0)*VLOOKUP('Données projet'!$B$11,Paramètres!$A$1:$I$89,5,0)</f>
        <v>318.31799999999976</v>
      </c>
      <c r="BF99" s="14">
        <f t="shared" si="91"/>
        <v>75.003273580132529</v>
      </c>
      <c r="BG99" s="22">
        <f t="shared" si="61"/>
        <v>685.03455148539706</v>
      </c>
      <c r="BH99" s="60">
        <f t="shared" si="62"/>
        <v>978.36788481873032</v>
      </c>
      <c r="BI99" s="60">
        <f ca="1">AVERAGE(OFFSET($BH$3,0,0,'Données projet'!$E$11+1,1))-AVERAGE(OFFSET($H$3,0,0,'Données projet'!$E$11+1,1))</f>
        <v>556.75475431848258</v>
      </c>
      <c r="BJ99" s="60">
        <f t="shared" si="92"/>
        <v>256.77417912163997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3.4106051316484809E-13</v>
      </c>
      <c r="BZ99" s="14">
        <f>BY99*VLOOKUP('Données projet'!$B$12,Paramètres!$A$1:$I$89,3,0)*VLOOKUP('Données projet'!$B$12,Paramètres!$A$1:$I$89,5,0)</f>
        <v>2.5006556825246659E-13</v>
      </c>
      <c r="CA99" s="14">
        <f t="shared" si="93"/>
        <v>3.3765445850268018E-12</v>
      </c>
      <c r="CB99" s="22">
        <f t="shared" si="64"/>
        <v>6.3163460169613921E-12</v>
      </c>
      <c r="CC99" s="60">
        <f t="shared" si="65"/>
        <v>293.33333333333962</v>
      </c>
      <c r="CD99" s="60">
        <f ca="1">AVERAGE(OFFSET($CC$3,0,0,'Données projet'!$E$12+1,1))-AVERAGE(OFFSET($H$3,0,0,'Données projet'!$E$12+1,1))</f>
        <v>290.68086183422963</v>
      </c>
      <c r="CE99" s="60">
        <f t="shared" si="94"/>
        <v>317.88330630101785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1.9895196601282805E-13</v>
      </c>
      <c r="CU99" s="18">
        <f>CT99*VLOOKUP('Données projet'!$B$13,Paramètres!$A$1:$I$89,3,0)*VLOOKUP('Données projet'!$B$13,Paramètres!$A$1:$I$89,5,0)</f>
        <v>1.3035332813160495E-13</v>
      </c>
      <c r="CV99" s="14">
        <f t="shared" si="95"/>
        <v>1.8987770485018903E-12</v>
      </c>
      <c r="CW99" s="22">
        <f t="shared" si="67"/>
        <v>3.5340687393033375E-12</v>
      </c>
      <c r="CX99" s="60">
        <f t="shared" si="68"/>
        <v>293.33333333333684</v>
      </c>
      <c r="CY99" s="60">
        <f ca="1">AVERAGE(OFFSET($CX$3,0,0,'Données projet'!$E$13+1,1))-AVERAGE(OFFSET($H$3,0,0,'Données projet'!$E$13+1,1))</f>
        <v>243.04319555814601</v>
      </c>
      <c r="CZ99" s="60">
        <f t="shared" si="96"/>
        <v>235.68746142880792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0" t="e">
        <f t="shared" si="71"/>
        <v>#NUM!</v>
      </c>
      <c r="DT99" s="60">
        <f ca="1">AVERAGE(OFFSET($DS$3,0,0,'Données projet'!$E$14+1,1))-AVERAGE(OFFSET($H$3,0,0,'Données projet'!$E$14+1,1))</f>
        <v>201.4732637505823</v>
      </c>
      <c r="DU99" s="60">
        <f t="shared" si="98"/>
        <v>342.06887933351783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1.7875544280589828</v>
      </c>
      <c r="EB99" s="23">
        <f>EXP(-LN(2)/25)*EB98+(1-EXP(-LN(2)/25))/(LN(2)/25)*Calculateur!DW99*Calculateur!DY99*VLOOKUP('Données projet'!$B$14,Paramètres!$A$1:$I$89,3,0)*0.475*44/12</f>
        <v>4.2420354119689705</v>
      </c>
      <c r="EC99" s="23">
        <f>EXP(-LN(2)/2)*EC98+(1-EXP(-LN(2)/2))/(LN(2)/2)*DW99*DZ99*VLOOKUP('Données projet'!$B$14,Paramètres!$A$1:$I$89,3,0)*0.475*44/12</f>
        <v>1.559634348958729E-9</v>
      </c>
      <c r="ED99" s="24">
        <f t="shared" si="72"/>
        <v>6.0295898415875877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-3.4106051316484809E-13</v>
      </c>
      <c r="EK99" s="18">
        <f>EJ99*VLOOKUP('Données projet'!$B$15,Paramètres!$A$1:$I$89,3,0)*VLOOKUP('Données projet'!$B$15,Paramètres!$A$1:$I$89,5,0)</f>
        <v>-2.0395418687257919E-13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260.01925143568263</v>
      </c>
      <c r="EP99" s="60">
        <f t="shared" si="100"/>
        <v>269.95358755269427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3.8457539971740546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3.8457539971740546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-1.1368683772161603E-13</v>
      </c>
      <c r="FF99" s="18">
        <f>FE99*VLOOKUP('Données projet'!$B$16,Paramètres!$A$1:$I$89,3,0)*VLOOKUP('Données projet'!$B$16,Paramètres!$A$1:$I$89,5,0)</f>
        <v>-9.2222762759774927E-14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256.19915261735281</v>
      </c>
      <c r="FK99" s="60">
        <f t="shared" si="102"/>
        <v>297.47246687305056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4.1123076923076898</v>
      </c>
      <c r="FZ99" s="13">
        <f>IF('Données projet'!$A$244&gt;35,FZ98+FY99-GH98,IF(A99&lt;'Données projet'!$A$244,$FW$205^A99,IF(A99='Données projet'!$A$244,'Données projet'!$B$244,FZ98+FY99-GH98)))</f>
        <v>306.72000000000003</v>
      </c>
      <c r="GA99" s="18">
        <f>FZ99*VLOOKUP('Données projet'!$B$17,Paramètres!$A$1:$I$89,3,0)*VLOOKUP('Données projet'!$B$17,Paramètres!$A$1:$I$89,5,0)</f>
        <v>175.44384000000002</v>
      </c>
      <c r="GB99" s="14">
        <f t="shared" si="103"/>
        <v>44.307016967342975</v>
      </c>
      <c r="GC99" s="22">
        <f t="shared" si="79"/>
        <v>382.73274255145571</v>
      </c>
      <c r="GD99" s="60">
        <f t="shared" si="80"/>
        <v>676.06607588478903</v>
      </c>
      <c r="GE99" s="60">
        <f ca="1">AVERAGE(OFFSET($GD$3,0,0,'Données projet'!$E$17+1,1))-AVERAGE(OFFSET($H$3,0,0,'Données projet'!$E$17+1,1))</f>
        <v>268.71641789629319</v>
      </c>
      <c r="GF99" s="60">
        <f t="shared" si="104"/>
        <v>199.94048514486104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0.33686661096264098</v>
      </c>
      <c r="GN99" s="23">
        <f>EXP(-LN(2)/2)*GN98+(1-EXP(-LN(2)/2))/(LN(2)/2)*GH99*GK99*VLOOKUP('Données projet'!$B$17,Paramètres!$A$1:$I$89,3,0)*0.475*44/12</f>
        <v>8.1208013812897397E-10</v>
      </c>
      <c r="GO99" s="23">
        <f t="shared" si="81"/>
        <v>0.3368666117747211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-2.8421709430404007E-13</v>
      </c>
      <c r="GV99" s="18">
        <f>GU99*VLOOKUP('Données projet'!$B$18,Paramètres!$A$1:$I$89,3,0)*VLOOKUP('Données projet'!$B$18,Paramètres!$A$1:$I$89,5,0)</f>
        <v>-1.69961822393816E-13</v>
      </c>
      <c r="GW99" s="14" t="e">
        <f t="shared" si="105"/>
        <v>#NUM!</v>
      </c>
      <c r="GX99" s="22" t="e">
        <f t="shared" si="82"/>
        <v>#NUM!</v>
      </c>
      <c r="GY99" s="60" t="e">
        <f t="shared" si="83"/>
        <v>#NUM!</v>
      </c>
      <c r="GZ99" s="60">
        <f ca="1">AVERAGE(OFFSET($GY$3,0,0,'Données projet'!$E$18+1,1))-AVERAGE(OFFSET($H$3,0,0,'Données projet'!$E$18+1,1))</f>
        <v>289.12367833861299</v>
      </c>
      <c r="HA99" s="60">
        <f t="shared" si="106"/>
        <v>229.06617320689003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4.8275514017155504E-10</v>
      </c>
      <c r="HJ99" s="24">
        <f t="shared" si="84"/>
        <v>4.8275514017155504E-10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241.94351999999981</v>
      </c>
      <c r="P100" s="14">
        <f t="shared" si="87"/>
        <v>58.857491789961337</v>
      </c>
      <c r="Q100" s="22">
        <f t="shared" si="107"/>
        <v>523.89509553418225</v>
      </c>
      <c r="R100" s="60">
        <f t="shared" si="55"/>
        <v>817.2284288675155</v>
      </c>
      <c r="S100" s="60">
        <f ca="1">AVERAGE(OFFSET($R$3,0,0,'Données projet'!$E$9+1,1))-AVERAGE(OFFSET($H$3,0,0,'Données projet'!$E$9+1,1))</f>
        <v>430.11660085503223</v>
      </c>
      <c r="T100" s="60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1.2710188457276673E-13</v>
      </c>
      <c r="AK100" s="14">
        <f t="shared" si="89"/>
        <v>1.856866851063998E-12</v>
      </c>
      <c r="AL100" s="22">
        <f t="shared" si="58"/>
        <v>3.4554122145673649E-12</v>
      </c>
      <c r="AM100" s="60">
        <f t="shared" si="59"/>
        <v>293.33333333333678</v>
      </c>
      <c r="AN100" s="60">
        <f ca="1">AVERAGE(OFFSET($AM$3,0,0,'Données projet'!$E$10+1,1))-AVERAGE(OFFSET($H$3,0,0,'Données projet'!$E$10+1,1))</f>
        <v>323.98185264074681</v>
      </c>
      <c r="AO100" s="60">
        <f t="shared" si="90"/>
        <v>301.22207291854005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1.1838682956753446</v>
      </c>
      <c r="AV100" s="23">
        <f>EXP(-LN(2)/25)*AV99+(1-EXP(-LN(2)/25))/(LN(2)/25)*Calculateur!AQ100*Calculateur!AS100*VLOOKUP('Données projet'!$B$10,Paramètres!$A$1:$I$89,3,0)*0.475*44/12</f>
        <v>1.2869195109884555</v>
      </c>
      <c r="AW100" s="23">
        <f>EXP(-LN(2)/2)*AW99+(1-EXP(-LN(2)/2))/(LN(2)/2)*AQ100*AT100*VLOOKUP('Données projet'!$B$10,Paramètres!$A$1:$I$89,3,0)*0.475*44/12</f>
        <v>5.0113649797440188E-10</v>
      </c>
      <c r="AX100" s="23">
        <f t="shared" si="60"/>
        <v>2.4707878071649367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7</v>
      </c>
      <c r="BD100" s="13">
        <f>IF('Données projet'!$A$88&gt;35,BD99+BC100-BL99,IF(A100&lt;'Données projet'!$A$88,$BA$205^A100,IF(A100='Données projet'!$A$88,'Données projet'!$B$88,BD99+BC100-BL99)))</f>
        <v>377.99999999999966</v>
      </c>
      <c r="BE100" s="14">
        <f>BD100*VLOOKUP('Données projet'!$B$11,Paramètres!$A$1:$I$89,3,0)*VLOOKUP('Données projet'!$B$11,Paramètres!$A$1:$I$89,5,0)</f>
        <v>324.32399999999973</v>
      </c>
      <c r="BF100" s="14">
        <f t="shared" si="91"/>
        <v>76.252341944982632</v>
      </c>
      <c r="BG100" s="22">
        <f t="shared" si="61"/>
        <v>697.67046222084412</v>
      </c>
      <c r="BH100" s="60">
        <f t="shared" si="62"/>
        <v>991.00379555417749</v>
      </c>
      <c r="BI100" s="60">
        <f ca="1">AVERAGE(OFFSET($BH$3,0,0,'Données projet'!$E$11+1,1))-AVERAGE(OFFSET($H$3,0,0,'Données projet'!$E$11+1,1))</f>
        <v>556.75475431848258</v>
      </c>
      <c r="BJ100" s="60">
        <f t="shared" si="92"/>
        <v>256.77417912163997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3.4106051316484809E-13</v>
      </c>
      <c r="BZ100" s="14">
        <f>BY100*VLOOKUP('Données projet'!$B$12,Paramètres!$A$1:$I$89,3,0)*VLOOKUP('Données projet'!$B$12,Paramètres!$A$1:$I$89,5,0)</f>
        <v>2.5006556825246659E-13</v>
      </c>
      <c r="CA100" s="14">
        <f t="shared" si="93"/>
        <v>3.3765445850268018E-12</v>
      </c>
      <c r="CB100" s="22">
        <f t="shared" si="64"/>
        <v>6.3163460169613921E-12</v>
      </c>
      <c r="CC100" s="60">
        <f t="shared" si="65"/>
        <v>293.33333333333962</v>
      </c>
      <c r="CD100" s="60">
        <f ca="1">AVERAGE(OFFSET($CC$3,0,0,'Données projet'!$E$12+1,1))-AVERAGE(OFFSET($H$3,0,0,'Données projet'!$E$12+1,1))</f>
        <v>290.68086183422963</v>
      </c>
      <c r="CE100" s="60">
        <f t="shared" si="94"/>
        <v>317.88330630101785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1.9895196601282805E-13</v>
      </c>
      <c r="CU100" s="18">
        <f>CT100*VLOOKUP('Données projet'!$B$13,Paramètres!$A$1:$I$89,3,0)*VLOOKUP('Données projet'!$B$13,Paramètres!$A$1:$I$89,5,0)</f>
        <v>1.3035332813160495E-13</v>
      </c>
      <c r="CV100" s="14">
        <f t="shared" si="95"/>
        <v>1.8987770485018903E-12</v>
      </c>
      <c r="CW100" s="22">
        <f t="shared" si="67"/>
        <v>3.5340687393033375E-12</v>
      </c>
      <c r="CX100" s="60">
        <f t="shared" si="68"/>
        <v>293.33333333333684</v>
      </c>
      <c r="CY100" s="60">
        <f ca="1">AVERAGE(OFFSET($CX$3,0,0,'Données projet'!$E$13+1,1))-AVERAGE(OFFSET($H$3,0,0,'Données projet'!$E$13+1,1))</f>
        <v>243.04319555814601</v>
      </c>
      <c r="CZ100" s="60">
        <f t="shared" si="96"/>
        <v>235.68746142880792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0" t="e">
        <f t="shared" si="71"/>
        <v>#NUM!</v>
      </c>
      <c r="DT100" s="60">
        <f ca="1">AVERAGE(OFFSET($DS$3,0,0,'Données projet'!$E$14+1,1))-AVERAGE(OFFSET($H$3,0,0,'Données projet'!$E$14+1,1))</f>
        <v>201.4732637505823</v>
      </c>
      <c r="DU100" s="60">
        <f t="shared" si="98"/>
        <v>342.06887933351783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1.7525015760252891</v>
      </c>
      <c r="EB100" s="23">
        <f>EXP(-LN(2)/25)*EB99+(1-EXP(-LN(2)/25))/(LN(2)/25)*Calculateur!DW100*Calculateur!DY100*VLOOKUP('Données projet'!$B$14,Paramètres!$A$1:$I$89,3,0)*0.475*44/12</f>
        <v>4.1260367305497319</v>
      </c>
      <c r="EC100" s="23">
        <f>EXP(-LN(2)/2)*EC99+(1-EXP(-LN(2)/2))/(LN(2)/2)*DW100*DZ100*VLOOKUP('Données projet'!$B$14,Paramètres!$A$1:$I$89,3,0)*0.475*44/12</f>
        <v>1.1028280243201835E-9</v>
      </c>
      <c r="ED100" s="24">
        <f t="shared" si="72"/>
        <v>5.8785383076778492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-3.4106051316484809E-13</v>
      </c>
      <c r="EK100" s="18">
        <f>EJ100*VLOOKUP('Données projet'!$B$15,Paramètres!$A$1:$I$89,3,0)*VLOOKUP('Données projet'!$B$15,Paramètres!$A$1:$I$89,5,0)</f>
        <v>-2.0395418687257919E-13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260.01925143568263</v>
      </c>
      <c r="EP100" s="60">
        <f t="shared" si="100"/>
        <v>269.95358755269427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3.770341106967793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3.770341106967793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-1.1368683772161603E-13</v>
      </c>
      <c r="FF100" s="18">
        <f>FE100*VLOOKUP('Données projet'!$B$16,Paramètres!$A$1:$I$89,3,0)*VLOOKUP('Données projet'!$B$16,Paramètres!$A$1:$I$89,5,0)</f>
        <v>-9.2222762759774927E-14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256.19915261735281</v>
      </c>
      <c r="FK100" s="60">
        <f t="shared" si="102"/>
        <v>297.47246687305056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4.1123076923076898</v>
      </c>
      <c r="FZ100" s="13">
        <f>IF('Données projet'!$A$244&gt;35,FZ99+FY100-GH99,IF(A100&lt;'Données projet'!$A$244,$FW$205^A100,IF(A100='Données projet'!$A$244,'Données projet'!$B$244,FZ99+FY100-GH99)))</f>
        <v>310.83230769230772</v>
      </c>
      <c r="GA100" s="18">
        <f>FZ100*VLOOKUP('Données projet'!$B$17,Paramètres!$A$1:$I$89,3,0)*VLOOKUP('Données projet'!$B$17,Paramètres!$A$1:$I$89,5,0)</f>
        <v>177.79608000000005</v>
      </c>
      <c r="GB100" s="14">
        <f t="shared" si="103"/>
        <v>44.83150355824548</v>
      </c>
      <c r="GC100" s="22">
        <f t="shared" si="79"/>
        <v>387.74304136394426</v>
      </c>
      <c r="GD100" s="60">
        <f t="shared" si="80"/>
        <v>681.07637469727752</v>
      </c>
      <c r="GE100" s="60">
        <f ca="1">AVERAGE(OFFSET($GD$3,0,0,'Données projet'!$E$17+1,1))-AVERAGE(OFFSET($H$3,0,0,'Données projet'!$E$17+1,1))</f>
        <v>268.71641789629319</v>
      </c>
      <c r="GF100" s="60">
        <f t="shared" si="104"/>
        <v>199.94048514486104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0.32765497577082242</v>
      </c>
      <c r="GN100" s="23">
        <f>EXP(-LN(2)/2)*GN99+(1-EXP(-LN(2)/2))/(LN(2)/2)*GH100*GK100*VLOOKUP('Données projet'!$B$17,Paramètres!$A$1:$I$89,3,0)*0.475*44/12</f>
        <v>5.7422737253790568E-10</v>
      </c>
      <c r="GO100" s="23">
        <f t="shared" si="81"/>
        <v>0.32765497634504981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-2.8421709430404007E-13</v>
      </c>
      <c r="GV100" s="18">
        <f>GU100*VLOOKUP('Données projet'!$B$18,Paramètres!$A$1:$I$89,3,0)*VLOOKUP('Données projet'!$B$18,Paramètres!$A$1:$I$89,5,0)</f>
        <v>-1.69961822393816E-13</v>
      </c>
      <c r="GW100" s="14" t="e">
        <f t="shared" si="105"/>
        <v>#NUM!</v>
      </c>
      <c r="GX100" s="22" t="e">
        <f t="shared" si="82"/>
        <v>#NUM!</v>
      </c>
      <c r="GY100" s="60" t="e">
        <f t="shared" si="83"/>
        <v>#NUM!</v>
      </c>
      <c r="GZ100" s="60">
        <f ca="1">AVERAGE(OFFSET($GY$3,0,0,'Données projet'!$E$18+1,1))-AVERAGE(OFFSET($H$3,0,0,'Données projet'!$E$18+1,1))</f>
        <v>289.12367833861299</v>
      </c>
      <c r="HA100" s="60">
        <f t="shared" si="106"/>
        <v>229.06617320689003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3.4135943326796886E-10</v>
      </c>
      <c r="HJ100" s="24">
        <f t="shared" si="84"/>
        <v>3.4135943326796886E-10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246.1960799999998</v>
      </c>
      <c r="P101" s="14">
        <f t="shared" si="87"/>
        <v>59.770663189456066</v>
      </c>
      <c r="Q101" s="22">
        <f t="shared" si="107"/>
        <v>532.8920777216357</v>
      </c>
      <c r="R101" s="60">
        <f t="shared" si="55"/>
        <v>826.22541105496907</v>
      </c>
      <c r="S101" s="60">
        <f ca="1">AVERAGE(OFFSET($R$3,0,0,'Données projet'!$E$9+1,1))-AVERAGE(OFFSET($H$3,0,0,'Données projet'!$E$9+1,1))</f>
        <v>430.11660085503223</v>
      </c>
      <c r="T101" s="60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1.2710188457276673E-13</v>
      </c>
      <c r="AK101" s="14">
        <f t="shared" si="89"/>
        <v>1.856866851063998E-12</v>
      </c>
      <c r="AL101" s="22">
        <f t="shared" si="58"/>
        <v>3.4554122145673649E-12</v>
      </c>
      <c r="AM101" s="60">
        <f t="shared" si="59"/>
        <v>293.33333333333678</v>
      </c>
      <c r="AN101" s="60">
        <f ca="1">AVERAGE(OFFSET($AM$3,0,0,'Données projet'!$E$10+1,1))-AVERAGE(OFFSET($H$3,0,0,'Données projet'!$E$10+1,1))</f>
        <v>323.98185264074681</v>
      </c>
      <c r="AO101" s="60">
        <f t="shared" si="90"/>
        <v>301.22207291854005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1.1606533604855112</v>
      </c>
      <c r="AV101" s="23">
        <f>EXP(-LN(2)/25)*AV100+(1-EXP(-LN(2)/25))/(LN(2)/25)*Calculateur!AQ101*Calculateur!AS101*VLOOKUP('Données projet'!$B$10,Paramètres!$A$1:$I$89,3,0)*0.475*44/12</f>
        <v>1.2517286292843204</v>
      </c>
      <c r="AW101" s="23">
        <f>EXP(-LN(2)/2)*AW100+(1-EXP(-LN(2)/2))/(LN(2)/2)*AQ101*AT101*VLOOKUP('Données projet'!$B$10,Paramètres!$A$1:$I$89,3,0)*0.475*44/12</f>
        <v>3.5435701601777812E-10</v>
      </c>
      <c r="AX101" s="23">
        <f t="shared" si="60"/>
        <v>2.4123819901241883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7</v>
      </c>
      <c r="BD101" s="13">
        <f>IF('Données projet'!$A$88&gt;35,BD100+BC101-BL100,IF(A101&lt;'Données projet'!$A$88,$BA$205^A101,IF(A101='Données projet'!$A$88,'Données projet'!$B$88,BD100+BC101-BL100)))</f>
        <v>384.99999999999966</v>
      </c>
      <c r="BE101" s="14">
        <f>BD101*VLOOKUP('Données projet'!$B$11,Paramètres!$A$1:$I$89,3,0)*VLOOKUP('Données projet'!$B$11,Paramètres!$A$1:$I$89,5,0)</f>
        <v>330.32999999999976</v>
      </c>
      <c r="BF101" s="14">
        <f t="shared" si="91"/>
        <v>77.498720610826012</v>
      </c>
      <c r="BG101" s="22">
        <f t="shared" si="61"/>
        <v>710.30168839718817</v>
      </c>
      <c r="BH101" s="60">
        <f t="shared" si="62"/>
        <v>1003.6350217305214</v>
      </c>
      <c r="BI101" s="60">
        <f ca="1">AVERAGE(OFFSET($BH$3,0,0,'Données projet'!$E$11+1,1))-AVERAGE(OFFSET($H$3,0,0,'Données projet'!$E$11+1,1))</f>
        <v>556.75475431848258</v>
      </c>
      <c r="BJ101" s="60">
        <f t="shared" si="92"/>
        <v>256.77417912163997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3.4106051316484809E-13</v>
      </c>
      <c r="BZ101" s="14">
        <f>BY101*VLOOKUP('Données projet'!$B$12,Paramètres!$A$1:$I$89,3,0)*VLOOKUP('Données projet'!$B$12,Paramètres!$A$1:$I$89,5,0)</f>
        <v>2.5006556825246659E-13</v>
      </c>
      <c r="CA101" s="14">
        <f t="shared" si="93"/>
        <v>3.3765445850268018E-12</v>
      </c>
      <c r="CB101" s="22">
        <f t="shared" si="64"/>
        <v>6.3163460169613921E-12</v>
      </c>
      <c r="CC101" s="60">
        <f t="shared" si="65"/>
        <v>293.33333333333962</v>
      </c>
      <c r="CD101" s="60">
        <f ca="1">AVERAGE(OFFSET($CC$3,0,0,'Données projet'!$E$12+1,1))-AVERAGE(OFFSET($H$3,0,0,'Données projet'!$E$12+1,1))</f>
        <v>290.68086183422963</v>
      </c>
      <c r="CE101" s="60">
        <f t="shared" si="94"/>
        <v>317.88330630101785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1.9895196601282805E-13</v>
      </c>
      <c r="CU101" s="18">
        <f>CT101*VLOOKUP('Données projet'!$B$13,Paramètres!$A$1:$I$89,3,0)*VLOOKUP('Données projet'!$B$13,Paramètres!$A$1:$I$89,5,0)</f>
        <v>1.3035332813160495E-13</v>
      </c>
      <c r="CV101" s="14">
        <f t="shared" si="95"/>
        <v>1.8987770485018903E-12</v>
      </c>
      <c r="CW101" s="22">
        <f t="shared" si="67"/>
        <v>3.5340687393033375E-12</v>
      </c>
      <c r="CX101" s="60">
        <f t="shared" si="68"/>
        <v>293.33333333333684</v>
      </c>
      <c r="CY101" s="60">
        <f ca="1">AVERAGE(OFFSET($CX$3,0,0,'Données projet'!$E$13+1,1))-AVERAGE(OFFSET($H$3,0,0,'Données projet'!$E$13+1,1))</f>
        <v>243.04319555814601</v>
      </c>
      <c r="CZ101" s="60">
        <f t="shared" si="96"/>
        <v>235.68746142880792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0" t="e">
        <f t="shared" si="71"/>
        <v>#NUM!</v>
      </c>
      <c r="DT101" s="60">
        <f ca="1">AVERAGE(OFFSET($DS$3,0,0,'Données projet'!$E$14+1,1))-AVERAGE(OFFSET($H$3,0,0,'Données projet'!$E$14+1,1))</f>
        <v>201.4732637505823</v>
      </c>
      <c r="DU101" s="60">
        <f t="shared" si="98"/>
        <v>342.06887933351783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1.7181360890398474</v>
      </c>
      <c r="EB101" s="23">
        <f>EXP(-LN(2)/25)*EB100+(1-EXP(-LN(2)/25))/(LN(2)/25)*Calculateur!DW101*Calculateur!DY101*VLOOKUP('Données projet'!$B$14,Paramètres!$A$1:$I$89,3,0)*0.475*44/12</f>
        <v>4.013210039174008</v>
      </c>
      <c r="EC101" s="23">
        <f>EXP(-LN(2)/2)*EC100+(1-EXP(-LN(2)/2))/(LN(2)/2)*DW101*DZ101*VLOOKUP('Données projet'!$B$14,Paramètres!$A$1:$I$89,3,0)*0.475*44/12</f>
        <v>7.7981717447936449E-10</v>
      </c>
      <c r="ED101" s="24">
        <f t="shared" si="72"/>
        <v>5.7313461289936729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-3.4106051316484809E-13</v>
      </c>
      <c r="EK101" s="18">
        <f>EJ101*VLOOKUP('Données projet'!$B$15,Paramètres!$A$1:$I$89,3,0)*VLOOKUP('Données projet'!$B$15,Paramètres!$A$1:$I$89,5,0)</f>
        <v>-2.0395418687257919E-13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260.01925143568263</v>
      </c>
      <c r="EP101" s="60">
        <f t="shared" si="100"/>
        <v>269.95358755269427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3.6964070175411554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3.6964070175411554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-1.1368683772161603E-13</v>
      </c>
      <c r="FF101" s="18">
        <f>FE101*VLOOKUP('Données projet'!$B$16,Paramètres!$A$1:$I$89,3,0)*VLOOKUP('Données projet'!$B$16,Paramètres!$A$1:$I$89,5,0)</f>
        <v>-9.2222762759774927E-14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256.19915261735281</v>
      </c>
      <c r="FK101" s="60">
        <f t="shared" si="102"/>
        <v>297.47246687305056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4.1123076923076898</v>
      </c>
      <c r="FZ101" s="13">
        <f>IF('Données projet'!$A$244&gt;35,FZ100+FY101-GH100,IF(A101&lt;'Données projet'!$A$244,$FW$205^A101,IF(A101='Données projet'!$A$244,'Données projet'!$B$244,FZ100+FY101-GH100)))</f>
        <v>314.94461538461542</v>
      </c>
      <c r="GA101" s="18">
        <f>FZ101*VLOOKUP('Données projet'!$B$17,Paramètres!$A$1:$I$89,3,0)*VLOOKUP('Données projet'!$B$17,Paramètres!$A$1:$I$89,5,0)</f>
        <v>180.14832000000004</v>
      </c>
      <c r="GB101" s="14">
        <f t="shared" si="103"/>
        <v>45.355183051914324</v>
      </c>
      <c r="GC101" s="22">
        <f t="shared" si="79"/>
        <v>392.75193448208421</v>
      </c>
      <c r="GD101" s="60">
        <f t="shared" si="80"/>
        <v>686.08526781541752</v>
      </c>
      <c r="GE101" s="60">
        <f ca="1">AVERAGE(OFFSET($GD$3,0,0,'Données projet'!$E$17+1,1))-AVERAGE(OFFSET($H$3,0,0,'Données projet'!$E$17+1,1))</f>
        <v>268.71641789629319</v>
      </c>
      <c r="GF101" s="60">
        <f t="shared" si="104"/>
        <v>199.94048514486104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0.31869523322774296</v>
      </c>
      <c r="GN101" s="23">
        <f>EXP(-LN(2)/2)*GN100+(1-EXP(-LN(2)/2))/(LN(2)/2)*GH101*GK101*VLOOKUP('Données projet'!$B$17,Paramètres!$A$1:$I$89,3,0)*0.475*44/12</f>
        <v>4.0604006906448698E-10</v>
      </c>
      <c r="GO101" s="23">
        <f t="shared" si="81"/>
        <v>0.31869523363378305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-2.8421709430404007E-13</v>
      </c>
      <c r="GV101" s="18">
        <f>GU101*VLOOKUP('Données projet'!$B$18,Paramètres!$A$1:$I$89,3,0)*VLOOKUP('Données projet'!$B$18,Paramètres!$A$1:$I$89,5,0)</f>
        <v>-1.69961822393816E-13</v>
      </c>
      <c r="GW101" s="14" t="e">
        <f t="shared" si="105"/>
        <v>#NUM!</v>
      </c>
      <c r="GX101" s="22" t="e">
        <f t="shared" si="82"/>
        <v>#NUM!</v>
      </c>
      <c r="GY101" s="60" t="e">
        <f t="shared" si="83"/>
        <v>#NUM!</v>
      </c>
      <c r="GZ101" s="60">
        <f ca="1">AVERAGE(OFFSET($GY$3,0,0,'Données projet'!$E$18+1,1))-AVERAGE(OFFSET($H$3,0,0,'Données projet'!$E$18+1,1))</f>
        <v>289.12367833861299</v>
      </c>
      <c r="HA101" s="60">
        <f t="shared" si="106"/>
        <v>229.06617320689003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2.4137757008577752E-10</v>
      </c>
      <c r="HJ101" s="24">
        <f t="shared" si="84"/>
        <v>2.4137757008577752E-10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250.44863999999981</v>
      </c>
      <c r="P102" s="14">
        <f t="shared" si="87"/>
        <v>60.682000328889998</v>
      </c>
      <c r="Q102" s="22">
        <f t="shared" si="107"/>
        <v>541.885865239483</v>
      </c>
      <c r="R102" s="60">
        <f t="shared" si="55"/>
        <v>835.21919857281637</v>
      </c>
      <c r="S102" s="60">
        <f ca="1">AVERAGE(OFFSET($R$3,0,0,'Données projet'!$E$9+1,1))-AVERAGE(OFFSET($H$3,0,0,'Données projet'!$E$9+1,1))</f>
        <v>430.11660085503223</v>
      </c>
      <c r="T102" s="60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1.2710188457276673E-13</v>
      </c>
      <c r="AK102" s="14">
        <f t="shared" si="89"/>
        <v>1.856866851063998E-12</v>
      </c>
      <c r="AL102" s="22">
        <f t="shared" si="58"/>
        <v>3.4554122145673649E-12</v>
      </c>
      <c r="AM102" s="60">
        <f t="shared" si="59"/>
        <v>293.33333333333678</v>
      </c>
      <c r="AN102" s="60">
        <f ca="1">AVERAGE(OFFSET($AM$3,0,0,'Données projet'!$E$10+1,1))-AVERAGE(OFFSET($H$3,0,0,'Données projet'!$E$10+1,1))</f>
        <v>323.98185264074681</v>
      </c>
      <c r="AO102" s="60">
        <f t="shared" si="90"/>
        <v>301.22207291854005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1.1378936560150381</v>
      </c>
      <c r="AV102" s="23">
        <f>EXP(-LN(2)/25)*AV101+(1-EXP(-LN(2)/25))/(LN(2)/25)*Calculateur!AQ102*Calculateur!AS102*VLOOKUP('Données projet'!$B$10,Paramètres!$A$1:$I$89,3,0)*0.475*44/12</f>
        <v>1.2175000440909929</v>
      </c>
      <c r="AW102" s="23">
        <f>EXP(-LN(2)/2)*AW101+(1-EXP(-LN(2)/2))/(LN(2)/2)*AQ102*AT102*VLOOKUP('Données projet'!$B$10,Paramètres!$A$1:$I$89,3,0)*0.475*44/12</f>
        <v>2.5056824898720094E-10</v>
      </c>
      <c r="AX102" s="23">
        <f t="shared" si="60"/>
        <v>2.3553937003565997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7</v>
      </c>
      <c r="BD102" s="13">
        <f>IF('Données projet'!$A$88&gt;35,BD101+BC102-BL101,IF(A102&lt;'Données projet'!$A$88,$BA$205^A102,IF(A102='Données projet'!$A$88,'Données projet'!$B$88,BD101+BC102-BL101)))</f>
        <v>391.99999999999966</v>
      </c>
      <c r="BE102" s="14">
        <f>BD102*VLOOKUP('Données projet'!$B$11,Paramètres!$A$1:$I$89,3,0)*VLOOKUP('Données projet'!$B$11,Paramètres!$A$1:$I$89,5,0)</f>
        <v>336.33599999999973</v>
      </c>
      <c r="BF102" s="14">
        <f t="shared" si="91"/>
        <v>78.742464121990466</v>
      </c>
      <c r="BG102" s="22">
        <f t="shared" si="61"/>
        <v>722.9283250124663</v>
      </c>
      <c r="BH102" s="60">
        <f t="shared" si="62"/>
        <v>1016.2616583457996</v>
      </c>
      <c r="BI102" s="60">
        <f ca="1">AVERAGE(OFFSET($BH$3,0,0,'Données projet'!$E$11+1,1))-AVERAGE(OFFSET($H$3,0,0,'Données projet'!$E$11+1,1))</f>
        <v>556.75475431848258</v>
      </c>
      <c r="BJ102" s="60">
        <f t="shared" si="92"/>
        <v>256.77417912163997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3.4106051316484809E-13</v>
      </c>
      <c r="BZ102" s="14">
        <f>BY102*VLOOKUP('Données projet'!$B$12,Paramètres!$A$1:$I$89,3,0)*VLOOKUP('Données projet'!$B$12,Paramètres!$A$1:$I$89,5,0)</f>
        <v>2.5006556825246659E-13</v>
      </c>
      <c r="CA102" s="14">
        <f t="shared" si="93"/>
        <v>3.3765445850268018E-12</v>
      </c>
      <c r="CB102" s="22">
        <f t="shared" si="64"/>
        <v>6.3163460169613921E-12</v>
      </c>
      <c r="CC102" s="60">
        <f t="shared" si="65"/>
        <v>293.33333333333962</v>
      </c>
      <c r="CD102" s="60">
        <f ca="1">AVERAGE(OFFSET($CC$3,0,0,'Données projet'!$E$12+1,1))-AVERAGE(OFFSET($H$3,0,0,'Données projet'!$E$12+1,1))</f>
        <v>290.68086183422963</v>
      </c>
      <c r="CE102" s="60">
        <f t="shared" si="94"/>
        <v>317.88330630101785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1.9895196601282805E-13</v>
      </c>
      <c r="CU102" s="18">
        <f>CT102*VLOOKUP('Données projet'!$B$13,Paramètres!$A$1:$I$89,3,0)*VLOOKUP('Données projet'!$B$13,Paramètres!$A$1:$I$89,5,0)</f>
        <v>1.3035332813160495E-13</v>
      </c>
      <c r="CV102" s="14">
        <f t="shared" si="95"/>
        <v>1.8987770485018903E-12</v>
      </c>
      <c r="CW102" s="22">
        <f t="shared" si="67"/>
        <v>3.5340687393033375E-12</v>
      </c>
      <c r="CX102" s="60">
        <f t="shared" si="68"/>
        <v>293.33333333333684</v>
      </c>
      <c r="CY102" s="60">
        <f ca="1">AVERAGE(OFFSET($CX$3,0,0,'Données projet'!$E$13+1,1))-AVERAGE(OFFSET($H$3,0,0,'Données projet'!$E$13+1,1))</f>
        <v>243.04319555814601</v>
      </c>
      <c r="CZ102" s="60">
        <f t="shared" si="96"/>
        <v>235.68746142880792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0" t="e">
        <f t="shared" si="71"/>
        <v>#NUM!</v>
      </c>
      <c r="DT102" s="60">
        <f ca="1">AVERAGE(OFFSET($DS$3,0,0,'Données projet'!$E$14+1,1))-AVERAGE(OFFSET($H$3,0,0,'Données projet'!$E$14+1,1))</f>
        <v>201.4732637505823</v>
      </c>
      <c r="DU102" s="60">
        <f t="shared" si="98"/>
        <v>342.06887933351783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1.6844444882933129</v>
      </c>
      <c r="EB102" s="23">
        <f>EXP(-LN(2)/25)*EB101+(1-EXP(-LN(2)/25))/(LN(2)/25)*Calculateur!DW102*Calculateur!DY102*VLOOKUP('Données projet'!$B$14,Paramètres!$A$1:$I$89,3,0)*0.475*44/12</f>
        <v>3.9034685996072511</v>
      </c>
      <c r="EC102" s="23">
        <f>EXP(-LN(2)/2)*EC101+(1-EXP(-LN(2)/2))/(LN(2)/2)*DW102*DZ102*VLOOKUP('Données projet'!$B$14,Paramètres!$A$1:$I$89,3,0)*0.475*44/12</f>
        <v>5.5141401216009174E-10</v>
      </c>
      <c r="ED102" s="24">
        <f t="shared" si="72"/>
        <v>5.5879130884519777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-3.4106051316484809E-13</v>
      </c>
      <c r="EK102" s="18">
        <f>EJ102*VLOOKUP('Données projet'!$B$15,Paramètres!$A$1:$I$89,3,0)*VLOOKUP('Données projet'!$B$15,Paramètres!$A$1:$I$89,5,0)</f>
        <v>-2.0395418687257919E-13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260.01925143568263</v>
      </c>
      <c r="EP102" s="60">
        <f t="shared" si="100"/>
        <v>269.95358755269427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3.6239227305128323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3.6239227305128323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-1.1368683772161603E-13</v>
      </c>
      <c r="FF102" s="18">
        <f>FE102*VLOOKUP('Données projet'!$B$16,Paramètres!$A$1:$I$89,3,0)*VLOOKUP('Données projet'!$B$16,Paramètres!$A$1:$I$89,5,0)</f>
        <v>-9.2222762759774927E-14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256.19915261735281</v>
      </c>
      <c r="FK102" s="60">
        <f t="shared" si="102"/>
        <v>297.47246687305056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4.1123076923076898</v>
      </c>
      <c r="FZ102" s="13">
        <f>IF('Données projet'!$A$244&gt;35,FZ101+FY102-GH101,IF(A102&lt;'Données projet'!$A$244,$FW$205^A102,IF(A102='Données projet'!$A$244,'Données projet'!$B$244,FZ101+FY102-GH101)))</f>
        <v>319.05692307692311</v>
      </c>
      <c r="GA102" s="18">
        <f>FZ102*VLOOKUP('Données projet'!$B$17,Paramètres!$A$1:$I$89,3,0)*VLOOKUP('Données projet'!$B$17,Paramètres!$A$1:$I$89,5,0)</f>
        <v>182.50056000000001</v>
      </c>
      <c r="GB102" s="14">
        <f t="shared" si="103"/>
        <v>45.87806720522542</v>
      </c>
      <c r="GC102" s="22">
        <f t="shared" si="79"/>
        <v>397.75944238243432</v>
      </c>
      <c r="GD102" s="60">
        <f t="shared" si="80"/>
        <v>691.09277571576763</v>
      </c>
      <c r="GE102" s="60">
        <f ca="1">AVERAGE(OFFSET($GD$3,0,0,'Données projet'!$E$17+1,1))-AVERAGE(OFFSET($H$3,0,0,'Données projet'!$E$17+1,1))</f>
        <v>268.71641789629319</v>
      </c>
      <c r="GF102" s="60">
        <f t="shared" si="104"/>
        <v>199.94048514486104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0.3099804953156764</v>
      </c>
      <c r="GN102" s="23">
        <f>EXP(-LN(2)/2)*GN101+(1-EXP(-LN(2)/2))/(LN(2)/2)*GH102*GK102*VLOOKUP('Données projet'!$B$17,Paramètres!$A$1:$I$89,3,0)*0.475*44/12</f>
        <v>2.8711368626895284E-10</v>
      </c>
      <c r="GO102" s="23">
        <f t="shared" si="81"/>
        <v>0.30998049560279006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-2.8421709430404007E-13</v>
      </c>
      <c r="GV102" s="18">
        <f>GU102*VLOOKUP('Données projet'!$B$18,Paramètres!$A$1:$I$89,3,0)*VLOOKUP('Données projet'!$B$18,Paramètres!$A$1:$I$89,5,0)</f>
        <v>-1.69961822393816E-13</v>
      </c>
      <c r="GW102" s="14" t="e">
        <f t="shared" si="105"/>
        <v>#NUM!</v>
      </c>
      <c r="GX102" s="22" t="e">
        <f t="shared" si="82"/>
        <v>#NUM!</v>
      </c>
      <c r="GY102" s="60" t="e">
        <f t="shared" si="83"/>
        <v>#NUM!</v>
      </c>
      <c r="GZ102" s="60">
        <f ca="1">AVERAGE(OFFSET($GY$3,0,0,'Données projet'!$E$18+1,1))-AVERAGE(OFFSET($H$3,0,0,'Données projet'!$E$18+1,1))</f>
        <v>289.12367833861299</v>
      </c>
      <c r="HA102" s="60">
        <f t="shared" si="106"/>
        <v>229.06617320689003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1.7067971663398443E-10</v>
      </c>
      <c r="HJ102" s="24">
        <f t="shared" si="84"/>
        <v>1.7067971663398443E-10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254.7011999999998</v>
      </c>
      <c r="P103" s="14">
        <f t="shared" si="87"/>
        <v>61.591537947915171</v>
      </c>
      <c r="Q103" s="22">
        <f t="shared" si="107"/>
        <v>550.87651859261859</v>
      </c>
      <c r="R103" s="60">
        <f t="shared" si="55"/>
        <v>844.20985192595185</v>
      </c>
      <c r="S103" s="60">
        <f ca="1">AVERAGE(OFFSET($R$3,0,0,'Données projet'!$E$9+1,1))-AVERAGE(OFFSET($H$3,0,0,'Données projet'!$E$9+1,1))</f>
        <v>430.11660085503223</v>
      </c>
      <c r="T103" s="60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1.2710188457276673E-13</v>
      </c>
      <c r="AK103" s="14">
        <f t="shared" si="89"/>
        <v>1.856866851063998E-12</v>
      </c>
      <c r="AL103" s="22">
        <f t="shared" si="58"/>
        <v>3.4554122145673649E-12</v>
      </c>
      <c r="AM103" s="60">
        <f t="shared" si="59"/>
        <v>293.33333333333678</v>
      </c>
      <c r="AN103" s="60">
        <f ca="1">AVERAGE(OFFSET($AM$3,0,0,'Données projet'!$E$10+1,1))-AVERAGE(OFFSET($H$3,0,0,'Données projet'!$E$10+1,1))</f>
        <v>323.98185264074681</v>
      </c>
      <c r="AO103" s="60">
        <f t="shared" si="90"/>
        <v>301.22207291854005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1.1155802554671819</v>
      </c>
      <c r="AV103" s="23">
        <f>EXP(-LN(2)/25)*AV102+(1-EXP(-LN(2)/25))/(LN(2)/25)*Calculateur!AQ103*Calculateur!AS103*VLOOKUP('Données projet'!$B$10,Paramètres!$A$1:$I$89,3,0)*0.475*44/12</f>
        <v>1.1842074413597801</v>
      </c>
      <c r="AW103" s="23">
        <f>EXP(-LN(2)/2)*AW102+(1-EXP(-LN(2)/2))/(LN(2)/2)*AQ103*AT103*VLOOKUP('Données projet'!$B$10,Paramètres!$A$1:$I$89,3,0)*0.475*44/12</f>
        <v>1.7717850800888906E-10</v>
      </c>
      <c r="AX103" s="23">
        <f t="shared" si="60"/>
        <v>2.2997876970041404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7</v>
      </c>
      <c r="BD103" s="13">
        <f>IF('Données projet'!$A$88&gt;35,BD102+BC103-BL102,IF(A103&lt;'Données projet'!$A$88,$BA$205^A103,IF(A103='Données projet'!$A$88,'Données projet'!$B$88,BD102+BC103-BL102)))</f>
        <v>398.99999999999966</v>
      </c>
      <c r="BE103" s="14">
        <f>BD103*VLOOKUP('Données projet'!$B$11,Paramètres!$A$1:$I$89,3,0)*VLOOKUP('Données projet'!$B$11,Paramètres!$A$1:$I$89,5,0)</f>
        <v>342.3419999999997</v>
      </c>
      <c r="BF103" s="14">
        <f t="shared" si="91"/>
        <v>79.98362496323098</v>
      </c>
      <c r="BG103" s="22">
        <f t="shared" si="61"/>
        <v>735.55046347762664</v>
      </c>
      <c r="BH103" s="60">
        <f t="shared" si="62"/>
        <v>1028.8837968109599</v>
      </c>
      <c r="BI103" s="60">
        <f ca="1">AVERAGE(OFFSET($BH$3,0,0,'Données projet'!$E$11+1,1))-AVERAGE(OFFSET($H$3,0,0,'Données projet'!$E$11+1,1))</f>
        <v>556.75475431848258</v>
      </c>
      <c r="BJ103" s="60">
        <f t="shared" si="92"/>
        <v>256.77417912163997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3.4106051316484809E-13</v>
      </c>
      <c r="BZ103" s="14">
        <f>BY103*VLOOKUP('Données projet'!$B$12,Paramètres!$A$1:$I$89,3,0)*VLOOKUP('Données projet'!$B$12,Paramètres!$A$1:$I$89,5,0)</f>
        <v>2.5006556825246659E-13</v>
      </c>
      <c r="CA103" s="14">
        <f t="shared" si="93"/>
        <v>3.3765445850268018E-12</v>
      </c>
      <c r="CB103" s="22">
        <f t="shared" si="64"/>
        <v>6.3163460169613921E-12</v>
      </c>
      <c r="CC103" s="60">
        <f t="shared" si="65"/>
        <v>293.33333333333962</v>
      </c>
      <c r="CD103" s="60">
        <f ca="1">AVERAGE(OFFSET($CC$3,0,0,'Données projet'!$E$12+1,1))-AVERAGE(OFFSET($H$3,0,0,'Données projet'!$E$12+1,1))</f>
        <v>290.68086183422963</v>
      </c>
      <c r="CE103" s="60">
        <f t="shared" si="94"/>
        <v>317.88330630101785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1.9895196601282805E-13</v>
      </c>
      <c r="CU103" s="18">
        <f>CT103*VLOOKUP('Données projet'!$B$13,Paramètres!$A$1:$I$89,3,0)*VLOOKUP('Données projet'!$B$13,Paramètres!$A$1:$I$89,5,0)</f>
        <v>1.3035332813160495E-13</v>
      </c>
      <c r="CV103" s="14">
        <f t="shared" si="95"/>
        <v>1.8987770485018903E-12</v>
      </c>
      <c r="CW103" s="22">
        <f t="shared" si="67"/>
        <v>3.5340687393033375E-12</v>
      </c>
      <c r="CX103" s="60">
        <f t="shared" si="68"/>
        <v>293.33333333333684</v>
      </c>
      <c r="CY103" s="60">
        <f ca="1">AVERAGE(OFFSET($CX$3,0,0,'Données projet'!$E$13+1,1))-AVERAGE(OFFSET($H$3,0,0,'Données projet'!$E$13+1,1))</f>
        <v>243.04319555814601</v>
      </c>
      <c r="CZ103" s="60">
        <f t="shared" si="96"/>
        <v>235.68746142880792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0" t="e">
        <f t="shared" si="71"/>
        <v>#NUM!</v>
      </c>
      <c r="DT103" s="60">
        <f ca="1">AVERAGE(OFFSET($DS$3,0,0,'Données projet'!$E$14+1,1))-AVERAGE(OFFSET($H$3,0,0,'Données projet'!$E$14+1,1))</f>
        <v>201.4732637505823</v>
      </c>
      <c r="DU103" s="60">
        <f t="shared" si="98"/>
        <v>342.06887933351783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1.6514135592875707</v>
      </c>
      <c r="EB103" s="23">
        <f>EXP(-LN(2)/25)*EB102+(1-EXP(-LN(2)/25))/(LN(2)/25)*Calculateur!DW103*Calculateur!DY103*VLOOKUP('Données projet'!$B$14,Paramètres!$A$1:$I$89,3,0)*0.475*44/12</f>
        <v>3.7967280454764989</v>
      </c>
      <c r="EC103" s="23">
        <f>EXP(-LN(2)/2)*EC102+(1-EXP(-LN(2)/2))/(LN(2)/2)*DW103*DZ103*VLOOKUP('Données projet'!$B$14,Paramètres!$A$1:$I$89,3,0)*0.475*44/12</f>
        <v>3.8990858723968224E-10</v>
      </c>
      <c r="ED103" s="24">
        <f t="shared" si="72"/>
        <v>5.4481416051539782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-3.4106051316484809E-13</v>
      </c>
      <c r="EK103" s="18">
        <f>EJ103*VLOOKUP('Données projet'!$B$15,Paramètres!$A$1:$I$89,3,0)*VLOOKUP('Données projet'!$B$15,Paramètres!$A$1:$I$89,5,0)</f>
        <v>-2.0395418687257919E-13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260.01925143568263</v>
      </c>
      <c r="EP103" s="60">
        <f t="shared" si="100"/>
        <v>269.95358755269427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3.5528598161420848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3.5528598161420848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-9.2222762759774927E-14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256.19915261735281</v>
      </c>
      <c r="FK103" s="60">
        <f t="shared" si="102"/>
        <v>297.47246687305056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323.16923076923075</v>
      </c>
      <c r="FX103" s="13">
        <f>VLOOKUP(A103,'Données projet'!$A$243:$I$263,9,0)</f>
        <v>4.1123076923076898</v>
      </c>
      <c r="FY103" s="13">
        <f t="array" ref="FY103">INDEX(FX:FX,MIN(IF(ISNUMBER(FX103:FX299),ROW(FX103:FX299),"")))</f>
        <v>4.1123076923076898</v>
      </c>
      <c r="FZ103" s="13">
        <f>IF('Données projet'!$A$244&gt;35,FZ102+FY103-GH102,IF(A103&lt;'Données projet'!$A$244,$FW$205^A103,IF(A103='Données projet'!$A$244,'Données projet'!$B$244,FZ102+FY103-GH102)))</f>
        <v>323.16923076923081</v>
      </c>
      <c r="GA103" s="18">
        <f>FZ103*VLOOKUP('Données projet'!$B$17,Paramètres!$A$1:$I$89,3,0)*VLOOKUP('Données projet'!$B$17,Paramètres!$A$1:$I$89,5,0)</f>
        <v>184.85280000000003</v>
      </c>
      <c r="GB103" s="14">
        <f t="shared" si="103"/>
        <v>46.400167454562798</v>
      </c>
      <c r="GC103" s="22">
        <f t="shared" si="79"/>
        <v>402.76558498336357</v>
      </c>
      <c r="GD103" s="60">
        <f t="shared" si="80"/>
        <v>696.09891831669688</v>
      </c>
      <c r="GE103" s="60">
        <f ca="1">AVERAGE(OFFSET($GD$3,0,0,'Données projet'!$E$17+1,1))-AVERAGE(OFFSET($H$3,0,0,'Données projet'!$E$17+1,1))</f>
        <v>268.71641789629319</v>
      </c>
      <c r="GF103" s="60">
        <f t="shared" si="104"/>
        <v>199.94048514486104</v>
      </c>
      <c r="GG103" s="16">
        <f>IF(ISNA(VLOOKUP(A103,'Données projet'!$A$243:$I$263,3,0)),0,VLOOKUP(A103,'Données projet'!$A$243:$I$263,3,0))</f>
        <v>10</v>
      </c>
      <c r="GH103" s="16">
        <f>IF(ISNA(VLOOKUP(A103,'Données projet'!$A$243:$I$263,4,0)),0,VLOOKUP(A103,'Données projet'!$A$243:$I$263,4,0))</f>
        <v>190.88461538461539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0.30150406237010346</v>
      </c>
      <c r="GN103" s="23">
        <f>EXP(-LN(2)/2)*GN102+(1-EXP(-LN(2)/2))/(LN(2)/2)*GH103*GK103*VLOOKUP('Données projet'!$B$17,Paramètres!$A$1:$I$89,3,0)*0.475*44/12</f>
        <v>2.0302003453224349E-10</v>
      </c>
      <c r="GO103" s="23">
        <f t="shared" si="81"/>
        <v>0.30150406257312351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-2.8421709430404007E-13</v>
      </c>
      <c r="GV103" s="18">
        <f>GU103*VLOOKUP('Données projet'!$B$18,Paramètres!$A$1:$I$89,3,0)*VLOOKUP('Données projet'!$B$18,Paramètres!$A$1:$I$89,5,0)</f>
        <v>-1.69961822393816E-13</v>
      </c>
      <c r="GW103" s="14" t="e">
        <f t="shared" si="105"/>
        <v>#NUM!</v>
      </c>
      <c r="GX103" s="22" t="e">
        <f t="shared" si="82"/>
        <v>#NUM!</v>
      </c>
      <c r="GY103" s="60" t="e">
        <f t="shared" si="83"/>
        <v>#NUM!</v>
      </c>
      <c r="GZ103" s="60">
        <f ca="1">AVERAGE(OFFSET($GY$3,0,0,'Données projet'!$E$18+1,1))-AVERAGE(OFFSET($H$3,0,0,'Données projet'!$E$18+1,1))</f>
        <v>289.12367833861299</v>
      </c>
      <c r="HA103" s="60">
        <f t="shared" si="106"/>
        <v>229.06617320689003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1.2068878504288876E-10</v>
      </c>
      <c r="HJ103" s="24">
        <f t="shared" si="84"/>
        <v>1.2068878504288876E-10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258.95375999999976</v>
      </c>
      <c r="P104" s="14">
        <f t="shared" si="87"/>
        <v>62.499309559645262</v>
      </c>
      <c r="Q104" s="22">
        <f t="shared" si="107"/>
        <v>559.86409614971501</v>
      </c>
      <c r="R104" s="60">
        <f t="shared" si="55"/>
        <v>853.19742948304838</v>
      </c>
      <c r="S104" s="60">
        <f ca="1">AVERAGE(OFFSET($R$3,0,0,'Données projet'!$E$9+1,1))-AVERAGE(OFFSET($H$3,0,0,'Données projet'!$E$9+1,1))</f>
        <v>430.11660085503223</v>
      </c>
      <c r="T104" s="60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1.2710188457276673E-13</v>
      </c>
      <c r="AK104" s="14">
        <f t="shared" si="89"/>
        <v>1.856866851063998E-12</v>
      </c>
      <c r="AL104" s="22">
        <f t="shared" si="58"/>
        <v>3.4554122145673649E-12</v>
      </c>
      <c r="AM104" s="60">
        <f t="shared" si="59"/>
        <v>293.33333333333678</v>
      </c>
      <c r="AN104" s="60">
        <f ca="1">AVERAGE(OFFSET($AM$3,0,0,'Données projet'!$E$10+1,1))-AVERAGE(OFFSET($H$3,0,0,'Données projet'!$E$10+1,1))</f>
        <v>323.98185264074681</v>
      </c>
      <c r="AO104" s="60">
        <f t="shared" si="90"/>
        <v>301.22207291854005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1.0937044070942388</v>
      </c>
      <c r="AV104" s="23">
        <f>EXP(-LN(2)/25)*AV103+(1-EXP(-LN(2)/25))/(LN(2)/25)*Calculateur!AQ104*Calculateur!AS104*VLOOKUP('Données projet'!$B$10,Paramètres!$A$1:$I$89,3,0)*0.475*44/12</f>
        <v>1.151825226601034</v>
      </c>
      <c r="AW104" s="23">
        <f>EXP(-LN(2)/2)*AW103+(1-EXP(-LN(2)/2))/(LN(2)/2)*AQ104*AT104*VLOOKUP('Données projet'!$B$10,Paramètres!$A$1:$I$89,3,0)*0.475*44/12</f>
        <v>1.2528412449360047E-10</v>
      </c>
      <c r="AX104" s="23">
        <f t="shared" si="60"/>
        <v>2.2455296338205568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7</v>
      </c>
      <c r="BD104" s="13">
        <f>IF('Données projet'!$A$88&gt;35,BD103+BC104-BL103,IF(A104&lt;'Données projet'!$A$88,$BA$205^A104,IF(A104='Données projet'!$A$88,'Données projet'!$B$88,BD103+BC104-BL103)))</f>
        <v>405.99999999999966</v>
      </c>
      <c r="BE104" s="14">
        <f>BD104*VLOOKUP('Données projet'!$B$11,Paramètres!$A$1:$I$89,3,0)*VLOOKUP('Données projet'!$B$11,Paramètres!$A$1:$I$89,5,0)</f>
        <v>348.34799999999979</v>
      </c>
      <c r="BF104" s="14">
        <f t="shared" si="91"/>
        <v>81.22225367224263</v>
      </c>
      <c r="BG104" s="22">
        <f t="shared" si="61"/>
        <v>748.16819181248877</v>
      </c>
      <c r="BH104" s="60">
        <f t="shared" si="62"/>
        <v>1041.5015251458221</v>
      </c>
      <c r="BI104" s="60">
        <f ca="1">AVERAGE(OFFSET($BH$3,0,0,'Données projet'!$E$11+1,1))-AVERAGE(OFFSET($H$3,0,0,'Données projet'!$E$11+1,1))</f>
        <v>556.75475431848258</v>
      </c>
      <c r="BJ104" s="60">
        <f t="shared" si="92"/>
        <v>256.77417912163997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3.4106051316484809E-13</v>
      </c>
      <c r="BZ104" s="14">
        <f>BY104*VLOOKUP('Données projet'!$B$12,Paramètres!$A$1:$I$89,3,0)*VLOOKUP('Données projet'!$B$12,Paramètres!$A$1:$I$89,5,0)</f>
        <v>2.5006556825246659E-13</v>
      </c>
      <c r="CA104" s="14">
        <f t="shared" si="93"/>
        <v>3.3765445850268018E-12</v>
      </c>
      <c r="CB104" s="22">
        <f t="shared" si="64"/>
        <v>6.3163460169613921E-12</v>
      </c>
      <c r="CC104" s="60">
        <f t="shared" si="65"/>
        <v>293.33333333333962</v>
      </c>
      <c r="CD104" s="60">
        <f ca="1">AVERAGE(OFFSET($CC$3,0,0,'Données projet'!$E$12+1,1))-AVERAGE(OFFSET($H$3,0,0,'Données projet'!$E$12+1,1))</f>
        <v>290.68086183422963</v>
      </c>
      <c r="CE104" s="60">
        <f t="shared" si="94"/>
        <v>317.88330630101785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1.9895196601282805E-13</v>
      </c>
      <c r="CU104" s="18">
        <f>CT104*VLOOKUP('Données projet'!$B$13,Paramètres!$A$1:$I$89,3,0)*VLOOKUP('Données projet'!$B$13,Paramètres!$A$1:$I$89,5,0)</f>
        <v>1.3035332813160495E-13</v>
      </c>
      <c r="CV104" s="14">
        <f t="shared" si="95"/>
        <v>1.8987770485018903E-12</v>
      </c>
      <c r="CW104" s="22">
        <f t="shared" si="67"/>
        <v>3.5340687393033375E-12</v>
      </c>
      <c r="CX104" s="60">
        <f t="shared" si="68"/>
        <v>293.33333333333684</v>
      </c>
      <c r="CY104" s="60">
        <f ca="1">AVERAGE(OFFSET($CX$3,0,0,'Données projet'!$E$13+1,1))-AVERAGE(OFFSET($H$3,0,0,'Données projet'!$E$13+1,1))</f>
        <v>243.04319555814601</v>
      </c>
      <c r="CZ104" s="60">
        <f t="shared" si="96"/>
        <v>235.68746142880792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0" t="e">
        <f t="shared" si="71"/>
        <v>#NUM!</v>
      </c>
      <c r="DT104" s="60">
        <f ca="1">AVERAGE(OFFSET($DS$3,0,0,'Données projet'!$E$14+1,1))-AVERAGE(OFFSET($H$3,0,0,'Données projet'!$E$14+1,1))</f>
        <v>201.4732637505823</v>
      </c>
      <c r="DU104" s="60">
        <f t="shared" si="98"/>
        <v>342.06887933351783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1.6190303466527536</v>
      </c>
      <c r="EB104" s="23">
        <f>EXP(-LN(2)/25)*EB103+(1-EXP(-LN(2)/25))/(LN(2)/25)*Calculateur!DW104*Calculateur!DY104*VLOOKUP('Données projet'!$B$14,Paramètres!$A$1:$I$89,3,0)*0.475*44/12</f>
        <v>3.6929063174116936</v>
      </c>
      <c r="EC104" s="23">
        <f>EXP(-LN(2)/2)*EC103+(1-EXP(-LN(2)/2))/(LN(2)/2)*DW104*DZ104*VLOOKUP('Données projet'!$B$14,Paramètres!$A$1:$I$89,3,0)*0.475*44/12</f>
        <v>2.7570700608004587E-10</v>
      </c>
      <c r="ED104" s="24">
        <f t="shared" si="72"/>
        <v>5.3119366643401538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-3.4106051316484809E-13</v>
      </c>
      <c r="EK104" s="18">
        <f>EJ104*VLOOKUP('Données projet'!$B$15,Paramètres!$A$1:$I$89,3,0)*VLOOKUP('Données projet'!$B$15,Paramètres!$A$1:$I$89,5,0)</f>
        <v>-2.0395418687257919E-13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260.01925143568263</v>
      </c>
      <c r="EP104" s="60">
        <f t="shared" si="100"/>
        <v>269.95358755269427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3.48319040217805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3.48319040217805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-9.2222762759774927E-14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256.19915261735281</v>
      </c>
      <c r="FK104" s="60">
        <f t="shared" si="102"/>
        <v>297.47246687305056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2.0897435897436005</v>
      </c>
      <c r="FZ104" s="13">
        <f>IF('Données projet'!$A$244&gt;35,FZ103+FY104-GH103,IF(A104&lt;'Données projet'!$A$244,$FW$205^A104,IF(A104='Données projet'!$A$244,'Données projet'!$B$244,FZ103+FY104-GH103)))</f>
        <v>134.37435897435901</v>
      </c>
      <c r="GA104" s="18">
        <f>FZ104*VLOOKUP('Données projet'!$B$17,Paramètres!$A$1:$I$89,3,0)*VLOOKUP('Données projet'!$B$17,Paramètres!$A$1:$I$89,5,0)</f>
        <v>76.862133333333361</v>
      </c>
      <c r="GB104" s="14">
        <f t="shared" si="103"/>
        <v>21.368181888669618</v>
      </c>
      <c r="GC104" s="22">
        <f t="shared" si="79"/>
        <v>171.08446567832186</v>
      </c>
      <c r="GD104" s="60">
        <f t="shared" si="80"/>
        <v>464.41779901165518</v>
      </c>
      <c r="GE104" s="60">
        <f ca="1">AVERAGE(OFFSET($GD$3,0,0,'Données projet'!$E$17+1,1))-AVERAGE(OFFSET($H$3,0,0,'Données projet'!$E$17+1,1))</f>
        <v>268.71641789629319</v>
      </c>
      <c r="GF104" s="60">
        <f t="shared" si="104"/>
        <v>199.94048514486104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0.29325941792918342</v>
      </c>
      <c r="GN104" s="23">
        <f>EXP(-LN(2)/2)*GN103+(1-EXP(-LN(2)/2))/(LN(2)/2)*GH104*GK104*VLOOKUP('Données projet'!$B$17,Paramètres!$A$1:$I$89,3,0)*0.475*44/12</f>
        <v>1.4355684313447642E-10</v>
      </c>
      <c r="GO104" s="23">
        <f t="shared" si="81"/>
        <v>0.29325941807274025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-2.8421709430404007E-13</v>
      </c>
      <c r="GV104" s="18">
        <f>GU104*VLOOKUP('Données projet'!$B$18,Paramètres!$A$1:$I$89,3,0)*VLOOKUP('Données projet'!$B$18,Paramètres!$A$1:$I$89,5,0)</f>
        <v>-1.69961822393816E-13</v>
      </c>
      <c r="GW104" s="14" t="e">
        <f t="shared" si="105"/>
        <v>#NUM!</v>
      </c>
      <c r="GX104" s="22" t="e">
        <f t="shared" si="82"/>
        <v>#NUM!</v>
      </c>
      <c r="GY104" s="60" t="e">
        <f t="shared" si="83"/>
        <v>#NUM!</v>
      </c>
      <c r="GZ104" s="60">
        <f ca="1">AVERAGE(OFFSET($GY$3,0,0,'Données projet'!$E$18+1,1))-AVERAGE(OFFSET($H$3,0,0,'Données projet'!$E$18+1,1))</f>
        <v>289.12367833861299</v>
      </c>
      <c r="HA104" s="60">
        <f t="shared" si="106"/>
        <v>229.06617320689003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8.5339858316992214E-11</v>
      </c>
      <c r="HJ104" s="24">
        <f t="shared" si="84"/>
        <v>8.5339858316992214E-11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263.20631999999978</v>
      </c>
      <c r="P105" s="14">
        <f t="shared" si="87"/>
        <v>63.405347513378558</v>
      </c>
      <c r="Q105" s="22">
        <f t="shared" si="107"/>
        <v>568.84865425246721</v>
      </c>
      <c r="R105" s="60">
        <f t="shared" si="55"/>
        <v>862.18198758580047</v>
      </c>
      <c r="S105" s="60">
        <f ca="1">AVERAGE(OFFSET($R$3,0,0,'Données projet'!$E$9+1,1))-AVERAGE(OFFSET($H$3,0,0,'Données projet'!$E$9+1,1))</f>
        <v>430.11660085503223</v>
      </c>
      <c r="T105" s="60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1.2710188457276673E-13</v>
      </c>
      <c r="AK105" s="14">
        <f t="shared" si="89"/>
        <v>1.856866851063998E-12</v>
      </c>
      <c r="AL105" s="22">
        <f t="shared" si="58"/>
        <v>3.4554122145673649E-12</v>
      </c>
      <c r="AM105" s="60">
        <f t="shared" si="59"/>
        <v>293.33333333333678</v>
      </c>
      <c r="AN105" s="60">
        <f ca="1">AVERAGE(OFFSET($AM$3,0,0,'Données projet'!$E$10+1,1))-AVERAGE(OFFSET($H$3,0,0,'Données projet'!$E$10+1,1))</f>
        <v>323.98185264074681</v>
      </c>
      <c r="AO105" s="60">
        <f t="shared" si="90"/>
        <v>301.22207291854005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1.0722575307649391</v>
      </c>
      <c r="AV105" s="23">
        <f>EXP(-LN(2)/25)*AV104+(1-EXP(-LN(2)/25))/(LN(2)/25)*Calculateur!AQ105*Calculateur!AS105*VLOOKUP('Données projet'!$B$10,Paramètres!$A$1:$I$89,3,0)*0.475*44/12</f>
        <v>1.1203285052077727</v>
      </c>
      <c r="AW105" s="23">
        <f>EXP(-LN(2)/2)*AW104+(1-EXP(-LN(2)/2))/(LN(2)/2)*AQ105*AT105*VLOOKUP('Données projet'!$B$10,Paramètres!$A$1:$I$89,3,0)*0.475*44/12</f>
        <v>8.8589254004444529E-11</v>
      </c>
      <c r="AX105" s="23">
        <f t="shared" si="60"/>
        <v>2.192586036061301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7</v>
      </c>
      <c r="BD105" s="13">
        <f>IF('Données projet'!$A$88&gt;35,BD104+BC105-BL104,IF(A105&lt;'Données projet'!$A$88,$BA$205^A105,IF(A105='Données projet'!$A$88,'Données projet'!$B$88,BD104+BC105-BL104)))</f>
        <v>412.99999999999966</v>
      </c>
      <c r="BE105" s="14">
        <f>BD105*VLOOKUP('Données projet'!$B$11,Paramètres!$A$1:$I$89,3,0)*VLOOKUP('Données projet'!$B$11,Paramètres!$A$1:$I$89,5,0)</f>
        <v>354.35399999999976</v>
      </c>
      <c r="BF105" s="14">
        <f t="shared" si="91"/>
        <v>82.458398944193249</v>
      </c>
      <c r="BG105" s="22">
        <f t="shared" si="61"/>
        <v>760.78159482780268</v>
      </c>
      <c r="BH105" s="60">
        <f t="shared" si="62"/>
        <v>1054.114928161136</v>
      </c>
      <c r="BI105" s="60">
        <f ca="1">AVERAGE(OFFSET($BH$3,0,0,'Données projet'!$E$11+1,1))-AVERAGE(OFFSET($H$3,0,0,'Données projet'!$E$11+1,1))</f>
        <v>556.75475431848258</v>
      </c>
      <c r="BJ105" s="60">
        <f t="shared" si="92"/>
        <v>256.77417912163997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3.4106051316484809E-13</v>
      </c>
      <c r="BZ105" s="14">
        <f>BY105*VLOOKUP('Données projet'!$B$12,Paramètres!$A$1:$I$89,3,0)*VLOOKUP('Données projet'!$B$12,Paramètres!$A$1:$I$89,5,0)</f>
        <v>2.5006556825246659E-13</v>
      </c>
      <c r="CA105" s="14">
        <f t="shared" si="93"/>
        <v>3.3765445850268018E-12</v>
      </c>
      <c r="CB105" s="22">
        <f t="shared" si="64"/>
        <v>6.3163460169613921E-12</v>
      </c>
      <c r="CC105" s="60">
        <f t="shared" si="65"/>
        <v>293.33333333333962</v>
      </c>
      <c r="CD105" s="60">
        <f ca="1">AVERAGE(OFFSET($CC$3,0,0,'Données projet'!$E$12+1,1))-AVERAGE(OFFSET($H$3,0,0,'Données projet'!$E$12+1,1))</f>
        <v>290.68086183422963</v>
      </c>
      <c r="CE105" s="60">
        <f t="shared" si="94"/>
        <v>317.88330630101785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1.9895196601282805E-13</v>
      </c>
      <c r="CU105" s="18">
        <f>CT105*VLOOKUP('Données projet'!$B$13,Paramètres!$A$1:$I$89,3,0)*VLOOKUP('Données projet'!$B$13,Paramètres!$A$1:$I$89,5,0)</f>
        <v>1.3035332813160495E-13</v>
      </c>
      <c r="CV105" s="14">
        <f t="shared" si="95"/>
        <v>1.8987770485018903E-12</v>
      </c>
      <c r="CW105" s="22">
        <f t="shared" si="67"/>
        <v>3.5340687393033375E-12</v>
      </c>
      <c r="CX105" s="60">
        <f t="shared" si="68"/>
        <v>293.33333333333684</v>
      </c>
      <c r="CY105" s="60">
        <f ca="1">AVERAGE(OFFSET($CX$3,0,0,'Données projet'!$E$13+1,1))-AVERAGE(OFFSET($H$3,0,0,'Données projet'!$E$13+1,1))</f>
        <v>243.04319555814601</v>
      </c>
      <c r="CZ105" s="60">
        <f t="shared" si="96"/>
        <v>235.68746142880792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0" t="e">
        <f t="shared" si="71"/>
        <v>#NUM!</v>
      </c>
      <c r="DT105" s="60">
        <f ca="1">AVERAGE(OFFSET($DS$3,0,0,'Données projet'!$E$14+1,1))-AVERAGE(OFFSET($H$3,0,0,'Données projet'!$E$14+1,1))</f>
        <v>201.4732637505823</v>
      </c>
      <c r="DU105" s="60">
        <f t="shared" si="98"/>
        <v>342.06887933351783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1.5872821490658959</v>
      </c>
      <c r="EB105" s="23">
        <f>EXP(-LN(2)/25)*EB104+(1-EXP(-LN(2)/25))/(LN(2)/25)*Calculateur!DW105*Calculateur!DY105*VLOOKUP('Données projet'!$B$14,Paramètres!$A$1:$I$89,3,0)*0.475*44/12</f>
        <v>3.5919235999605679</v>
      </c>
      <c r="EC105" s="23">
        <f>EXP(-LN(2)/2)*EC104+(1-EXP(-LN(2)/2))/(LN(2)/2)*DW105*DZ105*VLOOKUP('Données projet'!$B$14,Paramètres!$A$1:$I$89,3,0)*0.475*44/12</f>
        <v>1.9495429361984112E-10</v>
      </c>
      <c r="ED105" s="24">
        <f t="shared" si="72"/>
        <v>5.1792057492214179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-3.4106051316484809E-13</v>
      </c>
      <c r="EK105" s="18">
        <f>EJ105*VLOOKUP('Données projet'!$B$15,Paramètres!$A$1:$I$89,3,0)*VLOOKUP('Données projet'!$B$15,Paramètres!$A$1:$I$89,5,0)</f>
        <v>-2.0395418687257919E-13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260.01925143568263</v>
      </c>
      <c r="EP105" s="60">
        <f t="shared" si="100"/>
        <v>269.95358755269427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3.4148871629277031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3.4148871629277031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-9.2222762759774927E-14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256.19915261735281</v>
      </c>
      <c r="FK105" s="60">
        <f t="shared" si="102"/>
        <v>297.47246687305056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2.0897435897436005</v>
      </c>
      <c r="FZ105" s="13">
        <f>IF('Données projet'!$A$244&gt;35,FZ104+FY105-GH104,IF(A105&lt;'Données projet'!$A$244,$FW$205^A105,IF(A105='Données projet'!$A$244,'Données projet'!$B$244,FZ104+FY105-GH104)))</f>
        <v>136.4641025641026</v>
      </c>
      <c r="GA105" s="18">
        <f>FZ105*VLOOKUP('Données projet'!$B$17,Paramètres!$A$1:$I$89,3,0)*VLOOKUP('Données projet'!$B$17,Paramètres!$A$1:$I$89,5,0)</f>
        <v>78.057466666666684</v>
      </c>
      <c r="GB105" s="14">
        <f t="shared" si="103"/>
        <v>21.661547276392493</v>
      </c>
      <c r="GC105" s="22">
        <f t="shared" si="79"/>
        <v>173.67728261749474</v>
      </c>
      <c r="GD105" s="60">
        <f t="shared" si="80"/>
        <v>467.01061595082808</v>
      </c>
      <c r="GE105" s="60">
        <f ca="1">AVERAGE(OFFSET($GD$3,0,0,'Données projet'!$E$17+1,1))-AVERAGE(OFFSET($H$3,0,0,'Données projet'!$E$17+1,1))</f>
        <v>268.71641789629319</v>
      </c>
      <c r="GF105" s="60">
        <f t="shared" si="104"/>
        <v>199.94048514486104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0.28524022372406738</v>
      </c>
      <c r="GN105" s="23">
        <f>EXP(-LN(2)/2)*GN104+(1-EXP(-LN(2)/2))/(LN(2)/2)*GH105*GK105*VLOOKUP('Données projet'!$B$17,Paramètres!$A$1:$I$89,3,0)*0.475*44/12</f>
        <v>1.0151001726612175E-10</v>
      </c>
      <c r="GO105" s="23">
        <f t="shared" si="81"/>
        <v>0.2852402238255774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-2.8421709430404007E-13</v>
      </c>
      <c r="GV105" s="18">
        <f>GU105*VLOOKUP('Données projet'!$B$18,Paramètres!$A$1:$I$89,3,0)*VLOOKUP('Données projet'!$B$18,Paramètres!$A$1:$I$89,5,0)</f>
        <v>-1.69961822393816E-13</v>
      </c>
      <c r="GW105" s="14" t="e">
        <f t="shared" si="105"/>
        <v>#NUM!</v>
      </c>
      <c r="GX105" s="22" t="e">
        <f t="shared" si="82"/>
        <v>#NUM!</v>
      </c>
      <c r="GY105" s="60" t="e">
        <f t="shared" si="83"/>
        <v>#NUM!</v>
      </c>
      <c r="GZ105" s="60">
        <f ca="1">AVERAGE(OFFSET($GY$3,0,0,'Données projet'!$E$18+1,1))-AVERAGE(OFFSET($H$3,0,0,'Données projet'!$E$18+1,1))</f>
        <v>289.12367833861299</v>
      </c>
      <c r="HA105" s="60">
        <f t="shared" si="106"/>
        <v>229.06617320689003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6.034439252144438E-11</v>
      </c>
      <c r="HJ105" s="24">
        <f t="shared" si="84"/>
        <v>6.034439252144438E-11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267.45887999999974</v>
      </c>
      <c r="P106" s="14">
        <f t="shared" si="87"/>
        <v>64.309683053152384</v>
      </c>
      <c r="Q106" s="22">
        <f t="shared" si="107"/>
        <v>577.83024731757325</v>
      </c>
      <c r="R106" s="60">
        <f t="shared" si="55"/>
        <v>871.16358065090662</v>
      </c>
      <c r="S106" s="60">
        <f ca="1">AVERAGE(OFFSET($R$3,0,0,'Données projet'!$E$9+1,1))-AVERAGE(OFFSET($H$3,0,0,'Données projet'!$E$9+1,1))</f>
        <v>430.11660085503223</v>
      </c>
      <c r="T106" s="60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1.2710188457276673E-13</v>
      </c>
      <c r="AK106" s="14">
        <f t="shared" si="89"/>
        <v>1.856866851063998E-12</v>
      </c>
      <c r="AL106" s="22">
        <f t="shared" si="58"/>
        <v>3.4554122145673649E-12</v>
      </c>
      <c r="AM106" s="60">
        <f t="shared" si="59"/>
        <v>293.33333333333678</v>
      </c>
      <c r="AN106" s="60">
        <f ca="1">AVERAGE(OFFSET($AM$3,0,0,'Données projet'!$E$10+1,1))-AVERAGE(OFFSET($H$3,0,0,'Données projet'!$E$10+1,1))</f>
        <v>323.98185264074681</v>
      </c>
      <c r="AO106" s="60">
        <f t="shared" si="90"/>
        <v>301.22207291854005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1.051231214599154</v>
      </c>
      <c r="AV106" s="23">
        <f>EXP(-LN(2)/25)*AV105+(1-EXP(-LN(2)/25))/(LN(2)/25)*Calculateur!AQ106*Calculateur!AS106*VLOOKUP('Données projet'!$B$10,Paramètres!$A$1:$I$89,3,0)*0.475*44/12</f>
        <v>1.0896930633173507</v>
      </c>
      <c r="AW106" s="23">
        <f>EXP(-LN(2)/2)*AW105+(1-EXP(-LN(2)/2))/(LN(2)/2)*AQ106*AT106*VLOOKUP('Données projet'!$B$10,Paramètres!$A$1:$I$89,3,0)*0.475*44/12</f>
        <v>6.2642062246800235E-11</v>
      </c>
      <c r="AX106" s="23">
        <f t="shared" si="60"/>
        <v>2.1409242779791469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7</v>
      </c>
      <c r="BD106" s="13">
        <f>IF('Données projet'!$A$88&gt;35,BD105+BC106-BL105,IF(A106&lt;'Données projet'!$A$88,$BA$205^A106,IF(A106='Données projet'!$A$88,'Données projet'!$B$88,BD105+BC106-BL105)))</f>
        <v>419.99999999999966</v>
      </c>
      <c r="BE106" s="14">
        <f>BD106*VLOOKUP('Données projet'!$B$11,Paramètres!$A$1:$I$89,3,0)*VLOOKUP('Données projet'!$B$11,Paramètres!$A$1:$I$89,5,0)</f>
        <v>360.35999999999973</v>
      </c>
      <c r="BF106" s="14">
        <f t="shared" si="91"/>
        <v>83.692107728969532</v>
      </c>
      <c r="BG106" s="22">
        <f t="shared" si="61"/>
        <v>773.39075429462139</v>
      </c>
      <c r="BH106" s="60">
        <f t="shared" si="62"/>
        <v>1066.7240876279548</v>
      </c>
      <c r="BI106" s="60">
        <f ca="1">AVERAGE(OFFSET($BH$3,0,0,'Données projet'!$E$11+1,1))-AVERAGE(OFFSET($H$3,0,0,'Données projet'!$E$11+1,1))</f>
        <v>556.75475431848258</v>
      </c>
      <c r="BJ106" s="60">
        <f t="shared" si="92"/>
        <v>256.77417912163997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3.4106051316484809E-13</v>
      </c>
      <c r="BZ106" s="14">
        <f>BY106*VLOOKUP('Données projet'!$B$12,Paramètres!$A$1:$I$89,3,0)*VLOOKUP('Données projet'!$B$12,Paramètres!$A$1:$I$89,5,0)</f>
        <v>2.5006556825246659E-13</v>
      </c>
      <c r="CA106" s="14">
        <f t="shared" si="93"/>
        <v>3.3765445850268018E-12</v>
      </c>
      <c r="CB106" s="22">
        <f t="shared" si="64"/>
        <v>6.3163460169613921E-12</v>
      </c>
      <c r="CC106" s="60">
        <f t="shared" si="65"/>
        <v>293.33333333333962</v>
      </c>
      <c r="CD106" s="60">
        <f ca="1">AVERAGE(OFFSET($CC$3,0,0,'Données projet'!$E$12+1,1))-AVERAGE(OFFSET($H$3,0,0,'Données projet'!$E$12+1,1))</f>
        <v>290.68086183422963</v>
      </c>
      <c r="CE106" s="60">
        <f t="shared" si="94"/>
        <v>317.88330630101785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1.9895196601282805E-13</v>
      </c>
      <c r="CU106" s="18">
        <f>CT106*VLOOKUP('Données projet'!$B$13,Paramètres!$A$1:$I$89,3,0)*VLOOKUP('Données projet'!$B$13,Paramètres!$A$1:$I$89,5,0)</f>
        <v>1.3035332813160495E-13</v>
      </c>
      <c r="CV106" s="14">
        <f t="shared" si="95"/>
        <v>1.8987770485018903E-12</v>
      </c>
      <c r="CW106" s="22">
        <f t="shared" si="67"/>
        <v>3.5340687393033375E-12</v>
      </c>
      <c r="CX106" s="60">
        <f t="shared" si="68"/>
        <v>293.33333333333684</v>
      </c>
      <c r="CY106" s="60">
        <f ca="1">AVERAGE(OFFSET($CX$3,0,0,'Données projet'!$E$13+1,1))-AVERAGE(OFFSET($H$3,0,0,'Données projet'!$E$13+1,1))</f>
        <v>243.04319555814601</v>
      </c>
      <c r="CZ106" s="60">
        <f t="shared" si="96"/>
        <v>235.68746142880792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0" t="e">
        <f t="shared" si="71"/>
        <v>#NUM!</v>
      </c>
      <c r="DT106" s="60">
        <f ca="1">AVERAGE(OFFSET($DS$3,0,0,'Données projet'!$E$14+1,1))-AVERAGE(OFFSET($H$3,0,0,'Données projet'!$E$14+1,1))</f>
        <v>201.4732637505823</v>
      </c>
      <c r="DU106" s="60">
        <f t="shared" si="98"/>
        <v>342.06887933351783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1.5561565142692282</v>
      </c>
      <c r="EB106" s="23">
        <f>EXP(-LN(2)/25)*EB105+(1-EXP(-LN(2)/25))/(LN(2)/25)*Calculateur!DW106*Calculateur!DY106*VLOOKUP('Données projet'!$B$14,Paramètres!$A$1:$I$89,3,0)*0.475*44/12</f>
        <v>3.4937022602285936</v>
      </c>
      <c r="EC106" s="23">
        <f>EXP(-LN(2)/2)*EC105+(1-EXP(-LN(2)/2))/(LN(2)/2)*DW106*DZ106*VLOOKUP('Données projet'!$B$14,Paramètres!$A$1:$I$89,3,0)*0.475*44/12</f>
        <v>1.3785350304002293E-10</v>
      </c>
      <c r="ED106" s="24">
        <f t="shared" si="72"/>
        <v>5.0498587746356751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-3.4106051316484809E-13</v>
      </c>
      <c r="EK106" s="18">
        <f>EJ106*VLOOKUP('Données projet'!$B$15,Paramètres!$A$1:$I$89,3,0)*VLOOKUP('Données projet'!$B$15,Paramètres!$A$1:$I$89,5,0)</f>
        <v>-2.0395418687257919E-13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260.01925143568263</v>
      </c>
      <c r="EP106" s="60">
        <f t="shared" si="100"/>
        <v>269.95358755269427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3.3479233085381934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3.3479233085381934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-9.2222762759774927E-14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256.19915261735281</v>
      </c>
      <c r="FK106" s="60">
        <f t="shared" si="102"/>
        <v>297.47246687305056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>
        <f>VLOOKUP(A106,'Données projet'!$A$243:$I$263,2,0)</f>
        <v>138.55384615384617</v>
      </c>
      <c r="FX106" s="13">
        <f>VLOOKUP(A106,'Données projet'!$A$243:$I$263,9,0)</f>
        <v>2.0897435897436005</v>
      </c>
      <c r="FY106" s="13">
        <f t="array" ref="FY106">INDEX(FX:FX,MIN(IF(ISNUMBER(FX106:FX302),ROW(FX106:FX302),"")))</f>
        <v>2.0897435897436005</v>
      </c>
      <c r="FZ106" s="13">
        <f>IF('Données projet'!$A$244&gt;35,FZ105+FY106-GH105,IF(A106&lt;'Données projet'!$A$244,$FW$205^A106,IF(A106='Données projet'!$A$244,'Données projet'!$B$244,FZ105+FY106-GH105)))</f>
        <v>138.55384615384619</v>
      </c>
      <c r="GA106" s="18">
        <f>FZ106*VLOOKUP('Données projet'!$B$17,Paramètres!$A$1:$I$89,3,0)*VLOOKUP('Données projet'!$B$17,Paramètres!$A$1:$I$89,5,0)</f>
        <v>79.252800000000022</v>
      </c>
      <c r="GB106" s="14">
        <f t="shared" si="103"/>
        <v>21.954390186879689</v>
      </c>
      <c r="GC106" s="22">
        <f t="shared" si="79"/>
        <v>176.26918957548216</v>
      </c>
      <c r="GD106" s="60">
        <f t="shared" si="80"/>
        <v>469.60252290881544</v>
      </c>
      <c r="GE106" s="60">
        <f ca="1">AVERAGE(OFFSET($GD$3,0,0,'Données projet'!$E$17+1,1))-AVERAGE(OFFSET($H$3,0,0,'Données projet'!$E$17+1,1))</f>
        <v>268.71641789629319</v>
      </c>
      <c r="GF106" s="60">
        <f t="shared" si="104"/>
        <v>199.94048514486104</v>
      </c>
      <c r="GG106" s="16">
        <f>IF(ISNA(VLOOKUP(A106,'Données projet'!$A$243:$I$263,3,0)),0,VLOOKUP(A106,'Données projet'!$A$243:$I$263,3,0))</f>
        <v>11</v>
      </c>
      <c r="GH106" s="16">
        <f>IF(ISNA(VLOOKUP(A106,'Données projet'!$A$243:$I$263,4,0)),0,VLOOKUP(A106,'Données projet'!$A$243:$I$263,4,0))</f>
        <v>138.55384615384617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0.27744031480620129</v>
      </c>
      <c r="GN106" s="23">
        <f>EXP(-LN(2)/2)*GN105+(1-EXP(-LN(2)/2))/(LN(2)/2)*GH106*GK106*VLOOKUP('Données projet'!$B$17,Paramètres!$A$1:$I$89,3,0)*0.475*44/12</f>
        <v>7.177842156723821E-11</v>
      </c>
      <c r="GO106" s="23">
        <f t="shared" si="81"/>
        <v>0.27744031487797971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-2.8421709430404007E-13</v>
      </c>
      <c r="GV106" s="18">
        <f>GU106*VLOOKUP('Données projet'!$B$18,Paramètres!$A$1:$I$89,3,0)*VLOOKUP('Données projet'!$B$18,Paramètres!$A$1:$I$89,5,0)</f>
        <v>-1.69961822393816E-13</v>
      </c>
      <c r="GW106" s="14" t="e">
        <f t="shared" si="105"/>
        <v>#NUM!</v>
      </c>
      <c r="GX106" s="22" t="e">
        <f t="shared" si="82"/>
        <v>#NUM!</v>
      </c>
      <c r="GY106" s="60" t="e">
        <f t="shared" si="83"/>
        <v>#NUM!</v>
      </c>
      <c r="GZ106" s="60">
        <f ca="1">AVERAGE(OFFSET($GY$3,0,0,'Données projet'!$E$18+1,1))-AVERAGE(OFFSET($H$3,0,0,'Données projet'!$E$18+1,1))</f>
        <v>289.12367833861299</v>
      </c>
      <c r="HA106" s="60">
        <f t="shared" si="106"/>
        <v>229.06617320689003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4.2669929158496107E-11</v>
      </c>
      <c r="HJ106" s="24">
        <f t="shared" si="84"/>
        <v>4.2669929158496107E-11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271.71143999999975</v>
      </c>
      <c r="P107" s="14">
        <f t="shared" si="87"/>
        <v>65.212346372467266</v>
      </c>
      <c r="Q107" s="22">
        <f t="shared" si="107"/>
        <v>586.80892793204669</v>
      </c>
      <c r="R107" s="60">
        <f t="shared" si="55"/>
        <v>880.14226126538006</v>
      </c>
      <c r="S107" s="60">
        <f ca="1">AVERAGE(OFFSET($R$3,0,0,'Données projet'!$E$9+1,1))-AVERAGE(OFFSET($H$3,0,0,'Données projet'!$E$9+1,1))</f>
        <v>430.11660085503223</v>
      </c>
      <c r="T107" s="60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1.2710188457276673E-13</v>
      </c>
      <c r="AK107" s="14">
        <f t="shared" si="89"/>
        <v>1.856866851063998E-12</v>
      </c>
      <c r="AL107" s="22">
        <f t="shared" si="58"/>
        <v>3.4554122145673649E-12</v>
      </c>
      <c r="AM107" s="60">
        <f t="shared" si="59"/>
        <v>293.33333333333678</v>
      </c>
      <c r="AN107" s="60">
        <f ca="1">AVERAGE(OFFSET($AM$3,0,0,'Données projet'!$E$10+1,1))-AVERAGE(OFFSET($H$3,0,0,'Données projet'!$E$10+1,1))</f>
        <v>323.98185264074681</v>
      </c>
      <c r="AO107" s="60">
        <f t="shared" si="90"/>
        <v>301.22207291854005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1.0306172116685934</v>
      </c>
      <c r="AV107" s="23">
        <f>EXP(-LN(2)/25)*AV106+(1-EXP(-LN(2)/25))/(LN(2)/25)*Calculateur!AQ107*Calculateur!AS107*VLOOKUP('Données projet'!$B$10,Paramètres!$A$1:$I$89,3,0)*0.475*44/12</f>
        <v>1.05989534919647</v>
      </c>
      <c r="AW107" s="23">
        <f>EXP(-LN(2)/2)*AW106+(1-EXP(-LN(2)/2))/(LN(2)/2)*AQ107*AT107*VLOOKUP('Données projet'!$B$10,Paramètres!$A$1:$I$89,3,0)*0.475*44/12</f>
        <v>4.4294627002222264E-11</v>
      </c>
      <c r="AX107" s="23">
        <f t="shared" si="60"/>
        <v>2.090512560909358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7</v>
      </c>
      <c r="BD107" s="13">
        <f>IF('Données projet'!$A$88&gt;35,BD106+BC107-BL106,IF(A107&lt;'Données projet'!$A$88,$BA$205^A107,IF(A107='Données projet'!$A$88,'Données projet'!$B$88,BD106+BC107-BL106)))</f>
        <v>426.99999999999966</v>
      </c>
      <c r="BE107" s="14">
        <f>BD107*VLOOKUP('Données projet'!$B$11,Paramètres!$A$1:$I$89,3,0)*VLOOKUP('Données projet'!$B$11,Paramètres!$A$1:$I$89,5,0)</f>
        <v>366.36599999999976</v>
      </c>
      <c r="BF107" s="14">
        <f t="shared" si="91"/>
        <v>84.923425321755431</v>
      </c>
      <c r="BG107" s="22">
        <f t="shared" si="61"/>
        <v>785.99574910205695</v>
      </c>
      <c r="BH107" s="60">
        <f t="shared" si="62"/>
        <v>1079.3290824353903</v>
      </c>
      <c r="BI107" s="60">
        <f ca="1">AVERAGE(OFFSET($BH$3,0,0,'Données projet'!$E$11+1,1))-AVERAGE(OFFSET($H$3,0,0,'Données projet'!$E$11+1,1))</f>
        <v>556.75475431848258</v>
      </c>
      <c r="BJ107" s="60">
        <f t="shared" si="92"/>
        <v>256.77417912163997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3.4106051316484809E-13</v>
      </c>
      <c r="BZ107" s="14">
        <f>BY107*VLOOKUP('Données projet'!$B$12,Paramètres!$A$1:$I$89,3,0)*VLOOKUP('Données projet'!$B$12,Paramètres!$A$1:$I$89,5,0)</f>
        <v>2.5006556825246659E-13</v>
      </c>
      <c r="CA107" s="14">
        <f t="shared" si="93"/>
        <v>3.3765445850268018E-12</v>
      </c>
      <c r="CB107" s="22">
        <f t="shared" si="64"/>
        <v>6.3163460169613921E-12</v>
      </c>
      <c r="CC107" s="60">
        <f t="shared" si="65"/>
        <v>293.33333333333962</v>
      </c>
      <c r="CD107" s="60">
        <f ca="1">AVERAGE(OFFSET($CC$3,0,0,'Données projet'!$E$12+1,1))-AVERAGE(OFFSET($H$3,0,0,'Données projet'!$E$12+1,1))</f>
        <v>290.68086183422963</v>
      </c>
      <c r="CE107" s="60">
        <f t="shared" si="94"/>
        <v>317.88330630101785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1.9895196601282805E-13</v>
      </c>
      <c r="CU107" s="18">
        <f>CT107*VLOOKUP('Données projet'!$B$13,Paramètres!$A$1:$I$89,3,0)*VLOOKUP('Données projet'!$B$13,Paramètres!$A$1:$I$89,5,0)</f>
        <v>1.3035332813160495E-13</v>
      </c>
      <c r="CV107" s="14">
        <f t="shared" si="95"/>
        <v>1.8987770485018903E-12</v>
      </c>
      <c r="CW107" s="22">
        <f t="shared" si="67"/>
        <v>3.5340687393033375E-12</v>
      </c>
      <c r="CX107" s="60">
        <f t="shared" si="68"/>
        <v>293.33333333333684</v>
      </c>
      <c r="CY107" s="60">
        <f ca="1">AVERAGE(OFFSET($CX$3,0,0,'Données projet'!$E$13+1,1))-AVERAGE(OFFSET($H$3,0,0,'Données projet'!$E$13+1,1))</f>
        <v>243.04319555814601</v>
      </c>
      <c r="CZ107" s="60">
        <f t="shared" si="96"/>
        <v>235.68746142880792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0" t="e">
        <f t="shared" si="71"/>
        <v>#NUM!</v>
      </c>
      <c r="DT107" s="60">
        <f ca="1">AVERAGE(OFFSET($DS$3,0,0,'Données projet'!$E$14+1,1))-AVERAGE(OFFSET($H$3,0,0,'Données projet'!$E$14+1,1))</f>
        <v>201.4732637505823</v>
      </c>
      <c r="DU107" s="60">
        <f t="shared" si="98"/>
        <v>342.06887933351783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1.5256412341861605</v>
      </c>
      <c r="EB107" s="23">
        <f>EXP(-LN(2)/25)*EB106+(1-EXP(-LN(2)/25))/(LN(2)/25)*Calculateur!DW107*Calculateur!DY107*VLOOKUP('Données projet'!$B$14,Paramètres!$A$1:$I$89,3,0)*0.475*44/12</f>
        <v>3.3981667881968258</v>
      </c>
      <c r="EC107" s="23">
        <f>EXP(-LN(2)/2)*EC106+(1-EXP(-LN(2)/2))/(LN(2)/2)*DW107*DZ107*VLOOKUP('Données projet'!$B$14,Paramètres!$A$1:$I$89,3,0)*0.475*44/12</f>
        <v>9.7477146809920561E-11</v>
      </c>
      <c r="ED107" s="24">
        <f t="shared" si="72"/>
        <v>4.9238080224804639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-3.4106051316484809E-13</v>
      </c>
      <c r="EK107" s="18">
        <f>EJ107*VLOOKUP('Données projet'!$B$15,Paramètres!$A$1:$I$89,3,0)*VLOOKUP('Données projet'!$B$15,Paramètres!$A$1:$I$89,5,0)</f>
        <v>-2.0395418687257919E-13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260.01925143568263</v>
      </c>
      <c r="EP107" s="60">
        <f t="shared" si="100"/>
        <v>269.95358755269427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3.282272574489344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3.282272574489344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-9.2222762759774927E-14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256.19915261735281</v>
      </c>
      <c r="FK107" s="60">
        <f t="shared" si="102"/>
        <v>297.47246687305056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2.8421709430404007E-14</v>
      </c>
      <c r="GA107" s="18">
        <f>FZ107*VLOOKUP('Données projet'!$B$17,Paramètres!$A$1:$I$89,3,0)*VLOOKUP('Données projet'!$B$17,Paramètres!$A$1:$I$89,5,0)</f>
        <v>1.6257217794191094E-14</v>
      </c>
      <c r="GB107" s="14">
        <f t="shared" si="103"/>
        <v>3.0173973759155586E-13</v>
      </c>
      <c r="GC107" s="22">
        <f t="shared" si="79"/>
        <v>5.538446972968425E-13</v>
      </c>
      <c r="GD107" s="60">
        <f t="shared" si="80"/>
        <v>293.33333333333388</v>
      </c>
      <c r="GE107" s="60">
        <f ca="1">AVERAGE(OFFSET($GD$3,0,0,'Données projet'!$E$17+1,1))-AVERAGE(OFFSET($H$3,0,0,'Données projet'!$E$17+1,1))</f>
        <v>268.71641789629319</v>
      </c>
      <c r="GF107" s="60">
        <f t="shared" si="104"/>
        <v>199.94048514486104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0.26985369480787369</v>
      </c>
      <c r="GN107" s="23">
        <f>EXP(-LN(2)/2)*GN106+(1-EXP(-LN(2)/2))/(LN(2)/2)*GH107*GK107*VLOOKUP('Données projet'!$B$17,Paramètres!$A$1:$I$89,3,0)*0.475*44/12</f>
        <v>5.0755008633060873E-11</v>
      </c>
      <c r="GO107" s="23">
        <f t="shared" si="81"/>
        <v>0.2698536948586287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-2.8421709430404007E-13</v>
      </c>
      <c r="GV107" s="18">
        <f>GU107*VLOOKUP('Données projet'!$B$18,Paramètres!$A$1:$I$89,3,0)*VLOOKUP('Données projet'!$B$18,Paramètres!$A$1:$I$89,5,0)</f>
        <v>-1.69961822393816E-13</v>
      </c>
      <c r="GW107" s="14" t="e">
        <f t="shared" si="105"/>
        <v>#NUM!</v>
      </c>
      <c r="GX107" s="22" t="e">
        <f t="shared" si="82"/>
        <v>#NUM!</v>
      </c>
      <c r="GY107" s="60" t="e">
        <f t="shared" si="83"/>
        <v>#NUM!</v>
      </c>
      <c r="GZ107" s="60">
        <f ca="1">AVERAGE(OFFSET($GY$3,0,0,'Données projet'!$E$18+1,1))-AVERAGE(OFFSET($H$3,0,0,'Données projet'!$E$18+1,1))</f>
        <v>289.12367833861299</v>
      </c>
      <c r="HA107" s="60">
        <f t="shared" si="106"/>
        <v>229.06617320689003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3.017219626072219E-11</v>
      </c>
      <c r="HJ107" s="24">
        <f t="shared" si="84"/>
        <v>3.017219626072219E-11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275.96399999999977</v>
      </c>
      <c r="P108" s="14">
        <f t="shared" si="87"/>
        <v>66.113366665488854</v>
      </c>
      <c r="Q108" s="22">
        <f t="shared" si="107"/>
        <v>595.78474694239264</v>
      </c>
      <c r="R108" s="60">
        <f t="shared" si="55"/>
        <v>889.11808027572602</v>
      </c>
      <c r="S108" s="60">
        <f ca="1">AVERAGE(OFFSET($R$3,0,0,'Données projet'!$E$9+1,1))-AVERAGE(OFFSET($H$3,0,0,'Données projet'!$E$9+1,1))</f>
        <v>430.11660085503223</v>
      </c>
      <c r="T108" s="60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1.2710188457276673E-13</v>
      </c>
      <c r="AK108" s="14">
        <f t="shared" si="89"/>
        <v>1.856866851063998E-12</v>
      </c>
      <c r="AL108" s="22">
        <f t="shared" si="58"/>
        <v>3.4554122145673649E-12</v>
      </c>
      <c r="AM108" s="60">
        <f t="shared" si="59"/>
        <v>293.33333333333678</v>
      </c>
      <c r="AN108" s="60">
        <f ca="1">AVERAGE(OFFSET($AM$3,0,0,'Données projet'!$E$10+1,1))-AVERAGE(OFFSET($H$3,0,0,'Données projet'!$E$10+1,1))</f>
        <v>323.98185264074681</v>
      </c>
      <c r="AO108" s="60">
        <f t="shared" si="90"/>
        <v>301.22207291854005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1.0104074367622009</v>
      </c>
      <c r="AV108" s="23">
        <f>EXP(-LN(2)/25)*AV107+(1-EXP(-LN(2)/25))/(LN(2)/25)*Calculateur!AQ108*Calculateur!AS108*VLOOKUP('Données projet'!$B$10,Paramètres!$A$1:$I$89,3,0)*0.475*44/12</f>
        <v>1.0309124551352185</v>
      </c>
      <c r="AW108" s="23">
        <f>EXP(-LN(2)/2)*AW107+(1-EXP(-LN(2)/2))/(LN(2)/2)*AQ108*AT108*VLOOKUP('Données projet'!$B$10,Paramètres!$A$1:$I$89,3,0)*0.475*44/12</f>
        <v>3.1321031123400118E-11</v>
      </c>
      <c r="AX108" s="23">
        <f t="shared" si="60"/>
        <v>2.0413198919287407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434</v>
      </c>
      <c r="BB108" s="13">
        <f>VLOOKUP(A108,'Données projet'!$A$87:$I$107,9,0)</f>
        <v>7</v>
      </c>
      <c r="BC108" s="13">
        <f t="array" ref="BC108">INDEX(BB:BB,MIN(IF(ISNUMBER(BB108:BB304),ROW(BB108:BB304),"")))</f>
        <v>7</v>
      </c>
      <c r="BD108" s="13">
        <f>IF('Données projet'!$A$88&gt;35,BD107+BC108-BL107,IF(A108&lt;'Données projet'!$A$88,$BA$205^A108,IF(A108='Données projet'!$A$88,'Données projet'!$B$88,BD107+BC108-BL107)))</f>
        <v>433.99999999999966</v>
      </c>
      <c r="BE108" s="14">
        <f>BD108*VLOOKUP('Données projet'!$B$11,Paramètres!$A$1:$I$89,3,0)*VLOOKUP('Données projet'!$B$11,Paramètres!$A$1:$I$89,5,0)</f>
        <v>372.37199999999973</v>
      </c>
      <c r="BF108" s="14">
        <f t="shared" si="91"/>
        <v>86.152395447503054</v>
      </c>
      <c r="BG108" s="22">
        <f t="shared" si="61"/>
        <v>798.59665540440074</v>
      </c>
      <c r="BH108" s="60">
        <f t="shared" si="62"/>
        <v>1091.929988737734</v>
      </c>
      <c r="BI108" s="60">
        <f ca="1">AVERAGE(OFFSET($BH$3,0,0,'Données projet'!$E$11+1,1))-AVERAGE(OFFSET($H$3,0,0,'Données projet'!$E$11+1,1))</f>
        <v>556.75475431848258</v>
      </c>
      <c r="BJ108" s="60">
        <f t="shared" si="92"/>
        <v>256.77417912163997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3.4106051316484809E-13</v>
      </c>
      <c r="BZ108" s="14">
        <f>BY108*VLOOKUP('Données projet'!$B$12,Paramètres!$A$1:$I$89,3,0)*VLOOKUP('Données projet'!$B$12,Paramètres!$A$1:$I$89,5,0)</f>
        <v>2.5006556825246659E-13</v>
      </c>
      <c r="CA108" s="14">
        <f t="shared" si="93"/>
        <v>3.3765445850268018E-12</v>
      </c>
      <c r="CB108" s="22">
        <f t="shared" si="64"/>
        <v>6.3163460169613921E-12</v>
      </c>
      <c r="CC108" s="60">
        <f t="shared" si="65"/>
        <v>293.33333333333962</v>
      </c>
      <c r="CD108" s="60">
        <f ca="1">AVERAGE(OFFSET($CC$3,0,0,'Données projet'!$E$12+1,1))-AVERAGE(OFFSET($H$3,0,0,'Données projet'!$E$12+1,1))</f>
        <v>290.68086183422963</v>
      </c>
      <c r="CE108" s="60">
        <f t="shared" si="94"/>
        <v>317.88330630101785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1.9895196601282805E-13</v>
      </c>
      <c r="CU108" s="18">
        <f>CT108*VLOOKUP('Données projet'!$B$13,Paramètres!$A$1:$I$89,3,0)*VLOOKUP('Données projet'!$B$13,Paramètres!$A$1:$I$89,5,0)</f>
        <v>1.3035332813160495E-13</v>
      </c>
      <c r="CV108" s="14">
        <f t="shared" si="95"/>
        <v>1.8987770485018903E-12</v>
      </c>
      <c r="CW108" s="22">
        <f t="shared" si="67"/>
        <v>3.5340687393033375E-12</v>
      </c>
      <c r="CX108" s="60">
        <f t="shared" si="68"/>
        <v>293.33333333333684</v>
      </c>
      <c r="CY108" s="60">
        <f ca="1">AVERAGE(OFFSET($CX$3,0,0,'Données projet'!$E$13+1,1))-AVERAGE(OFFSET($H$3,0,0,'Données projet'!$E$13+1,1))</f>
        <v>243.04319555814601</v>
      </c>
      <c r="CZ108" s="60">
        <f t="shared" si="96"/>
        <v>235.68746142880792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0" t="e">
        <f t="shared" si="71"/>
        <v>#NUM!</v>
      </c>
      <c r="DT108" s="60">
        <f ca="1">AVERAGE(OFFSET($DS$3,0,0,'Données projet'!$E$14+1,1))-AVERAGE(OFFSET($H$3,0,0,'Données projet'!$E$14+1,1))</f>
        <v>201.4732637505823</v>
      </c>
      <c r="DU108" s="60">
        <f t="shared" si="98"/>
        <v>342.06887933351783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1.4957243401330387</v>
      </c>
      <c r="EB108" s="23">
        <f>EXP(-LN(2)/25)*EB107+(1-EXP(-LN(2)/25))/(LN(2)/25)*Calculateur!DW108*Calculateur!DY108*VLOOKUP('Données projet'!$B$14,Paramètres!$A$1:$I$89,3,0)*0.475*44/12</f>
        <v>3.3052437386717588</v>
      </c>
      <c r="EC108" s="23">
        <f>EXP(-LN(2)/2)*EC107+(1-EXP(-LN(2)/2))/(LN(2)/2)*DW108*DZ108*VLOOKUP('Données projet'!$B$14,Paramètres!$A$1:$I$89,3,0)*0.475*44/12</f>
        <v>6.8926751520011467E-11</v>
      </c>
      <c r="ED108" s="24">
        <f t="shared" si="72"/>
        <v>4.8009680788737246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-3.4106051316484809E-13</v>
      </c>
      <c r="EK108" s="18">
        <f>EJ108*VLOOKUP('Données projet'!$B$15,Paramètres!$A$1:$I$89,3,0)*VLOOKUP('Données projet'!$B$15,Paramètres!$A$1:$I$89,5,0)</f>
        <v>-2.0395418687257919E-13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260.01925143568263</v>
      </c>
      <c r="EP108" s="60">
        <f t="shared" si="100"/>
        <v>269.95358755269427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3.2179092112921985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3.2179092112921985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-9.2222762759774927E-14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256.19915261735281</v>
      </c>
      <c r="FK108" s="60">
        <f t="shared" si="102"/>
        <v>297.47246687305056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2.8421709430404007E-14</v>
      </c>
      <c r="GA108" s="18">
        <f>FZ108*VLOOKUP('Données projet'!$B$17,Paramètres!$A$1:$I$89,3,0)*VLOOKUP('Données projet'!$B$17,Paramètres!$A$1:$I$89,5,0)</f>
        <v>1.6257217794191094E-14</v>
      </c>
      <c r="GB108" s="14">
        <f t="shared" si="103"/>
        <v>3.0173973759155586E-13</v>
      </c>
      <c r="GC108" s="22">
        <f t="shared" si="79"/>
        <v>5.538446972968425E-13</v>
      </c>
      <c r="GD108" s="60">
        <f t="shared" si="80"/>
        <v>293.33333333333388</v>
      </c>
      <c r="GE108" s="60">
        <f ca="1">AVERAGE(OFFSET($GD$3,0,0,'Données projet'!$E$17+1,1))-AVERAGE(OFFSET($H$3,0,0,'Données projet'!$E$17+1,1))</f>
        <v>268.71641789629319</v>
      </c>
      <c r="GF108" s="60">
        <f t="shared" si="104"/>
        <v>199.94048514486104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0.26247453133236331</v>
      </c>
      <c r="GN108" s="23">
        <f>EXP(-LN(2)/2)*GN107+(1-EXP(-LN(2)/2))/(LN(2)/2)*GH108*GK108*VLOOKUP('Données projet'!$B$17,Paramètres!$A$1:$I$89,3,0)*0.475*44/12</f>
        <v>3.5889210783619105E-11</v>
      </c>
      <c r="GO108" s="23">
        <f t="shared" si="81"/>
        <v>0.26247453136825255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-2.8421709430404007E-13</v>
      </c>
      <c r="GV108" s="18">
        <f>GU108*VLOOKUP('Données projet'!$B$18,Paramètres!$A$1:$I$89,3,0)*VLOOKUP('Données projet'!$B$18,Paramètres!$A$1:$I$89,5,0)</f>
        <v>-1.69961822393816E-13</v>
      </c>
      <c r="GW108" s="14" t="e">
        <f t="shared" si="105"/>
        <v>#NUM!</v>
      </c>
      <c r="GX108" s="22" t="e">
        <f t="shared" si="82"/>
        <v>#NUM!</v>
      </c>
      <c r="GY108" s="60" t="e">
        <f t="shared" si="83"/>
        <v>#NUM!</v>
      </c>
      <c r="GZ108" s="60">
        <f ca="1">AVERAGE(OFFSET($GY$3,0,0,'Données projet'!$E$18+1,1))-AVERAGE(OFFSET($H$3,0,0,'Données projet'!$E$18+1,1))</f>
        <v>289.12367833861299</v>
      </c>
      <c r="HA108" s="60">
        <f t="shared" si="106"/>
        <v>229.06617320689003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2.1334964579248054E-11</v>
      </c>
      <c r="HJ108" s="24">
        <f t="shared" si="84"/>
        <v>2.1334964579248054E-11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242.48639999999975</v>
      </c>
      <c r="P109" s="14">
        <f t="shared" si="87"/>
        <v>58.97417023537237</v>
      </c>
      <c r="Q109" s="22">
        <f t="shared" si="107"/>
        <v>525.04382649327317</v>
      </c>
      <c r="R109" s="60">
        <f t="shared" si="55"/>
        <v>818.37715982660643</v>
      </c>
      <c r="S109" s="60">
        <f ca="1">AVERAGE(OFFSET($R$3,0,0,'Données projet'!$E$9+1,1))-AVERAGE(OFFSET($H$3,0,0,'Données projet'!$E$9+1,1))</f>
        <v>430.11660085503223</v>
      </c>
      <c r="T109" s="60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1.2710188457276673E-13</v>
      </c>
      <c r="AK109" s="14">
        <f t="shared" si="89"/>
        <v>1.856866851063998E-12</v>
      </c>
      <c r="AL109" s="22">
        <f t="shared" si="58"/>
        <v>3.4554122145673649E-12</v>
      </c>
      <c r="AM109" s="60">
        <f t="shared" si="59"/>
        <v>293.33333333333678</v>
      </c>
      <c r="AN109" s="60">
        <f ca="1">AVERAGE(OFFSET($AM$3,0,0,'Données projet'!$E$10+1,1))-AVERAGE(OFFSET($H$3,0,0,'Données projet'!$E$10+1,1))</f>
        <v>323.98185264074681</v>
      </c>
      <c r="AO109" s="60">
        <f t="shared" si="90"/>
        <v>301.22207291854005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0.99059396321497717</v>
      </c>
      <c r="AV109" s="23">
        <f>EXP(-LN(2)/25)*AV108+(1-EXP(-LN(2)/25))/(LN(2)/25)*Calculateur!AQ109*Calculateur!AS109*VLOOKUP('Données projet'!$B$10,Paramètres!$A$1:$I$89,3,0)*0.475*44/12</f>
        <v>1.0027220998362161</v>
      </c>
      <c r="AW109" s="23">
        <f>EXP(-LN(2)/2)*AW108+(1-EXP(-LN(2)/2))/(LN(2)/2)*AQ109*AT109*VLOOKUP('Données projet'!$B$10,Paramètres!$A$1:$I$89,3,0)*0.475*44/12</f>
        <v>2.2147313501111132E-11</v>
      </c>
      <c r="AX109" s="23">
        <f t="shared" si="60"/>
        <v>1.9933160630733406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6.1</v>
      </c>
      <c r="BD109" s="13">
        <f>IF('Données projet'!$A$88&gt;35,BD108+BC109-BL108,IF(A109&lt;'Données projet'!$A$88,$BA$205^A109,IF(A109='Données projet'!$A$88,'Données projet'!$B$88,BD108+BC109-BL108)))</f>
        <v>393.09999999999968</v>
      </c>
      <c r="BE109" s="14">
        <f>BD109*VLOOKUP('Données projet'!$B$11,Paramètres!$A$1:$I$89,3,0)*VLOOKUP('Données projet'!$B$11,Paramètres!$A$1:$I$89,5,0)</f>
        <v>337.27979999999974</v>
      </c>
      <c r="BF109" s="14">
        <f t="shared" si="91"/>
        <v>78.937673405468999</v>
      </c>
      <c r="BG109" s="22">
        <f t="shared" si="61"/>
        <v>724.91209951452481</v>
      </c>
      <c r="BH109" s="60">
        <f t="shared" si="62"/>
        <v>1018.2454328478582</v>
      </c>
      <c r="BI109" s="60">
        <f ca="1">AVERAGE(OFFSET($BH$3,0,0,'Données projet'!$E$11+1,1))-AVERAGE(OFFSET($H$3,0,0,'Données projet'!$E$11+1,1))</f>
        <v>556.75475431848258</v>
      </c>
      <c r="BJ109" s="60">
        <f t="shared" si="92"/>
        <v>256.77417912163997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3.4106051316484809E-13</v>
      </c>
      <c r="BZ109" s="14">
        <f>BY109*VLOOKUP('Données projet'!$B$12,Paramètres!$A$1:$I$89,3,0)*VLOOKUP('Données projet'!$B$12,Paramètres!$A$1:$I$89,5,0)</f>
        <v>2.5006556825246659E-13</v>
      </c>
      <c r="CA109" s="14">
        <f t="shared" si="93"/>
        <v>3.3765445850268018E-12</v>
      </c>
      <c r="CB109" s="22">
        <f t="shared" si="64"/>
        <v>6.3163460169613921E-12</v>
      </c>
      <c r="CC109" s="60">
        <f t="shared" si="65"/>
        <v>293.33333333333962</v>
      </c>
      <c r="CD109" s="60">
        <f ca="1">AVERAGE(OFFSET($CC$3,0,0,'Données projet'!$E$12+1,1))-AVERAGE(OFFSET($H$3,0,0,'Données projet'!$E$12+1,1))</f>
        <v>290.68086183422963</v>
      </c>
      <c r="CE109" s="60">
        <f t="shared" si="94"/>
        <v>317.88330630101785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1.9895196601282805E-13</v>
      </c>
      <c r="CU109" s="18">
        <f>CT109*VLOOKUP('Données projet'!$B$13,Paramètres!$A$1:$I$89,3,0)*VLOOKUP('Données projet'!$B$13,Paramètres!$A$1:$I$89,5,0)</f>
        <v>1.3035332813160495E-13</v>
      </c>
      <c r="CV109" s="14">
        <f t="shared" si="95"/>
        <v>1.8987770485018903E-12</v>
      </c>
      <c r="CW109" s="22">
        <f t="shared" si="67"/>
        <v>3.5340687393033375E-12</v>
      </c>
      <c r="CX109" s="60">
        <f t="shared" si="68"/>
        <v>293.33333333333684</v>
      </c>
      <c r="CY109" s="60">
        <f ca="1">AVERAGE(OFFSET($CX$3,0,0,'Données projet'!$E$13+1,1))-AVERAGE(OFFSET($H$3,0,0,'Données projet'!$E$13+1,1))</f>
        <v>243.04319555814601</v>
      </c>
      <c r="CZ109" s="60">
        <f t="shared" si="96"/>
        <v>235.68746142880792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0" t="e">
        <f t="shared" si="71"/>
        <v>#NUM!</v>
      </c>
      <c r="DT109" s="60">
        <f ca="1">AVERAGE(OFFSET($DS$3,0,0,'Données projet'!$E$14+1,1))-AVERAGE(OFFSET($H$3,0,0,'Données projet'!$E$14+1,1))</f>
        <v>201.4732637505823</v>
      </c>
      <c r="DU109" s="60">
        <f t="shared" si="98"/>
        <v>342.06887933351783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1.4663940981247949</v>
      </c>
      <c r="EB109" s="23">
        <f>EXP(-LN(2)/25)*EB108+(1-EXP(-LN(2)/25))/(LN(2)/25)*Calculateur!DW109*Calculateur!DY109*VLOOKUP('Données projet'!$B$14,Paramètres!$A$1:$I$89,3,0)*0.475*44/12</f>
        <v>3.2148616748225658</v>
      </c>
      <c r="EC109" s="23">
        <f>EXP(-LN(2)/2)*EC108+(1-EXP(-LN(2)/2))/(LN(2)/2)*DW109*DZ109*VLOOKUP('Données projet'!$B$14,Paramètres!$A$1:$I$89,3,0)*0.475*44/12</f>
        <v>4.8738573404960281E-11</v>
      </c>
      <c r="ED109" s="24">
        <f t="shared" si="72"/>
        <v>4.6812557729960993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-3.4106051316484809E-13</v>
      </c>
      <c r="EK109" s="18">
        <f>EJ109*VLOOKUP('Données projet'!$B$15,Paramètres!$A$1:$I$89,3,0)*VLOOKUP('Données projet'!$B$15,Paramètres!$A$1:$I$89,5,0)</f>
        <v>-2.0395418687257919E-13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260.01925143568263</v>
      </c>
      <c r="EP109" s="60">
        <f t="shared" si="100"/>
        <v>269.95358755269427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3.1548079743895738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3.1548079743895738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-9.2222762759774927E-14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256.19915261735281</v>
      </c>
      <c r="FK109" s="60">
        <f t="shared" si="102"/>
        <v>297.47246687305056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2.8421709430404007E-14</v>
      </c>
      <c r="GA109" s="18">
        <f>FZ109*VLOOKUP('Données projet'!$B$17,Paramètres!$A$1:$I$89,3,0)*VLOOKUP('Données projet'!$B$17,Paramètres!$A$1:$I$89,5,0)</f>
        <v>1.6257217794191094E-14</v>
      </c>
      <c r="GB109" s="14">
        <f t="shared" si="103"/>
        <v>3.0173973759155586E-13</v>
      </c>
      <c r="GC109" s="22">
        <f t="shared" si="79"/>
        <v>5.538446972968425E-13</v>
      </c>
      <c r="GD109" s="60">
        <f t="shared" si="80"/>
        <v>293.33333333333388</v>
      </c>
      <c r="GE109" s="60">
        <f ca="1">AVERAGE(OFFSET($GD$3,0,0,'Données projet'!$E$17+1,1))-AVERAGE(OFFSET($H$3,0,0,'Données projet'!$E$17+1,1))</f>
        <v>268.71641789629319</v>
      </c>
      <c r="GF109" s="60">
        <f t="shared" si="104"/>
        <v>199.94048514486104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0.25529715147014415</v>
      </c>
      <c r="GN109" s="23">
        <f>EXP(-LN(2)/2)*GN108+(1-EXP(-LN(2)/2))/(LN(2)/2)*GH109*GK109*VLOOKUP('Données projet'!$B$17,Paramètres!$A$1:$I$89,3,0)*0.475*44/12</f>
        <v>2.5377504316530436E-11</v>
      </c>
      <c r="GO109" s="23">
        <f t="shared" si="81"/>
        <v>0.25529715149552162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-2.8421709430404007E-13</v>
      </c>
      <c r="GV109" s="18">
        <f>GU109*VLOOKUP('Données projet'!$B$18,Paramètres!$A$1:$I$89,3,0)*VLOOKUP('Données projet'!$B$18,Paramètres!$A$1:$I$89,5,0)</f>
        <v>-1.69961822393816E-13</v>
      </c>
      <c r="GW109" s="14" t="e">
        <f t="shared" si="105"/>
        <v>#NUM!</v>
      </c>
      <c r="GX109" s="22" t="e">
        <f t="shared" si="82"/>
        <v>#NUM!</v>
      </c>
      <c r="GY109" s="60" t="e">
        <f t="shared" si="83"/>
        <v>#NUM!</v>
      </c>
      <c r="GZ109" s="60">
        <f ca="1">AVERAGE(OFFSET($GY$3,0,0,'Données projet'!$E$18+1,1))-AVERAGE(OFFSET($H$3,0,0,'Données projet'!$E$18+1,1))</f>
        <v>289.12367833861299</v>
      </c>
      <c r="HA109" s="60">
        <f t="shared" si="106"/>
        <v>229.06617320689003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1.5086098130361095E-11</v>
      </c>
      <c r="HJ109" s="24">
        <f t="shared" si="84"/>
        <v>1.5086098130361095E-11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246.10559999999973</v>
      </c>
      <c r="P110" s="14">
        <f t="shared" si="87"/>
        <v>59.751253234371873</v>
      </c>
      <c r="Q110" s="22">
        <f t="shared" si="107"/>
        <v>532.70068604986398</v>
      </c>
      <c r="R110" s="60">
        <f t="shared" si="55"/>
        <v>826.03401938319735</v>
      </c>
      <c r="S110" s="60">
        <f ca="1">AVERAGE(OFFSET($R$3,0,0,'Données projet'!$E$9+1,1))-AVERAGE(OFFSET($H$3,0,0,'Données projet'!$E$9+1,1))</f>
        <v>430.11660085503223</v>
      </c>
      <c r="T110" s="60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1.2710188457276673E-13</v>
      </c>
      <c r="AK110" s="14">
        <f t="shared" si="89"/>
        <v>1.856866851063998E-12</v>
      </c>
      <c r="AL110" s="22">
        <f t="shared" si="58"/>
        <v>3.4554122145673649E-12</v>
      </c>
      <c r="AM110" s="60">
        <f t="shared" si="59"/>
        <v>293.33333333333678</v>
      </c>
      <c r="AN110" s="60">
        <f ca="1">AVERAGE(OFFSET($AM$3,0,0,'Données projet'!$E$10+1,1))-AVERAGE(OFFSET($H$3,0,0,'Données projet'!$E$10+1,1))</f>
        <v>323.98185264074681</v>
      </c>
      <c r="AO110" s="60">
        <f t="shared" si="90"/>
        <v>301.22207291854005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0.97116901979898895</v>
      </c>
      <c r="AV110" s="23">
        <f>EXP(-LN(2)/25)*AV109+(1-EXP(-LN(2)/25))/(LN(2)/25)*Calculateur!AQ110*Calculateur!AS110*VLOOKUP('Données projet'!$B$10,Paramètres!$A$1:$I$89,3,0)*0.475*44/12</f>
        <v>0.97530261128533124</v>
      </c>
      <c r="AW110" s="23">
        <f>EXP(-LN(2)/2)*AW109+(1-EXP(-LN(2)/2))/(LN(2)/2)*AQ110*AT110*VLOOKUP('Données projet'!$B$10,Paramètres!$A$1:$I$89,3,0)*0.475*44/12</f>
        <v>1.5660515561700059E-11</v>
      </c>
      <c r="AX110" s="23">
        <f t="shared" si="60"/>
        <v>1.9464716310999808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6.1</v>
      </c>
      <c r="BD110" s="13">
        <f>IF('Données projet'!$A$88&gt;35,BD109+BC110-BL109,IF(A110&lt;'Données projet'!$A$88,$BA$205^A110,IF(A110='Données projet'!$A$88,'Données projet'!$B$88,BD109+BC110-BL109)))</f>
        <v>399.1999999999997</v>
      </c>
      <c r="BE110" s="14">
        <f>BD110*VLOOKUP('Données projet'!$B$11,Paramètres!$A$1:$I$89,3,0)*VLOOKUP('Données projet'!$B$11,Paramètres!$A$1:$I$89,5,0)</f>
        <v>342.51359999999977</v>
      </c>
      <c r="BF110" s="14">
        <f t="shared" si="91"/>
        <v>80.019049258793871</v>
      </c>
      <c r="BG110" s="22">
        <f t="shared" si="61"/>
        <v>735.91103079239883</v>
      </c>
      <c r="BH110" s="60">
        <f t="shared" si="62"/>
        <v>1029.2443641257321</v>
      </c>
      <c r="BI110" s="60">
        <f ca="1">AVERAGE(OFFSET($BH$3,0,0,'Données projet'!$E$11+1,1))-AVERAGE(OFFSET($H$3,0,0,'Données projet'!$E$11+1,1))</f>
        <v>556.75475431848258</v>
      </c>
      <c r="BJ110" s="60">
        <f t="shared" si="92"/>
        <v>256.77417912163997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3.4106051316484809E-13</v>
      </c>
      <c r="BZ110" s="14">
        <f>BY110*VLOOKUP('Données projet'!$B$12,Paramètres!$A$1:$I$89,3,0)*VLOOKUP('Données projet'!$B$12,Paramètres!$A$1:$I$89,5,0)</f>
        <v>2.5006556825246659E-13</v>
      </c>
      <c r="CA110" s="14">
        <f t="shared" si="93"/>
        <v>3.3765445850268018E-12</v>
      </c>
      <c r="CB110" s="22">
        <f t="shared" si="64"/>
        <v>6.3163460169613921E-12</v>
      </c>
      <c r="CC110" s="60">
        <f t="shared" si="65"/>
        <v>293.33333333333962</v>
      </c>
      <c r="CD110" s="60">
        <f ca="1">AVERAGE(OFFSET($CC$3,0,0,'Données projet'!$E$12+1,1))-AVERAGE(OFFSET($H$3,0,0,'Données projet'!$E$12+1,1))</f>
        <v>290.68086183422963</v>
      </c>
      <c r="CE110" s="60">
        <f t="shared" si="94"/>
        <v>317.88330630101785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1.9895196601282805E-13</v>
      </c>
      <c r="CU110" s="18">
        <f>CT110*VLOOKUP('Données projet'!$B$13,Paramètres!$A$1:$I$89,3,0)*VLOOKUP('Données projet'!$B$13,Paramètres!$A$1:$I$89,5,0)</f>
        <v>1.3035332813160495E-13</v>
      </c>
      <c r="CV110" s="14">
        <f t="shared" si="95"/>
        <v>1.8987770485018903E-12</v>
      </c>
      <c r="CW110" s="22">
        <f t="shared" si="67"/>
        <v>3.5340687393033375E-12</v>
      </c>
      <c r="CX110" s="60">
        <f t="shared" si="68"/>
        <v>293.33333333333684</v>
      </c>
      <c r="CY110" s="60">
        <f ca="1">AVERAGE(OFFSET($CX$3,0,0,'Données projet'!$E$13+1,1))-AVERAGE(OFFSET($H$3,0,0,'Données projet'!$E$13+1,1))</f>
        <v>243.04319555814601</v>
      </c>
      <c r="CZ110" s="60">
        <f t="shared" si="96"/>
        <v>235.68746142880792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0" t="e">
        <f t="shared" si="71"/>
        <v>#NUM!</v>
      </c>
      <c r="DT110" s="60">
        <f ca="1">AVERAGE(OFFSET($DS$3,0,0,'Données projet'!$E$14+1,1))-AVERAGE(OFFSET($H$3,0,0,'Données projet'!$E$14+1,1))</f>
        <v>201.4732637505823</v>
      </c>
      <c r="DU110" s="60">
        <f t="shared" si="98"/>
        <v>342.06887933351783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1.4376390042726517</v>
      </c>
      <c r="EB110" s="23">
        <f>EXP(-LN(2)/25)*EB109+(1-EXP(-LN(2)/25))/(LN(2)/25)*Calculateur!DW110*Calculateur!DY110*VLOOKUP('Données projet'!$B$14,Paramètres!$A$1:$I$89,3,0)*0.475*44/12</f>
        <v>3.1269511132623151</v>
      </c>
      <c r="EC110" s="23">
        <f>EXP(-LN(2)/2)*EC109+(1-EXP(-LN(2)/2))/(LN(2)/2)*DW110*DZ110*VLOOKUP('Données projet'!$B$14,Paramètres!$A$1:$I$89,3,0)*0.475*44/12</f>
        <v>3.4463375760005733E-11</v>
      </c>
      <c r="ED110" s="24">
        <f t="shared" si="72"/>
        <v>4.5645901175694297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-3.4106051316484809E-13</v>
      </c>
      <c r="EK110" s="18">
        <f>EJ110*VLOOKUP('Données projet'!$B$15,Paramètres!$A$1:$I$89,3,0)*VLOOKUP('Données projet'!$B$15,Paramètres!$A$1:$I$89,5,0)</f>
        <v>-2.0395418687257919E-13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260.01925143568263</v>
      </c>
      <c r="EP110" s="60">
        <f t="shared" si="100"/>
        <v>269.95358755269427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3.0929441142546557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3.0929441142546557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-9.2222762759774927E-14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256.19915261735281</v>
      </c>
      <c r="FK110" s="60">
        <f t="shared" si="102"/>
        <v>297.47246687305056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2.8421709430404007E-14</v>
      </c>
      <c r="GA110" s="18">
        <f>FZ110*VLOOKUP('Données projet'!$B$17,Paramètres!$A$1:$I$89,3,0)*VLOOKUP('Données projet'!$B$17,Paramètres!$A$1:$I$89,5,0)</f>
        <v>1.6257217794191094E-14</v>
      </c>
      <c r="GB110" s="14">
        <f t="shared" si="103"/>
        <v>3.0173973759155586E-13</v>
      </c>
      <c r="GC110" s="22">
        <f t="shared" si="79"/>
        <v>5.538446972968425E-13</v>
      </c>
      <c r="GD110" s="60">
        <f t="shared" si="80"/>
        <v>293.33333333333388</v>
      </c>
      <c r="GE110" s="60">
        <f ca="1">AVERAGE(OFFSET($GD$3,0,0,'Données projet'!$E$17+1,1))-AVERAGE(OFFSET($H$3,0,0,'Données projet'!$E$17+1,1))</f>
        <v>268.71641789629319</v>
      </c>
      <c r="GF110" s="60">
        <f t="shared" si="104"/>
        <v>199.94048514486104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0.24831603743769934</v>
      </c>
      <c r="GN110" s="23">
        <f>EXP(-LN(2)/2)*GN109+(1-EXP(-LN(2)/2))/(LN(2)/2)*GH110*GK110*VLOOKUP('Données projet'!$B$17,Paramètres!$A$1:$I$89,3,0)*0.475*44/12</f>
        <v>1.7944605391809552E-11</v>
      </c>
      <c r="GO110" s="23">
        <f t="shared" si="81"/>
        <v>0.24831603745564396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-2.8421709430404007E-13</v>
      </c>
      <c r="GV110" s="18">
        <f>GU110*VLOOKUP('Données projet'!$B$18,Paramètres!$A$1:$I$89,3,0)*VLOOKUP('Données projet'!$B$18,Paramètres!$A$1:$I$89,5,0)</f>
        <v>-1.69961822393816E-13</v>
      </c>
      <c r="GW110" s="14" t="e">
        <f t="shared" si="105"/>
        <v>#NUM!</v>
      </c>
      <c r="GX110" s="22" t="e">
        <f t="shared" si="82"/>
        <v>#NUM!</v>
      </c>
      <c r="GY110" s="60" t="e">
        <f t="shared" si="83"/>
        <v>#NUM!</v>
      </c>
      <c r="GZ110" s="60">
        <f ca="1">AVERAGE(OFFSET($GY$3,0,0,'Données projet'!$E$18+1,1))-AVERAGE(OFFSET($H$3,0,0,'Données projet'!$E$18+1,1))</f>
        <v>289.12367833861299</v>
      </c>
      <c r="HA110" s="60">
        <f t="shared" si="106"/>
        <v>229.06617320689003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1.0667482289624027E-11</v>
      </c>
      <c r="HJ110" s="24">
        <f t="shared" si="84"/>
        <v>1.0667482289624027E-11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249.72479999999973</v>
      </c>
      <c r="P111" s="14">
        <f t="shared" si="87"/>
        <v>60.527007137298092</v>
      </c>
      <c r="Q111" s="22">
        <f t="shared" si="107"/>
        <v>540.35523076412699</v>
      </c>
      <c r="R111" s="60">
        <f t="shared" si="55"/>
        <v>833.68856409746036</v>
      </c>
      <c r="S111" s="60">
        <f ca="1">AVERAGE(OFFSET($R$3,0,0,'Données projet'!$E$9+1,1))-AVERAGE(OFFSET($H$3,0,0,'Données projet'!$E$9+1,1))</f>
        <v>430.11660085503223</v>
      </c>
      <c r="T111" s="60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1.2710188457276673E-13</v>
      </c>
      <c r="AK111" s="14">
        <f t="shared" si="89"/>
        <v>1.856866851063998E-12</v>
      </c>
      <c r="AL111" s="22">
        <f t="shared" si="58"/>
        <v>3.4554122145673649E-12</v>
      </c>
      <c r="AM111" s="60">
        <f t="shared" si="59"/>
        <v>293.33333333333678</v>
      </c>
      <c r="AN111" s="60">
        <f ca="1">AVERAGE(OFFSET($AM$3,0,0,'Données projet'!$E$10+1,1))-AVERAGE(OFFSET($H$3,0,0,'Données projet'!$E$10+1,1))</f>
        <v>323.98185264074681</v>
      </c>
      <c r="AO111" s="60">
        <f t="shared" si="90"/>
        <v>301.22207291854005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0.9521249876753427</v>
      </c>
      <c r="AV111" s="23">
        <f>EXP(-LN(2)/25)*AV110+(1-EXP(-LN(2)/25))/(LN(2)/25)*Calculateur!AQ111*Calculateur!AS111*VLOOKUP('Données projet'!$B$10,Paramètres!$A$1:$I$89,3,0)*0.475*44/12</f>
        <v>0.94863291009079864</v>
      </c>
      <c r="AW111" s="23">
        <f>EXP(-LN(2)/2)*AW110+(1-EXP(-LN(2)/2))/(LN(2)/2)*AQ111*AT111*VLOOKUP('Données projet'!$B$10,Paramètres!$A$1:$I$89,3,0)*0.475*44/12</f>
        <v>1.1073656750555566E-11</v>
      </c>
      <c r="AX111" s="23">
        <f t="shared" si="60"/>
        <v>1.900757897777215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6.1</v>
      </c>
      <c r="BD111" s="13">
        <f>IF('Données projet'!$A$88&gt;35,BD110+BC111-BL110,IF(A111&lt;'Données projet'!$A$88,$BA$205^A111,IF(A111='Données projet'!$A$88,'Données projet'!$B$88,BD110+BC111-BL110)))</f>
        <v>405.29999999999973</v>
      </c>
      <c r="BE111" s="14">
        <f>BD111*VLOOKUP('Données projet'!$B$11,Paramètres!$A$1:$I$89,3,0)*VLOOKUP('Données projet'!$B$11,Paramètres!$A$1:$I$89,5,0)</f>
        <v>347.7473999999998</v>
      </c>
      <c r="BF111" s="14">
        <f t="shared" si="91"/>
        <v>81.098503345491807</v>
      </c>
      <c r="BG111" s="22">
        <f t="shared" si="61"/>
        <v>746.90661499339785</v>
      </c>
      <c r="BH111" s="60">
        <f t="shared" si="62"/>
        <v>1040.2399483267311</v>
      </c>
      <c r="BI111" s="60">
        <f ca="1">AVERAGE(OFFSET($BH$3,0,0,'Données projet'!$E$11+1,1))-AVERAGE(OFFSET($H$3,0,0,'Données projet'!$E$11+1,1))</f>
        <v>556.75475431848258</v>
      </c>
      <c r="BJ111" s="60">
        <f t="shared" si="92"/>
        <v>256.77417912163997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3.4106051316484809E-13</v>
      </c>
      <c r="BZ111" s="14">
        <f>BY111*VLOOKUP('Données projet'!$B$12,Paramètres!$A$1:$I$89,3,0)*VLOOKUP('Données projet'!$B$12,Paramètres!$A$1:$I$89,5,0)</f>
        <v>2.5006556825246659E-13</v>
      </c>
      <c r="CA111" s="14">
        <f t="shared" si="93"/>
        <v>3.3765445850268018E-12</v>
      </c>
      <c r="CB111" s="22">
        <f t="shared" si="64"/>
        <v>6.3163460169613921E-12</v>
      </c>
      <c r="CC111" s="60">
        <f t="shared" si="65"/>
        <v>293.33333333333962</v>
      </c>
      <c r="CD111" s="60">
        <f ca="1">AVERAGE(OFFSET($CC$3,0,0,'Données projet'!$E$12+1,1))-AVERAGE(OFFSET($H$3,0,0,'Données projet'!$E$12+1,1))</f>
        <v>290.68086183422963</v>
      </c>
      <c r="CE111" s="60">
        <f t="shared" si="94"/>
        <v>317.88330630101785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1.9895196601282805E-13</v>
      </c>
      <c r="CU111" s="18">
        <f>CT111*VLOOKUP('Données projet'!$B$13,Paramètres!$A$1:$I$89,3,0)*VLOOKUP('Données projet'!$B$13,Paramètres!$A$1:$I$89,5,0)</f>
        <v>1.3035332813160495E-13</v>
      </c>
      <c r="CV111" s="14">
        <f t="shared" si="95"/>
        <v>1.8987770485018903E-12</v>
      </c>
      <c r="CW111" s="22">
        <f t="shared" si="67"/>
        <v>3.5340687393033375E-12</v>
      </c>
      <c r="CX111" s="60">
        <f t="shared" si="68"/>
        <v>293.33333333333684</v>
      </c>
      <c r="CY111" s="60">
        <f ca="1">AVERAGE(OFFSET($CX$3,0,0,'Données projet'!$E$13+1,1))-AVERAGE(OFFSET($H$3,0,0,'Données projet'!$E$13+1,1))</f>
        <v>243.04319555814601</v>
      </c>
      <c r="CZ111" s="60">
        <f t="shared" si="96"/>
        <v>235.68746142880792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0" t="e">
        <f t="shared" si="71"/>
        <v>#NUM!</v>
      </c>
      <c r="DT111" s="60">
        <f ca="1">AVERAGE(OFFSET($DS$3,0,0,'Données projet'!$E$14+1,1))-AVERAGE(OFFSET($H$3,0,0,'Données projet'!$E$14+1,1))</f>
        <v>201.4732637505823</v>
      </c>
      <c r="DU111" s="60">
        <f t="shared" si="98"/>
        <v>342.06887933351783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1.4094477802720735</v>
      </c>
      <c r="EB111" s="23">
        <f>EXP(-LN(2)/25)*EB110+(1-EXP(-LN(2)/25))/(LN(2)/25)*Calculateur!DW111*Calculateur!DY111*VLOOKUP('Données projet'!$B$14,Paramètres!$A$1:$I$89,3,0)*0.475*44/12</f>
        <v>3.0414444706309447</v>
      </c>
      <c r="EC111" s="23">
        <f>EXP(-LN(2)/2)*EC110+(1-EXP(-LN(2)/2))/(LN(2)/2)*DW111*DZ111*VLOOKUP('Données projet'!$B$14,Paramètres!$A$1:$I$89,3,0)*0.475*44/12</f>
        <v>2.436928670248014E-11</v>
      </c>
      <c r="ED111" s="24">
        <f t="shared" si="72"/>
        <v>4.4508922509273869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-3.4106051316484809E-13</v>
      </c>
      <c r="EK111" s="18">
        <f>EJ111*VLOOKUP('Données projet'!$B$15,Paramètres!$A$1:$I$89,3,0)*VLOOKUP('Données projet'!$B$15,Paramètres!$A$1:$I$89,5,0)</f>
        <v>-2.0395418687257919E-13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260.01925143568263</v>
      </c>
      <c r="EP111" s="60">
        <f t="shared" si="100"/>
        <v>269.95358755269427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3.0322933666837542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3.0322933666837542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-9.2222762759774927E-14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256.19915261735281</v>
      </c>
      <c r="FK111" s="60">
        <f t="shared" si="102"/>
        <v>297.47246687305056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2.8421709430404007E-14</v>
      </c>
      <c r="GA111" s="18">
        <f>FZ111*VLOOKUP('Données projet'!$B$17,Paramètres!$A$1:$I$89,3,0)*VLOOKUP('Données projet'!$B$17,Paramètres!$A$1:$I$89,5,0)</f>
        <v>1.6257217794191094E-14</v>
      </c>
      <c r="GB111" s="14">
        <f t="shared" si="103"/>
        <v>3.0173973759155586E-13</v>
      </c>
      <c r="GC111" s="22">
        <f t="shared" si="79"/>
        <v>5.538446972968425E-13</v>
      </c>
      <c r="GD111" s="60">
        <f t="shared" si="80"/>
        <v>293.33333333333388</v>
      </c>
      <c r="GE111" s="60">
        <f ca="1">AVERAGE(OFFSET($GD$3,0,0,'Données projet'!$E$17+1,1))-AVERAGE(OFFSET($H$3,0,0,'Données projet'!$E$17+1,1))</f>
        <v>268.71641789629319</v>
      </c>
      <c r="GF111" s="60">
        <f t="shared" si="104"/>
        <v>199.94048514486104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0.24152582233559258</v>
      </c>
      <c r="GN111" s="23">
        <f>EXP(-LN(2)/2)*GN110+(1-EXP(-LN(2)/2))/(LN(2)/2)*GH111*GK111*VLOOKUP('Données projet'!$B$17,Paramètres!$A$1:$I$89,3,0)*0.475*44/12</f>
        <v>1.2688752158265218E-11</v>
      </c>
      <c r="GO111" s="23">
        <f t="shared" si="81"/>
        <v>0.24152582234828132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-2.8421709430404007E-13</v>
      </c>
      <c r="GV111" s="18">
        <f>GU111*VLOOKUP('Données projet'!$B$18,Paramètres!$A$1:$I$89,3,0)*VLOOKUP('Données projet'!$B$18,Paramètres!$A$1:$I$89,5,0)</f>
        <v>-1.69961822393816E-13</v>
      </c>
      <c r="GW111" s="14" t="e">
        <f t="shared" si="105"/>
        <v>#NUM!</v>
      </c>
      <c r="GX111" s="22" t="e">
        <f t="shared" si="82"/>
        <v>#NUM!</v>
      </c>
      <c r="GY111" s="60" t="e">
        <f t="shared" si="83"/>
        <v>#NUM!</v>
      </c>
      <c r="GZ111" s="60">
        <f ca="1">AVERAGE(OFFSET($GY$3,0,0,'Données projet'!$E$18+1,1))-AVERAGE(OFFSET($H$3,0,0,'Données projet'!$E$18+1,1))</f>
        <v>289.12367833861299</v>
      </c>
      <c r="HA111" s="60">
        <f t="shared" si="106"/>
        <v>229.06617320689003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7.5430490651805476E-12</v>
      </c>
      <c r="HJ111" s="24">
        <f t="shared" si="84"/>
        <v>7.5430490651805476E-12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253.34399999999974</v>
      </c>
      <c r="P112" s="14">
        <f t="shared" si="87"/>
        <v>61.301453431926198</v>
      </c>
      <c r="Q112" s="22">
        <f t="shared" si="107"/>
        <v>548.00749806060423</v>
      </c>
      <c r="R112" s="60">
        <f t="shared" si="55"/>
        <v>841.34083139393761</v>
      </c>
      <c r="S112" s="60">
        <f ca="1">AVERAGE(OFFSET($R$3,0,0,'Données projet'!$E$9+1,1))-AVERAGE(OFFSET($H$3,0,0,'Données projet'!$E$9+1,1))</f>
        <v>430.11660085503223</v>
      </c>
      <c r="T112" s="60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1.2710188457276673E-13</v>
      </c>
      <c r="AK112" s="14">
        <f t="shared" si="89"/>
        <v>1.856866851063998E-12</v>
      </c>
      <c r="AL112" s="22">
        <f t="shared" si="58"/>
        <v>3.4554122145673649E-12</v>
      </c>
      <c r="AM112" s="60">
        <f t="shared" si="59"/>
        <v>293.33333333333678</v>
      </c>
      <c r="AN112" s="60">
        <f ca="1">AVERAGE(OFFSET($AM$3,0,0,'Données projet'!$E$10+1,1))-AVERAGE(OFFSET($H$3,0,0,'Données projet'!$E$10+1,1))</f>
        <v>323.98185264074681</v>
      </c>
      <c r="AO112" s="60">
        <f t="shared" si="90"/>
        <v>301.22207291854005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0.9334543974059285</v>
      </c>
      <c r="AV112" s="23">
        <f>EXP(-LN(2)/25)*AV111+(1-EXP(-LN(2)/25))/(LN(2)/25)*Calculateur!AQ112*Calculateur!AS112*VLOOKUP('Données projet'!$B$10,Paramètres!$A$1:$I$89,3,0)*0.475*44/12</f>
        <v>0.92269249327792913</v>
      </c>
      <c r="AW112" s="23">
        <f>EXP(-LN(2)/2)*AW111+(1-EXP(-LN(2)/2))/(LN(2)/2)*AQ112*AT112*VLOOKUP('Données projet'!$B$10,Paramètres!$A$1:$I$89,3,0)*0.475*44/12</f>
        <v>7.8302577808500294E-12</v>
      </c>
      <c r="AX112" s="23">
        <f t="shared" si="60"/>
        <v>1.8561468906916878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6.1</v>
      </c>
      <c r="BD112" s="13">
        <f>IF('Données projet'!$A$88&gt;35,BD111+BC112-BL111,IF(A112&lt;'Données projet'!$A$88,$BA$205^A112,IF(A112='Données projet'!$A$88,'Données projet'!$B$88,BD111+BC112-BL111)))</f>
        <v>411.39999999999975</v>
      </c>
      <c r="BE112" s="14">
        <f>BD112*VLOOKUP('Données projet'!$B$11,Paramètres!$A$1:$I$89,3,0)*VLOOKUP('Données projet'!$B$11,Paramètres!$A$1:$I$89,5,0)</f>
        <v>352.98119999999983</v>
      </c>
      <c r="BF112" s="14">
        <f t="shared" si="91"/>
        <v>82.17606793016823</v>
      </c>
      <c r="BG112" s="22">
        <f t="shared" si="61"/>
        <v>757.89890831170942</v>
      </c>
      <c r="BH112" s="60">
        <f t="shared" si="62"/>
        <v>1051.2322416450427</v>
      </c>
      <c r="BI112" s="60">
        <f ca="1">AVERAGE(OFFSET($BH$3,0,0,'Données projet'!$E$11+1,1))-AVERAGE(OFFSET($H$3,0,0,'Données projet'!$E$11+1,1))</f>
        <v>556.75475431848258</v>
      </c>
      <c r="BJ112" s="60">
        <f t="shared" si="92"/>
        <v>256.77417912163997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3.4106051316484809E-13</v>
      </c>
      <c r="BZ112" s="14">
        <f>BY112*VLOOKUP('Données projet'!$B$12,Paramètres!$A$1:$I$89,3,0)*VLOOKUP('Données projet'!$B$12,Paramètres!$A$1:$I$89,5,0)</f>
        <v>2.5006556825246659E-13</v>
      </c>
      <c r="CA112" s="14">
        <f t="shared" si="93"/>
        <v>3.3765445850268018E-12</v>
      </c>
      <c r="CB112" s="22">
        <f t="shared" si="64"/>
        <v>6.3163460169613921E-12</v>
      </c>
      <c r="CC112" s="60">
        <f t="shared" si="65"/>
        <v>293.33333333333962</v>
      </c>
      <c r="CD112" s="60">
        <f ca="1">AVERAGE(OFFSET($CC$3,0,0,'Données projet'!$E$12+1,1))-AVERAGE(OFFSET($H$3,0,0,'Données projet'!$E$12+1,1))</f>
        <v>290.68086183422963</v>
      </c>
      <c r="CE112" s="60">
        <f t="shared" si="94"/>
        <v>317.88330630101785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1.9895196601282805E-13</v>
      </c>
      <c r="CU112" s="18">
        <f>CT112*VLOOKUP('Données projet'!$B$13,Paramètres!$A$1:$I$89,3,0)*VLOOKUP('Données projet'!$B$13,Paramètres!$A$1:$I$89,5,0)</f>
        <v>1.3035332813160495E-13</v>
      </c>
      <c r="CV112" s="14">
        <f t="shared" si="95"/>
        <v>1.8987770485018903E-12</v>
      </c>
      <c r="CW112" s="22">
        <f t="shared" si="67"/>
        <v>3.5340687393033375E-12</v>
      </c>
      <c r="CX112" s="60">
        <f t="shared" si="68"/>
        <v>293.33333333333684</v>
      </c>
      <c r="CY112" s="60">
        <f ca="1">AVERAGE(OFFSET($CX$3,0,0,'Données projet'!$E$13+1,1))-AVERAGE(OFFSET($H$3,0,0,'Données projet'!$E$13+1,1))</f>
        <v>243.04319555814601</v>
      </c>
      <c r="CZ112" s="60">
        <f t="shared" si="96"/>
        <v>235.68746142880792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0" t="e">
        <f t="shared" si="71"/>
        <v>#NUM!</v>
      </c>
      <c r="DT112" s="60">
        <f ca="1">AVERAGE(OFFSET($DS$3,0,0,'Données projet'!$E$14+1,1))-AVERAGE(OFFSET($H$3,0,0,'Données projet'!$E$14+1,1))</f>
        <v>201.4732637505823</v>
      </c>
      <c r="DU112" s="60">
        <f t="shared" si="98"/>
        <v>342.06887933351783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1.3818093689791979</v>
      </c>
      <c r="EB112" s="23">
        <f>EXP(-LN(2)/25)*EB111+(1-EXP(-LN(2)/25))/(LN(2)/25)*Calculateur!DW112*Calculateur!DY112*VLOOKUP('Données projet'!$B$14,Paramètres!$A$1:$I$89,3,0)*0.475*44/12</f>
        <v>2.9582760116389282</v>
      </c>
      <c r="EC112" s="23">
        <f>EXP(-LN(2)/2)*EC111+(1-EXP(-LN(2)/2))/(LN(2)/2)*DW112*DZ112*VLOOKUP('Données projet'!$B$14,Paramètres!$A$1:$I$89,3,0)*0.475*44/12</f>
        <v>1.7231687880002867E-11</v>
      </c>
      <c r="ED112" s="24">
        <f t="shared" si="72"/>
        <v>4.3400853806353572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-3.4106051316484809E-13</v>
      </c>
      <c r="EK112" s="18">
        <f>EJ112*VLOOKUP('Données projet'!$B$15,Paramètres!$A$1:$I$89,3,0)*VLOOKUP('Données projet'!$B$15,Paramètres!$A$1:$I$89,5,0)</f>
        <v>-2.0395418687257919E-13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260.01925143568263</v>
      </c>
      <c r="EP112" s="60">
        <f t="shared" si="100"/>
        <v>269.95358755269427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2.9728319432794148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2.9728319432794148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-9.2222762759774927E-14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256.19915261735281</v>
      </c>
      <c r="FK112" s="60">
        <f t="shared" si="102"/>
        <v>297.47246687305056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2.8421709430404007E-14</v>
      </c>
      <c r="GA112" s="18">
        <f>FZ112*VLOOKUP('Données projet'!$B$17,Paramètres!$A$1:$I$89,3,0)*VLOOKUP('Données projet'!$B$17,Paramètres!$A$1:$I$89,5,0)</f>
        <v>1.6257217794191094E-14</v>
      </c>
      <c r="GB112" s="14">
        <f t="shared" si="103"/>
        <v>3.0173973759155586E-13</v>
      </c>
      <c r="GC112" s="22">
        <f t="shared" si="79"/>
        <v>5.538446972968425E-13</v>
      </c>
      <c r="GD112" s="60">
        <f t="shared" si="80"/>
        <v>293.33333333333388</v>
      </c>
      <c r="GE112" s="60">
        <f ca="1">AVERAGE(OFFSET($GD$3,0,0,'Données projet'!$E$17+1,1))-AVERAGE(OFFSET($H$3,0,0,'Données projet'!$E$17+1,1))</f>
        <v>268.71641789629319</v>
      </c>
      <c r="GF112" s="60">
        <f t="shared" si="104"/>
        <v>199.94048514486104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0.23492128602253481</v>
      </c>
      <c r="GN112" s="23">
        <f>EXP(-LN(2)/2)*GN111+(1-EXP(-LN(2)/2))/(LN(2)/2)*GH112*GK112*VLOOKUP('Données projet'!$B$17,Paramètres!$A$1:$I$89,3,0)*0.475*44/12</f>
        <v>8.9723026959047762E-12</v>
      </c>
      <c r="GO112" s="23">
        <f t="shared" si="81"/>
        <v>0.23492128603150711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-2.8421709430404007E-13</v>
      </c>
      <c r="GV112" s="18">
        <f>GU112*VLOOKUP('Données projet'!$B$18,Paramètres!$A$1:$I$89,3,0)*VLOOKUP('Données projet'!$B$18,Paramètres!$A$1:$I$89,5,0)</f>
        <v>-1.69961822393816E-13</v>
      </c>
      <c r="GW112" s="14" t="e">
        <f t="shared" si="105"/>
        <v>#NUM!</v>
      </c>
      <c r="GX112" s="22" t="e">
        <f t="shared" si="82"/>
        <v>#NUM!</v>
      </c>
      <c r="GY112" s="60" t="e">
        <f t="shared" si="83"/>
        <v>#NUM!</v>
      </c>
      <c r="GZ112" s="60">
        <f ca="1">AVERAGE(OFFSET($GY$3,0,0,'Données projet'!$E$18+1,1))-AVERAGE(OFFSET($H$3,0,0,'Données projet'!$E$18+1,1))</f>
        <v>289.12367833861299</v>
      </c>
      <c r="HA112" s="60">
        <f t="shared" si="106"/>
        <v>229.06617320689003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5.3337411448120134E-12</v>
      </c>
      <c r="HJ112" s="24">
        <f t="shared" si="84"/>
        <v>5.3337411448120134E-12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256.96319999999974</v>
      </c>
      <c r="P113" s="14">
        <f t="shared" si="87"/>
        <v>62.074612956837967</v>
      </c>
      <c r="Q113" s="22">
        <f t="shared" si="107"/>
        <v>555.65752423315905</v>
      </c>
      <c r="R113" s="60">
        <f t="shared" si="55"/>
        <v>848.99085756649242</v>
      </c>
      <c r="S113" s="60">
        <f ca="1">AVERAGE(OFFSET($R$3,0,0,'Données projet'!$E$9+1,1))-AVERAGE(OFFSET($H$3,0,0,'Données projet'!$E$9+1,1))</f>
        <v>430.11660085503223</v>
      </c>
      <c r="T113" s="60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1.2710188457276673E-13</v>
      </c>
      <c r="AK113" s="14">
        <f t="shared" si="89"/>
        <v>1.856866851063998E-12</v>
      </c>
      <c r="AL113" s="22">
        <f t="shared" si="58"/>
        <v>3.4554122145673649E-12</v>
      </c>
      <c r="AM113" s="60">
        <f t="shared" si="59"/>
        <v>293.33333333333678</v>
      </c>
      <c r="AN113" s="60">
        <f ca="1">AVERAGE(OFFSET($AM$3,0,0,'Données projet'!$E$10+1,1))-AVERAGE(OFFSET($H$3,0,0,'Données projet'!$E$10+1,1))</f>
        <v>323.98185264074681</v>
      </c>
      <c r="AO113" s="60">
        <f t="shared" si="90"/>
        <v>301.22207291854005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0.91514992602376188</v>
      </c>
      <c r="AV113" s="23">
        <f>EXP(-LN(2)/25)*AV112+(1-EXP(-LN(2)/25))/(LN(2)/25)*Calculateur!AQ113*Calculateur!AS113*VLOOKUP('Données projet'!$B$10,Paramètres!$A$1:$I$89,3,0)*0.475*44/12</f>
        <v>0.89746141852695482</v>
      </c>
      <c r="AW113" s="23">
        <f>EXP(-LN(2)/2)*AW112+(1-EXP(-LN(2)/2))/(LN(2)/2)*AQ113*AT113*VLOOKUP('Données projet'!$B$10,Paramètres!$A$1:$I$89,3,0)*0.475*44/12</f>
        <v>5.5368283752777831E-12</v>
      </c>
      <c r="AX113" s="23">
        <f t="shared" si="60"/>
        <v>1.8126113445562537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6.1</v>
      </c>
      <c r="BD113" s="13">
        <f>IF('Données projet'!$A$88&gt;35,BD112+BC113-BL112,IF(A113&lt;'Données projet'!$A$88,$BA$205^A113,IF(A113='Données projet'!$A$88,'Données projet'!$B$88,BD112+BC113-BL112)))</f>
        <v>417.49999999999977</v>
      </c>
      <c r="BE113" s="14">
        <f>BD113*VLOOKUP('Données projet'!$B$11,Paramètres!$A$1:$I$89,3,0)*VLOOKUP('Données projet'!$B$11,Paramètres!$A$1:$I$89,5,0)</f>
        <v>358.21499999999986</v>
      </c>
      <c r="BF113" s="14">
        <f t="shared" si="91"/>
        <v>83.251774265704142</v>
      </c>
      <c r="BG113" s="22">
        <f t="shared" si="61"/>
        <v>768.88796517943445</v>
      </c>
      <c r="BH113" s="60">
        <f t="shared" si="62"/>
        <v>1062.2212985127678</v>
      </c>
      <c r="BI113" s="60">
        <f ca="1">AVERAGE(OFFSET($BH$3,0,0,'Données projet'!$E$11+1,1))-AVERAGE(OFFSET($H$3,0,0,'Données projet'!$E$11+1,1))</f>
        <v>556.75475431848258</v>
      </c>
      <c r="BJ113" s="60">
        <f t="shared" si="92"/>
        <v>256.77417912163997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3.4106051316484809E-13</v>
      </c>
      <c r="BZ113" s="14">
        <f>BY113*VLOOKUP('Données projet'!$B$12,Paramètres!$A$1:$I$89,3,0)*VLOOKUP('Données projet'!$B$12,Paramètres!$A$1:$I$89,5,0)</f>
        <v>2.5006556825246659E-13</v>
      </c>
      <c r="CA113" s="14">
        <f t="shared" si="93"/>
        <v>3.3765445850268018E-12</v>
      </c>
      <c r="CB113" s="22">
        <f t="shared" si="64"/>
        <v>6.3163460169613921E-12</v>
      </c>
      <c r="CC113" s="60">
        <f t="shared" si="65"/>
        <v>293.33333333333962</v>
      </c>
      <c r="CD113" s="60">
        <f ca="1">AVERAGE(OFFSET($CC$3,0,0,'Données projet'!$E$12+1,1))-AVERAGE(OFFSET($H$3,0,0,'Données projet'!$E$12+1,1))</f>
        <v>290.68086183422963</v>
      </c>
      <c r="CE113" s="60">
        <f t="shared" si="94"/>
        <v>317.88330630101785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1.9895196601282805E-13</v>
      </c>
      <c r="CU113" s="18">
        <f>CT113*VLOOKUP('Données projet'!$B$13,Paramètres!$A$1:$I$89,3,0)*VLOOKUP('Données projet'!$B$13,Paramètres!$A$1:$I$89,5,0)</f>
        <v>1.3035332813160495E-13</v>
      </c>
      <c r="CV113" s="14">
        <f t="shared" si="95"/>
        <v>1.8987770485018903E-12</v>
      </c>
      <c r="CW113" s="22">
        <f t="shared" si="67"/>
        <v>3.5340687393033375E-12</v>
      </c>
      <c r="CX113" s="60">
        <f t="shared" si="68"/>
        <v>293.33333333333684</v>
      </c>
      <c r="CY113" s="60">
        <f ca="1">AVERAGE(OFFSET($CX$3,0,0,'Données projet'!$E$13+1,1))-AVERAGE(OFFSET($H$3,0,0,'Données projet'!$E$13+1,1))</f>
        <v>243.04319555814601</v>
      </c>
      <c r="CZ113" s="60">
        <f t="shared" si="96"/>
        <v>235.68746142880792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201.4732637505823</v>
      </c>
      <c r="DU113" s="60">
        <f t="shared" si="98"/>
        <v>342.06887933351783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1.3547129300740093</v>
      </c>
      <c r="EB113" s="23">
        <f>EXP(-LN(2)/25)*EB112+(1-EXP(-LN(2)/25))/(LN(2)/25)*Calculateur!DW113*Calculateur!DY113*VLOOKUP('Données projet'!$B$14,Paramètres!$A$1:$I$89,3,0)*0.475*44/12</f>
        <v>2.8773817985316876</v>
      </c>
      <c r="EC113" s="23">
        <f>EXP(-LN(2)/2)*EC112+(1-EXP(-LN(2)/2))/(LN(2)/2)*DW113*DZ113*VLOOKUP('Données projet'!$B$14,Paramètres!$A$1:$I$89,3,0)*0.475*44/12</f>
        <v>1.218464335124007E-11</v>
      </c>
      <c r="ED113" s="24">
        <f t="shared" si="72"/>
        <v>4.2320947286178816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-3.4106051316484809E-13</v>
      </c>
      <c r="EK113" s="18">
        <f>EJ113*VLOOKUP('Données projet'!$B$15,Paramètres!$A$1:$I$89,3,0)*VLOOKUP('Données projet'!$B$15,Paramètres!$A$1:$I$89,5,0)</f>
        <v>-2.0395418687257919E-13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260.01925143568263</v>
      </c>
      <c r="EP113" s="60">
        <f t="shared" si="100"/>
        <v>269.95358755269427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2.9145365221201476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2.9145365221201476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-9.2222762759774927E-14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256.19915261735281</v>
      </c>
      <c r="FK113" s="60">
        <f t="shared" si="102"/>
        <v>297.47246687305056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2.8421709430404007E-14</v>
      </c>
      <c r="GA113" s="18">
        <f>FZ113*VLOOKUP('Données projet'!$B$17,Paramètres!$A$1:$I$89,3,0)*VLOOKUP('Données projet'!$B$17,Paramètres!$A$1:$I$89,5,0)</f>
        <v>1.6257217794191094E-14</v>
      </c>
      <c r="GB113" s="14">
        <f t="shared" si="103"/>
        <v>3.0173973759155586E-13</v>
      </c>
      <c r="GC113" s="22">
        <f t="shared" si="79"/>
        <v>5.538446972968425E-13</v>
      </c>
      <c r="GD113" s="60">
        <f t="shared" si="80"/>
        <v>293.33333333333388</v>
      </c>
      <c r="GE113" s="60">
        <f ca="1">AVERAGE(OFFSET($GD$3,0,0,'Données projet'!$E$17+1,1))-AVERAGE(OFFSET($H$3,0,0,'Données projet'!$E$17+1,1))</f>
        <v>268.71641789629319</v>
      </c>
      <c r="GF113" s="60">
        <f t="shared" si="104"/>
        <v>199.94048514486104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0.22849735110227509</v>
      </c>
      <c r="GN113" s="23">
        <f>EXP(-LN(2)/2)*GN112+(1-EXP(-LN(2)/2))/(LN(2)/2)*GH113*GK113*VLOOKUP('Données projet'!$B$17,Paramètres!$A$1:$I$89,3,0)*0.475*44/12</f>
        <v>6.3443760791326091E-12</v>
      </c>
      <c r="GO113" s="23">
        <f t="shared" si="81"/>
        <v>0.22849735110861946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-2.8421709430404007E-13</v>
      </c>
      <c r="GV113" s="18">
        <f>GU113*VLOOKUP('Données projet'!$B$18,Paramètres!$A$1:$I$89,3,0)*VLOOKUP('Données projet'!$B$18,Paramètres!$A$1:$I$89,5,0)</f>
        <v>-1.69961822393816E-13</v>
      </c>
      <c r="GW113" s="14" t="e">
        <f t="shared" si="105"/>
        <v>#NUM!</v>
      </c>
      <c r="GX113" s="22" t="e">
        <f t="shared" si="82"/>
        <v>#NUM!</v>
      </c>
      <c r="GY113" s="60" t="e">
        <f t="shared" si="83"/>
        <v>#NUM!</v>
      </c>
      <c r="GZ113" s="60">
        <f ca="1">AVERAGE(OFFSET($GY$3,0,0,'Données projet'!$E$18+1,1))-AVERAGE(OFFSET($H$3,0,0,'Données projet'!$E$18+1,1))</f>
        <v>289.12367833861299</v>
      </c>
      <c r="HA113" s="60">
        <f t="shared" si="106"/>
        <v>229.06617320689003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3.7715245325902738E-12</v>
      </c>
      <c r="HJ113" s="24">
        <f t="shared" si="84"/>
        <v>3.7715245325902738E-12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260.58239999999972</v>
      </c>
      <c r="P114" s="14">
        <f t="shared" si="87"/>
        <v>62.84650592989685</v>
      </c>
      <c r="Q114" s="22">
        <f t="shared" si="107"/>
        <v>563.30534449456991</v>
      </c>
      <c r="R114" s="60">
        <f t="shared" si="55"/>
        <v>856.63867782790317</v>
      </c>
      <c r="S114" s="60">
        <f ca="1">AVERAGE(OFFSET($R$3,0,0,'Données projet'!$E$9+1,1))-AVERAGE(OFFSET($H$3,0,0,'Données projet'!$E$9+1,1))</f>
        <v>430.11660085503223</v>
      </c>
      <c r="T114" s="60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1.2710188457276673E-13</v>
      </c>
      <c r="AK114" s="14">
        <f t="shared" si="89"/>
        <v>1.856866851063998E-12</v>
      </c>
      <c r="AL114" s="22">
        <f t="shared" si="58"/>
        <v>3.4554122145673649E-12</v>
      </c>
      <c r="AM114" s="60">
        <f t="shared" si="59"/>
        <v>293.33333333333678</v>
      </c>
      <c r="AN114" s="60">
        <f ca="1">AVERAGE(OFFSET($AM$3,0,0,'Données projet'!$E$10+1,1))-AVERAGE(OFFSET($H$3,0,0,'Données projet'!$E$10+1,1))</f>
        <v>323.98185264074681</v>
      </c>
      <c r="AO114" s="60">
        <f t="shared" si="90"/>
        <v>301.22207291854005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0.89720439416077447</v>
      </c>
      <c r="AV114" s="23">
        <f>EXP(-LN(2)/25)*AV113+(1-EXP(-LN(2)/25))/(LN(2)/25)*Calculateur!AQ114*Calculateur!AS114*VLOOKUP('Données projet'!$B$10,Paramètres!$A$1:$I$89,3,0)*0.475*44/12</f>
        <v>0.87292028884189043</v>
      </c>
      <c r="AW114" s="23">
        <f>EXP(-LN(2)/2)*AW113+(1-EXP(-LN(2)/2))/(LN(2)/2)*AQ114*AT114*VLOOKUP('Données projet'!$B$10,Paramètres!$A$1:$I$89,3,0)*0.475*44/12</f>
        <v>3.9151288904250147E-12</v>
      </c>
      <c r="AX114" s="23">
        <f t="shared" si="60"/>
        <v>1.77012468300658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6.1</v>
      </c>
      <c r="BD114" s="13">
        <f>IF('Données projet'!$A$88&gt;35,BD113+BC114-BL113,IF(A114&lt;'Données projet'!$A$88,$BA$205^A114,IF(A114='Données projet'!$A$88,'Données projet'!$B$88,BD113+BC114-BL113)))</f>
        <v>423.5999999999998</v>
      </c>
      <c r="BE114" s="14">
        <f>BD114*VLOOKUP('Données projet'!$B$11,Paramètres!$A$1:$I$89,3,0)*VLOOKUP('Données projet'!$B$11,Paramètres!$A$1:$I$89,5,0)</f>
        <v>363.44879999999984</v>
      </c>
      <c r="BF114" s="14">
        <f t="shared" si="91"/>
        <v>84.325652639289402</v>
      </c>
      <c r="BG114" s="22">
        <f t="shared" si="61"/>
        <v>779.87383834676211</v>
      </c>
      <c r="BH114" s="60">
        <f t="shared" si="62"/>
        <v>1073.2071716800954</v>
      </c>
      <c r="BI114" s="60">
        <f ca="1">AVERAGE(OFFSET($BH$3,0,0,'Données projet'!$E$11+1,1))-AVERAGE(OFFSET($H$3,0,0,'Données projet'!$E$11+1,1))</f>
        <v>556.75475431848258</v>
      </c>
      <c r="BJ114" s="60">
        <f t="shared" si="92"/>
        <v>256.77417912163997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3.4106051316484809E-13</v>
      </c>
      <c r="BZ114" s="14">
        <f>BY114*VLOOKUP('Données projet'!$B$12,Paramètres!$A$1:$I$89,3,0)*VLOOKUP('Données projet'!$B$12,Paramètres!$A$1:$I$89,5,0)</f>
        <v>2.5006556825246659E-13</v>
      </c>
      <c r="CA114" s="14">
        <f t="shared" si="93"/>
        <v>3.3765445850268018E-12</v>
      </c>
      <c r="CB114" s="22">
        <f t="shared" si="64"/>
        <v>6.3163460169613921E-12</v>
      </c>
      <c r="CC114" s="60">
        <f t="shared" si="65"/>
        <v>293.33333333333962</v>
      </c>
      <c r="CD114" s="60">
        <f ca="1">AVERAGE(OFFSET($CC$3,0,0,'Données projet'!$E$12+1,1))-AVERAGE(OFFSET($H$3,0,0,'Données projet'!$E$12+1,1))</f>
        <v>290.68086183422963</v>
      </c>
      <c r="CE114" s="60">
        <f t="shared" si="94"/>
        <v>317.88330630101785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1.9895196601282805E-13</v>
      </c>
      <c r="CU114" s="18">
        <f>CT114*VLOOKUP('Données projet'!$B$13,Paramètres!$A$1:$I$89,3,0)*VLOOKUP('Données projet'!$B$13,Paramètres!$A$1:$I$89,5,0)</f>
        <v>1.3035332813160495E-13</v>
      </c>
      <c r="CV114" s="14">
        <f t="shared" si="95"/>
        <v>1.8987770485018903E-12</v>
      </c>
      <c r="CW114" s="22">
        <f t="shared" si="67"/>
        <v>3.5340687393033375E-12</v>
      </c>
      <c r="CX114" s="60">
        <f t="shared" si="68"/>
        <v>293.33333333333684</v>
      </c>
      <c r="CY114" s="60">
        <f ca="1">AVERAGE(OFFSET($CX$3,0,0,'Données projet'!$E$13+1,1))-AVERAGE(OFFSET($H$3,0,0,'Données projet'!$E$13+1,1))</f>
        <v>243.04319555814601</v>
      </c>
      <c r="CZ114" s="60">
        <f t="shared" si="96"/>
        <v>235.68746142880792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201.4732637505823</v>
      </c>
      <c r="DU114" s="60">
        <f t="shared" si="98"/>
        <v>342.06887933351783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1.3281478358085557</v>
      </c>
      <c r="EB114" s="23">
        <f>EXP(-LN(2)/25)*EB113+(1-EXP(-LN(2)/25))/(LN(2)/25)*Calculateur!DW114*Calculateur!DY114*VLOOKUP('Données projet'!$B$14,Paramètres!$A$1:$I$89,3,0)*0.475*44/12</f>
        <v>2.7986996419359063</v>
      </c>
      <c r="EC114" s="23">
        <f>EXP(-LN(2)/2)*EC113+(1-EXP(-LN(2)/2))/(LN(2)/2)*DW114*DZ114*VLOOKUP('Données projet'!$B$14,Paramètres!$A$1:$I$89,3,0)*0.475*44/12</f>
        <v>8.6158439400014334E-12</v>
      </c>
      <c r="ED114" s="24">
        <f t="shared" si="72"/>
        <v>4.1268474777530786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-3.4106051316484809E-13</v>
      </c>
      <c r="EK114" s="18">
        <f>EJ114*VLOOKUP('Données projet'!$B$15,Paramètres!$A$1:$I$89,3,0)*VLOOKUP('Données projet'!$B$15,Paramètres!$A$1:$I$89,5,0)</f>
        <v>-2.0395418687257919E-13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260.01925143568263</v>
      </c>
      <c r="EP114" s="60">
        <f t="shared" si="100"/>
        <v>269.95358755269427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2.8573842386131174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2.8573842386131174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-9.2222762759774927E-14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256.19915261735281</v>
      </c>
      <c r="FK114" s="60">
        <f t="shared" si="102"/>
        <v>297.47246687305056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2.8421709430404007E-14</v>
      </c>
      <c r="GA114" s="18">
        <f>FZ114*VLOOKUP('Données projet'!$B$17,Paramètres!$A$1:$I$89,3,0)*VLOOKUP('Données projet'!$B$17,Paramètres!$A$1:$I$89,5,0)</f>
        <v>1.6257217794191094E-14</v>
      </c>
      <c r="GB114" s="14">
        <f t="shared" si="103"/>
        <v>3.0173973759155586E-13</v>
      </c>
      <c r="GC114" s="22">
        <f t="shared" si="79"/>
        <v>5.538446972968425E-13</v>
      </c>
      <c r="GD114" s="60">
        <f t="shared" si="80"/>
        <v>293.33333333333388</v>
      </c>
      <c r="GE114" s="60">
        <f ca="1">AVERAGE(OFFSET($GD$3,0,0,'Données projet'!$E$17+1,1))-AVERAGE(OFFSET($H$3,0,0,'Données projet'!$E$17+1,1))</f>
        <v>268.71641789629319</v>
      </c>
      <c r="GF114" s="60">
        <f t="shared" si="104"/>
        <v>199.94048514486104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0.22224907902022992</v>
      </c>
      <c r="GN114" s="23">
        <f>EXP(-LN(2)/2)*GN113+(1-EXP(-LN(2)/2))/(LN(2)/2)*GH114*GK114*VLOOKUP('Données projet'!$B$17,Paramètres!$A$1:$I$89,3,0)*0.475*44/12</f>
        <v>4.4861513479523881E-12</v>
      </c>
      <c r="GO114" s="23">
        <f t="shared" si="81"/>
        <v>0.22224907902471608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-2.8421709430404007E-13</v>
      </c>
      <c r="GV114" s="18">
        <f>GU114*VLOOKUP('Données projet'!$B$18,Paramètres!$A$1:$I$89,3,0)*VLOOKUP('Données projet'!$B$18,Paramètres!$A$1:$I$89,5,0)</f>
        <v>-1.69961822393816E-13</v>
      </c>
      <c r="GW114" s="14" t="e">
        <f t="shared" si="105"/>
        <v>#NUM!</v>
      </c>
      <c r="GX114" s="22" t="e">
        <f t="shared" si="82"/>
        <v>#NUM!</v>
      </c>
      <c r="GY114" s="60" t="e">
        <f t="shared" si="83"/>
        <v>#NUM!</v>
      </c>
      <c r="GZ114" s="60">
        <f ca="1">AVERAGE(OFFSET($GY$3,0,0,'Données projet'!$E$18+1,1))-AVERAGE(OFFSET($H$3,0,0,'Données projet'!$E$18+1,1))</f>
        <v>289.12367833861299</v>
      </c>
      <c r="HA114" s="60">
        <f t="shared" si="106"/>
        <v>229.06617320689003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2.6668705724060067E-12</v>
      </c>
      <c r="HJ114" s="24">
        <f t="shared" si="84"/>
        <v>2.6668705724060067E-12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264.2015999999997</v>
      </c>
      <c r="P115" s="14">
        <f t="shared" si="87"/>
        <v>63.617151975096711</v>
      </c>
      <c r="Q115" s="22">
        <f t="shared" si="107"/>
        <v>570.95099302329288</v>
      </c>
      <c r="R115" s="60">
        <f t="shared" si="55"/>
        <v>864.28432635662625</v>
      </c>
      <c r="S115" s="60">
        <f ca="1">AVERAGE(OFFSET($R$3,0,0,'Données projet'!$E$9+1,1))-AVERAGE(OFFSET($H$3,0,0,'Données projet'!$E$9+1,1))</f>
        <v>430.11660085503223</v>
      </c>
      <c r="T115" s="60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1.2710188457276673E-13</v>
      </c>
      <c r="AK115" s="14">
        <f t="shared" si="89"/>
        <v>1.856866851063998E-12</v>
      </c>
      <c r="AL115" s="22">
        <f t="shared" si="58"/>
        <v>3.4554122145673649E-12</v>
      </c>
      <c r="AM115" s="60">
        <f t="shared" si="59"/>
        <v>293.33333333333678</v>
      </c>
      <c r="AN115" s="60">
        <f ca="1">AVERAGE(OFFSET($AM$3,0,0,'Données projet'!$E$10+1,1))-AVERAGE(OFFSET($H$3,0,0,'Données projet'!$E$10+1,1))</f>
        <v>323.98185264074681</v>
      </c>
      <c r="AO115" s="60">
        <f t="shared" si="90"/>
        <v>301.22207291854005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0.87961076323192655</v>
      </c>
      <c r="AV115" s="23">
        <f>EXP(-LN(2)/25)*AV114+(1-EXP(-LN(2)/25))/(LN(2)/25)*Calculateur!AQ115*Calculateur!AS115*VLOOKUP('Données projet'!$B$10,Paramètres!$A$1:$I$89,3,0)*0.475*44/12</f>
        <v>0.84905023763862608</v>
      </c>
      <c r="AW115" s="23">
        <f>EXP(-LN(2)/2)*AW114+(1-EXP(-LN(2)/2))/(LN(2)/2)*AQ115*AT115*VLOOKUP('Données projet'!$B$10,Paramètres!$A$1:$I$89,3,0)*0.475*44/12</f>
        <v>2.7684141876388915E-12</v>
      </c>
      <c r="AX115" s="23">
        <f t="shared" si="60"/>
        <v>1.7286610008733212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6.1</v>
      </c>
      <c r="BD115" s="13">
        <f>IF('Données projet'!$A$88&gt;35,BD114+BC115-BL114,IF(A115&lt;'Données projet'!$A$88,$BA$205^A115,IF(A115='Données projet'!$A$88,'Données projet'!$B$88,BD114+BC115-BL114)))</f>
        <v>429.69999999999982</v>
      </c>
      <c r="BE115" s="14">
        <f>BD115*VLOOKUP('Données projet'!$B$11,Paramètres!$A$1:$I$89,3,0)*VLOOKUP('Données projet'!$B$11,Paramètres!$A$1:$I$89,5,0)</f>
        <v>368.68259999999987</v>
      </c>
      <c r="BF115" s="14">
        <f t="shared" si="91"/>
        <v>85.397732415730914</v>
      </c>
      <c r="BG115" s="22">
        <f t="shared" si="61"/>
        <v>790.85657895739769</v>
      </c>
      <c r="BH115" s="60">
        <f t="shared" si="62"/>
        <v>1084.1899122907309</v>
      </c>
      <c r="BI115" s="60">
        <f ca="1">AVERAGE(OFFSET($BH$3,0,0,'Données projet'!$E$11+1,1))-AVERAGE(OFFSET($H$3,0,0,'Données projet'!$E$11+1,1))</f>
        <v>556.75475431848258</v>
      </c>
      <c r="BJ115" s="60">
        <f t="shared" si="92"/>
        <v>256.77417912163997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3.4106051316484809E-13</v>
      </c>
      <c r="BZ115" s="14">
        <f>BY115*VLOOKUP('Données projet'!$B$12,Paramètres!$A$1:$I$89,3,0)*VLOOKUP('Données projet'!$B$12,Paramètres!$A$1:$I$89,5,0)</f>
        <v>2.5006556825246659E-13</v>
      </c>
      <c r="CA115" s="14">
        <f t="shared" si="93"/>
        <v>3.3765445850268018E-12</v>
      </c>
      <c r="CB115" s="22">
        <f t="shared" si="64"/>
        <v>6.3163460169613921E-12</v>
      </c>
      <c r="CC115" s="60">
        <f t="shared" si="65"/>
        <v>293.33333333333962</v>
      </c>
      <c r="CD115" s="60">
        <f ca="1">AVERAGE(OFFSET($CC$3,0,0,'Données projet'!$E$12+1,1))-AVERAGE(OFFSET($H$3,0,0,'Données projet'!$E$12+1,1))</f>
        <v>290.68086183422963</v>
      </c>
      <c r="CE115" s="60">
        <f t="shared" si="94"/>
        <v>317.88330630101785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1.9895196601282805E-13</v>
      </c>
      <c r="CU115" s="18">
        <f>CT115*VLOOKUP('Données projet'!$B$13,Paramètres!$A$1:$I$89,3,0)*VLOOKUP('Données projet'!$B$13,Paramètres!$A$1:$I$89,5,0)</f>
        <v>1.3035332813160495E-13</v>
      </c>
      <c r="CV115" s="14">
        <f t="shared" si="95"/>
        <v>1.8987770485018903E-12</v>
      </c>
      <c r="CW115" s="22">
        <f t="shared" si="67"/>
        <v>3.5340687393033375E-12</v>
      </c>
      <c r="CX115" s="60">
        <f t="shared" si="68"/>
        <v>293.33333333333684</v>
      </c>
      <c r="CY115" s="60">
        <f ca="1">AVERAGE(OFFSET($CX$3,0,0,'Données projet'!$E$13+1,1))-AVERAGE(OFFSET($H$3,0,0,'Données projet'!$E$13+1,1))</f>
        <v>243.04319555814601</v>
      </c>
      <c r="CZ115" s="60">
        <f t="shared" si="96"/>
        <v>235.68746142880792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201.4732637505823</v>
      </c>
      <c r="DU115" s="60">
        <f t="shared" si="98"/>
        <v>342.06887933351783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1.30210366683854</v>
      </c>
      <c r="EB115" s="23">
        <f>EXP(-LN(2)/25)*EB114+(1-EXP(-LN(2)/25))/(LN(2)/25)*Calculateur!DW115*Calculateur!DY115*VLOOKUP('Données projet'!$B$14,Paramètres!$A$1:$I$89,3,0)*0.475*44/12</f>
        <v>2.7221690530499512</v>
      </c>
      <c r="EC115" s="23">
        <f>EXP(-LN(2)/2)*EC114+(1-EXP(-LN(2)/2))/(LN(2)/2)*DW115*DZ115*VLOOKUP('Données projet'!$B$14,Paramètres!$A$1:$I$89,3,0)*0.475*44/12</f>
        <v>6.0923216756200351E-12</v>
      </c>
      <c r="ED115" s="24">
        <f t="shared" si="72"/>
        <v>4.0242727198945829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-3.4106051316484809E-13</v>
      </c>
      <c r="EK115" s="18">
        <f>EJ115*VLOOKUP('Données projet'!$B$15,Paramètres!$A$1:$I$89,3,0)*VLOOKUP('Données projet'!$B$15,Paramètres!$A$1:$I$89,5,0)</f>
        <v>-2.0395418687257919E-13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260.01925143568263</v>
      </c>
      <c r="EP115" s="60">
        <f t="shared" si="100"/>
        <v>269.95358755269427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2.8013526765262093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2.8013526765262093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-9.2222762759774927E-14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256.19915261735281</v>
      </c>
      <c r="FK115" s="60">
        <f t="shared" si="102"/>
        <v>297.47246687305056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2.8421709430404007E-14</v>
      </c>
      <c r="GA115" s="18">
        <f>FZ115*VLOOKUP('Données projet'!$B$17,Paramètres!$A$1:$I$89,3,0)*VLOOKUP('Données projet'!$B$17,Paramètres!$A$1:$I$89,5,0)</f>
        <v>1.6257217794191094E-14</v>
      </c>
      <c r="GB115" s="14">
        <f t="shared" si="103"/>
        <v>3.0173973759155586E-13</v>
      </c>
      <c r="GC115" s="22">
        <f t="shared" si="79"/>
        <v>5.538446972968425E-13</v>
      </c>
      <c r="GD115" s="60">
        <f t="shared" si="80"/>
        <v>293.33333333333388</v>
      </c>
      <c r="GE115" s="60">
        <f ca="1">AVERAGE(OFFSET($GD$3,0,0,'Données projet'!$E$17+1,1))-AVERAGE(OFFSET($H$3,0,0,'Données projet'!$E$17+1,1))</f>
        <v>268.71641789629319</v>
      </c>
      <c r="GF115" s="60">
        <f t="shared" si="104"/>
        <v>199.94048514486104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0.21617166626685061</v>
      </c>
      <c r="GN115" s="23">
        <f>EXP(-LN(2)/2)*GN114+(1-EXP(-LN(2)/2))/(LN(2)/2)*GH115*GK115*VLOOKUP('Données projet'!$B$17,Paramètres!$A$1:$I$89,3,0)*0.475*44/12</f>
        <v>3.1721880395663046E-12</v>
      </c>
      <c r="GO115" s="23">
        <f t="shared" si="81"/>
        <v>0.21617166627002279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-2.8421709430404007E-13</v>
      </c>
      <c r="GV115" s="18">
        <f>GU115*VLOOKUP('Données projet'!$B$18,Paramètres!$A$1:$I$89,3,0)*VLOOKUP('Données projet'!$B$18,Paramètres!$A$1:$I$89,5,0)</f>
        <v>-1.69961822393816E-13</v>
      </c>
      <c r="GW115" s="14" t="e">
        <f t="shared" si="105"/>
        <v>#NUM!</v>
      </c>
      <c r="GX115" s="22" t="e">
        <f t="shared" si="82"/>
        <v>#NUM!</v>
      </c>
      <c r="GY115" s="60" t="e">
        <f t="shared" si="83"/>
        <v>#NUM!</v>
      </c>
      <c r="GZ115" s="60">
        <f ca="1">AVERAGE(OFFSET($GY$3,0,0,'Données projet'!$E$18+1,1))-AVERAGE(OFFSET($H$3,0,0,'Données projet'!$E$18+1,1))</f>
        <v>289.12367833861299</v>
      </c>
      <c r="HA115" s="60">
        <f t="shared" si="106"/>
        <v>229.06617320689003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1.8857622662951369E-12</v>
      </c>
      <c r="HJ115" s="24">
        <f t="shared" si="84"/>
        <v>1.8857622662951369E-12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267.82079999999974</v>
      </c>
      <c r="P116" s="14">
        <f t="shared" si="87"/>
        <v>64.386570147897245</v>
      </c>
      <c r="Q116" s="22">
        <f t="shared" si="107"/>
        <v>578.59450300758726</v>
      </c>
      <c r="R116" s="60">
        <f t="shared" si="55"/>
        <v>871.92783634092052</v>
      </c>
      <c r="S116" s="60">
        <f ca="1">AVERAGE(OFFSET($R$3,0,0,'Données projet'!$E$9+1,1))-AVERAGE(OFFSET($H$3,0,0,'Données projet'!$E$9+1,1))</f>
        <v>430.11660085503223</v>
      </c>
      <c r="T116" s="60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1.2710188457276673E-13</v>
      </c>
      <c r="AK116" s="14">
        <f t="shared" si="89"/>
        <v>1.856866851063998E-12</v>
      </c>
      <c r="AL116" s="22">
        <f t="shared" si="58"/>
        <v>3.4554122145673649E-12</v>
      </c>
      <c r="AM116" s="60">
        <f t="shared" si="59"/>
        <v>293.33333333333678</v>
      </c>
      <c r="AN116" s="60">
        <f ca="1">AVERAGE(OFFSET($AM$3,0,0,'Données projet'!$E$10+1,1))-AVERAGE(OFFSET($H$3,0,0,'Données projet'!$E$10+1,1))</f>
        <v>323.98185264074681</v>
      </c>
      <c r="AO116" s="60">
        <f t="shared" si="90"/>
        <v>301.22207291854005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0.8623621326745381</v>
      </c>
      <c r="AV116" s="23">
        <f>EXP(-LN(2)/25)*AV115+(1-EXP(-LN(2)/25))/(LN(2)/25)*Calculateur!AQ116*Calculateur!AS116*VLOOKUP('Données projet'!$B$10,Paramètres!$A$1:$I$89,3,0)*0.475*44/12</f>
        <v>0.82583291424078642</v>
      </c>
      <c r="AW116" s="23">
        <f>EXP(-LN(2)/2)*AW115+(1-EXP(-LN(2)/2))/(LN(2)/2)*AQ116*AT116*VLOOKUP('Données projet'!$B$10,Paramètres!$A$1:$I$89,3,0)*0.475*44/12</f>
        <v>1.9575644452125074E-12</v>
      </c>
      <c r="AX116" s="23">
        <f t="shared" si="60"/>
        <v>1.6881950469172819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6.1</v>
      </c>
      <c r="BD116" s="13">
        <f>IF('Données projet'!$A$88&gt;35,BD115+BC116-BL115,IF(A116&lt;'Données projet'!$A$88,$BA$205^A116,IF(A116='Données projet'!$A$88,'Données projet'!$B$88,BD115+BC116-BL115)))</f>
        <v>435.79999999999984</v>
      </c>
      <c r="BE116" s="14">
        <f>BD116*VLOOKUP('Données projet'!$B$11,Paramètres!$A$1:$I$89,3,0)*VLOOKUP('Données projet'!$B$11,Paramètres!$A$1:$I$89,5,0)</f>
        <v>373.9163999999999</v>
      </c>
      <c r="BF116" s="14">
        <f t="shared" si="91"/>
        <v>86.468042078230127</v>
      </c>
      <c r="BG116" s="22">
        <f t="shared" si="61"/>
        <v>801.83623661958381</v>
      </c>
      <c r="BH116" s="60">
        <f t="shared" si="62"/>
        <v>1095.1695699529171</v>
      </c>
      <c r="BI116" s="60">
        <f ca="1">AVERAGE(OFFSET($BH$3,0,0,'Données projet'!$E$11+1,1))-AVERAGE(OFFSET($H$3,0,0,'Données projet'!$E$11+1,1))</f>
        <v>556.75475431848258</v>
      </c>
      <c r="BJ116" s="60">
        <f t="shared" si="92"/>
        <v>256.77417912163997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3.4106051316484809E-13</v>
      </c>
      <c r="BZ116" s="14">
        <f>BY116*VLOOKUP('Données projet'!$B$12,Paramètres!$A$1:$I$89,3,0)*VLOOKUP('Données projet'!$B$12,Paramètres!$A$1:$I$89,5,0)</f>
        <v>2.5006556825246659E-13</v>
      </c>
      <c r="CA116" s="14">
        <f t="shared" si="93"/>
        <v>3.3765445850268018E-12</v>
      </c>
      <c r="CB116" s="22">
        <f t="shared" si="64"/>
        <v>6.3163460169613921E-12</v>
      </c>
      <c r="CC116" s="60">
        <f t="shared" si="65"/>
        <v>293.33333333333962</v>
      </c>
      <c r="CD116" s="60">
        <f ca="1">AVERAGE(OFFSET($CC$3,0,0,'Données projet'!$E$12+1,1))-AVERAGE(OFFSET($H$3,0,0,'Données projet'!$E$12+1,1))</f>
        <v>290.68086183422963</v>
      </c>
      <c r="CE116" s="60">
        <f t="shared" si="94"/>
        <v>317.88330630101785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1.9895196601282805E-13</v>
      </c>
      <c r="CU116" s="18">
        <f>CT116*VLOOKUP('Données projet'!$B$13,Paramètres!$A$1:$I$89,3,0)*VLOOKUP('Données projet'!$B$13,Paramètres!$A$1:$I$89,5,0)</f>
        <v>1.3035332813160495E-13</v>
      </c>
      <c r="CV116" s="14">
        <f t="shared" si="95"/>
        <v>1.8987770485018903E-12</v>
      </c>
      <c r="CW116" s="22">
        <f t="shared" si="67"/>
        <v>3.5340687393033375E-12</v>
      </c>
      <c r="CX116" s="60">
        <f t="shared" si="68"/>
        <v>293.33333333333684</v>
      </c>
      <c r="CY116" s="60">
        <f ca="1">AVERAGE(OFFSET($CX$3,0,0,'Données projet'!$E$13+1,1))-AVERAGE(OFFSET($H$3,0,0,'Données projet'!$E$13+1,1))</f>
        <v>243.04319555814601</v>
      </c>
      <c r="CZ116" s="60">
        <f t="shared" si="96"/>
        <v>235.68746142880792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201.4732637505823</v>
      </c>
      <c r="DU116" s="60">
        <f t="shared" si="98"/>
        <v>342.06887933351783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1.2765702081366517</v>
      </c>
      <c r="EB116" s="23">
        <f>EXP(-LN(2)/25)*EB115+(1-EXP(-LN(2)/25))/(LN(2)/25)*Calculateur!DW116*Calculateur!DY116*VLOOKUP('Données projet'!$B$14,Paramètres!$A$1:$I$89,3,0)*0.475*44/12</f>
        <v>2.6477311971416513</v>
      </c>
      <c r="EC116" s="23">
        <f>EXP(-LN(2)/2)*EC115+(1-EXP(-LN(2)/2))/(LN(2)/2)*DW116*DZ116*VLOOKUP('Données projet'!$B$14,Paramètres!$A$1:$I$89,3,0)*0.475*44/12</f>
        <v>4.3079219700007167E-12</v>
      </c>
      <c r="ED116" s="24">
        <f t="shared" si="72"/>
        <v>3.9243014052826113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-3.4106051316484809E-13</v>
      </c>
      <c r="EK116" s="18">
        <f>EJ116*VLOOKUP('Données projet'!$B$15,Paramètres!$A$1:$I$89,3,0)*VLOOKUP('Données projet'!$B$15,Paramètres!$A$1:$I$89,5,0)</f>
        <v>-2.0395418687257919E-13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260.01925143568263</v>
      </c>
      <c r="EP116" s="60">
        <f t="shared" si="100"/>
        <v>269.95358755269427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2.7464198591959472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2.7464198591959472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-9.2222762759774927E-14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256.19915261735281</v>
      </c>
      <c r="FK116" s="60">
        <f t="shared" si="102"/>
        <v>297.47246687305056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2.8421709430404007E-14</v>
      </c>
      <c r="GA116" s="18">
        <f>FZ116*VLOOKUP('Données projet'!$B$17,Paramètres!$A$1:$I$89,3,0)*VLOOKUP('Données projet'!$B$17,Paramètres!$A$1:$I$89,5,0)</f>
        <v>1.6257217794191094E-14</v>
      </c>
      <c r="GB116" s="14">
        <f t="shared" si="103"/>
        <v>3.0173973759155586E-13</v>
      </c>
      <c r="GC116" s="22">
        <f t="shared" si="79"/>
        <v>5.538446972968425E-13</v>
      </c>
      <c r="GD116" s="60">
        <f t="shared" si="80"/>
        <v>293.33333333333388</v>
      </c>
      <c r="GE116" s="60">
        <f ca="1">AVERAGE(OFFSET($GD$3,0,0,'Données projet'!$E$17+1,1))-AVERAGE(OFFSET($H$3,0,0,'Données projet'!$E$17+1,1))</f>
        <v>268.71641789629319</v>
      </c>
      <c r="GF116" s="60">
        <f t="shared" si="104"/>
        <v>199.94048514486104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0.21026044068480973</v>
      </c>
      <c r="GN116" s="23">
        <f>EXP(-LN(2)/2)*GN115+(1-EXP(-LN(2)/2))/(LN(2)/2)*GH116*GK116*VLOOKUP('Données projet'!$B$17,Paramètres!$A$1:$I$89,3,0)*0.475*44/12</f>
        <v>2.2430756739761941E-12</v>
      </c>
      <c r="GO116" s="23">
        <f t="shared" si="81"/>
        <v>0.2102604406870528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-2.8421709430404007E-13</v>
      </c>
      <c r="GV116" s="18">
        <f>GU116*VLOOKUP('Données projet'!$B$18,Paramètres!$A$1:$I$89,3,0)*VLOOKUP('Données projet'!$B$18,Paramètres!$A$1:$I$89,5,0)</f>
        <v>-1.69961822393816E-13</v>
      </c>
      <c r="GW116" s="14" t="e">
        <f t="shared" si="105"/>
        <v>#NUM!</v>
      </c>
      <c r="GX116" s="22" t="e">
        <f t="shared" si="82"/>
        <v>#NUM!</v>
      </c>
      <c r="GY116" s="60" t="e">
        <f t="shared" si="83"/>
        <v>#NUM!</v>
      </c>
      <c r="GZ116" s="60">
        <f ca="1">AVERAGE(OFFSET($GY$3,0,0,'Données projet'!$E$18+1,1))-AVERAGE(OFFSET($H$3,0,0,'Données projet'!$E$18+1,1))</f>
        <v>289.12367833861299</v>
      </c>
      <c r="HA116" s="60">
        <f t="shared" si="106"/>
        <v>229.06617320689003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1.3334352862030033E-12</v>
      </c>
      <c r="HJ116" s="24">
        <f t="shared" si="84"/>
        <v>1.3334352862030033E-12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271.43999999999977</v>
      </c>
      <c r="P117" s="14">
        <f t="shared" si="87"/>
        <v>65.154778959151116</v>
      </c>
      <c r="Q117" s="22">
        <f t="shared" si="107"/>
        <v>586.23590668718782</v>
      </c>
      <c r="R117" s="60">
        <f t="shared" si="55"/>
        <v>879.56924002052119</v>
      </c>
      <c r="S117" s="60">
        <f ca="1">AVERAGE(OFFSET($R$3,0,0,'Données projet'!$E$9+1,1))-AVERAGE(OFFSET($H$3,0,0,'Données projet'!$E$9+1,1))</f>
        <v>430.11660085503223</v>
      </c>
      <c r="T117" s="60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1.2710188457276673E-13</v>
      </c>
      <c r="AK117" s="14">
        <f t="shared" si="89"/>
        <v>1.856866851063998E-12</v>
      </c>
      <c r="AL117" s="22">
        <f t="shared" si="58"/>
        <v>3.4554122145673649E-12</v>
      </c>
      <c r="AM117" s="60">
        <f t="shared" si="59"/>
        <v>293.33333333333678</v>
      </c>
      <c r="AN117" s="60">
        <f ca="1">AVERAGE(OFFSET($AM$3,0,0,'Données projet'!$E$10+1,1))-AVERAGE(OFFSET($H$3,0,0,'Données projet'!$E$10+1,1))</f>
        <v>323.98185264074681</v>
      </c>
      <c r="AO117" s="60">
        <f t="shared" si="90"/>
        <v>301.22207291854005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0.84545173724175426</v>
      </c>
      <c r="AV117" s="23">
        <f>EXP(-LN(2)/25)*AV116+(1-EXP(-LN(2)/25))/(LN(2)/25)*Calculateur!AQ117*Calculateur!AS117*VLOOKUP('Données projet'!$B$10,Paramètres!$A$1:$I$89,3,0)*0.475*44/12</f>
        <v>0.8032504697722066</v>
      </c>
      <c r="AW117" s="23">
        <f>EXP(-LN(2)/2)*AW116+(1-EXP(-LN(2)/2))/(LN(2)/2)*AQ117*AT117*VLOOKUP('Données projet'!$B$10,Paramètres!$A$1:$I$89,3,0)*0.475*44/12</f>
        <v>1.3842070938194458E-12</v>
      </c>
      <c r="AX117" s="23">
        <f t="shared" si="60"/>
        <v>1.648702207015345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6.1</v>
      </c>
      <c r="BD117" s="13">
        <f>IF('Données projet'!$A$88&gt;35,BD116+BC117-BL116,IF(A117&lt;'Données projet'!$A$88,$BA$205^A117,IF(A117='Données projet'!$A$88,'Données projet'!$B$88,BD116+BC117-BL116)))</f>
        <v>441.89999999999986</v>
      </c>
      <c r="BE117" s="14">
        <f>BD117*VLOOKUP('Données projet'!$B$11,Paramètres!$A$1:$I$89,3,0)*VLOOKUP('Données projet'!$B$11,Paramètres!$A$1:$I$89,5,0)</f>
        <v>379.15019999999993</v>
      </c>
      <c r="BF117" s="14">
        <f t="shared" si="91"/>
        <v>87.536609266813826</v>
      </c>
      <c r="BG117" s="22">
        <f t="shared" si="61"/>
        <v>812.81285947303388</v>
      </c>
      <c r="BH117" s="60">
        <f t="shared" si="62"/>
        <v>1106.1461928063673</v>
      </c>
      <c r="BI117" s="60">
        <f ca="1">AVERAGE(OFFSET($BH$3,0,0,'Données projet'!$E$11+1,1))-AVERAGE(OFFSET($H$3,0,0,'Données projet'!$E$11+1,1))</f>
        <v>556.75475431848258</v>
      </c>
      <c r="BJ117" s="60">
        <f t="shared" si="92"/>
        <v>256.77417912163997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3.4106051316484809E-13</v>
      </c>
      <c r="BZ117" s="14">
        <f>BY117*VLOOKUP('Données projet'!$B$12,Paramètres!$A$1:$I$89,3,0)*VLOOKUP('Données projet'!$B$12,Paramètres!$A$1:$I$89,5,0)</f>
        <v>2.5006556825246659E-13</v>
      </c>
      <c r="CA117" s="14">
        <f t="shared" si="93"/>
        <v>3.3765445850268018E-12</v>
      </c>
      <c r="CB117" s="22">
        <f t="shared" si="64"/>
        <v>6.3163460169613921E-12</v>
      </c>
      <c r="CC117" s="60">
        <f t="shared" si="65"/>
        <v>293.33333333333962</v>
      </c>
      <c r="CD117" s="60">
        <f ca="1">AVERAGE(OFFSET($CC$3,0,0,'Données projet'!$E$12+1,1))-AVERAGE(OFFSET($H$3,0,0,'Données projet'!$E$12+1,1))</f>
        <v>290.68086183422963</v>
      </c>
      <c r="CE117" s="60">
        <f t="shared" si="94"/>
        <v>317.88330630101785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1.9895196601282805E-13</v>
      </c>
      <c r="CU117" s="18">
        <f>CT117*VLOOKUP('Données projet'!$B$13,Paramètres!$A$1:$I$89,3,0)*VLOOKUP('Données projet'!$B$13,Paramètres!$A$1:$I$89,5,0)</f>
        <v>1.3035332813160495E-13</v>
      </c>
      <c r="CV117" s="14">
        <f t="shared" si="95"/>
        <v>1.8987770485018903E-12</v>
      </c>
      <c r="CW117" s="22">
        <f t="shared" si="67"/>
        <v>3.5340687393033375E-12</v>
      </c>
      <c r="CX117" s="60">
        <f t="shared" si="68"/>
        <v>293.33333333333684</v>
      </c>
      <c r="CY117" s="60">
        <f ca="1">AVERAGE(OFFSET($CX$3,0,0,'Données projet'!$E$13+1,1))-AVERAGE(OFFSET($H$3,0,0,'Données projet'!$E$13+1,1))</f>
        <v>243.04319555814601</v>
      </c>
      <c r="CZ117" s="60">
        <f t="shared" si="96"/>
        <v>235.68746142880792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201.4732637505823</v>
      </c>
      <c r="DU117" s="60">
        <f t="shared" si="98"/>
        <v>342.06887933351783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1.2515374449860355</v>
      </c>
      <c r="EB117" s="23">
        <f>EXP(-LN(2)/25)*EB116+(1-EXP(-LN(2)/25))/(LN(2)/25)*Calculateur!DW117*Calculateur!DY117*VLOOKUP('Données projet'!$B$14,Paramètres!$A$1:$I$89,3,0)*0.475*44/12</f>
        <v>2.5753288483176808</v>
      </c>
      <c r="EC117" s="23">
        <f>EXP(-LN(2)/2)*EC116+(1-EXP(-LN(2)/2))/(LN(2)/2)*DW117*DZ117*VLOOKUP('Données projet'!$B$14,Paramètres!$A$1:$I$89,3,0)*0.475*44/12</f>
        <v>3.0461608378100175E-12</v>
      </c>
      <c r="ED117" s="24">
        <f t="shared" si="72"/>
        <v>3.8268662933067623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-3.4106051316484809E-13</v>
      </c>
      <c r="EK117" s="18">
        <f>EJ117*VLOOKUP('Données projet'!$B$15,Paramètres!$A$1:$I$89,3,0)*VLOOKUP('Données projet'!$B$15,Paramètres!$A$1:$I$89,5,0)</f>
        <v>-2.0395418687257919E-13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260.01925143568263</v>
      </c>
      <c r="EP117" s="60">
        <f t="shared" si="100"/>
        <v>269.95358755269427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2.6925642409078212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2.6925642409078212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-9.2222762759774927E-14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256.19915261735281</v>
      </c>
      <c r="FK117" s="60">
        <f t="shared" si="102"/>
        <v>297.47246687305056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2.8421709430404007E-14</v>
      </c>
      <c r="GA117" s="18">
        <f>FZ117*VLOOKUP('Données projet'!$B$17,Paramètres!$A$1:$I$89,3,0)*VLOOKUP('Données projet'!$B$17,Paramètres!$A$1:$I$89,5,0)</f>
        <v>1.6257217794191094E-14</v>
      </c>
      <c r="GB117" s="14">
        <f t="shared" si="103"/>
        <v>3.0173973759155586E-13</v>
      </c>
      <c r="GC117" s="22">
        <f t="shared" si="79"/>
        <v>5.538446972968425E-13</v>
      </c>
      <c r="GD117" s="60">
        <f t="shared" si="80"/>
        <v>293.33333333333388</v>
      </c>
      <c r="GE117" s="60">
        <f ca="1">AVERAGE(OFFSET($GD$3,0,0,'Données projet'!$E$17+1,1))-AVERAGE(OFFSET($H$3,0,0,'Données projet'!$E$17+1,1))</f>
        <v>268.71641789629319</v>
      </c>
      <c r="GF117" s="60">
        <f t="shared" si="104"/>
        <v>199.94048514486104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0.20451085787716758</v>
      </c>
      <c r="GN117" s="23">
        <f>EXP(-LN(2)/2)*GN116+(1-EXP(-LN(2)/2))/(LN(2)/2)*GH117*GK117*VLOOKUP('Données projet'!$B$17,Paramètres!$A$1:$I$89,3,0)*0.475*44/12</f>
        <v>1.5860940197831523E-12</v>
      </c>
      <c r="GO117" s="23">
        <f t="shared" si="81"/>
        <v>0.20451085787875367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-2.8421709430404007E-13</v>
      </c>
      <c r="GV117" s="18">
        <f>GU117*VLOOKUP('Données projet'!$B$18,Paramètres!$A$1:$I$89,3,0)*VLOOKUP('Données projet'!$B$18,Paramètres!$A$1:$I$89,5,0)</f>
        <v>-1.69961822393816E-13</v>
      </c>
      <c r="GW117" s="14" t="e">
        <f t="shared" si="105"/>
        <v>#NUM!</v>
      </c>
      <c r="GX117" s="22" t="e">
        <f t="shared" si="82"/>
        <v>#NUM!</v>
      </c>
      <c r="GY117" s="60" t="e">
        <f t="shared" si="83"/>
        <v>#NUM!</v>
      </c>
      <c r="GZ117" s="60">
        <f ca="1">AVERAGE(OFFSET($GY$3,0,0,'Données projet'!$E$18+1,1))-AVERAGE(OFFSET($H$3,0,0,'Données projet'!$E$18+1,1))</f>
        <v>289.12367833861299</v>
      </c>
      <c r="HA117" s="60">
        <f t="shared" si="106"/>
        <v>229.06617320689003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9.4288113314756844E-13</v>
      </c>
      <c r="HJ117" s="24">
        <f t="shared" si="84"/>
        <v>9.4288113314756844E-13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275.05919999999975</v>
      </c>
      <c r="P118" s="14">
        <f t="shared" si="87"/>
        <v>65.921796397718325</v>
      </c>
      <c r="Q118" s="22">
        <f t="shared" si="107"/>
        <v>593.87523539269228</v>
      </c>
      <c r="R118" s="60">
        <f t="shared" si="55"/>
        <v>887.20856872602553</v>
      </c>
      <c r="S118" s="60">
        <f ca="1">AVERAGE(OFFSET($R$3,0,0,'Données projet'!$E$9+1,1))-AVERAGE(OFFSET($H$3,0,0,'Données projet'!$E$9+1,1))</f>
        <v>430.11660085503223</v>
      </c>
      <c r="T118" s="60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1.2710188457276673E-13</v>
      </c>
      <c r="AK118" s="14">
        <f t="shared" si="89"/>
        <v>1.856866851063998E-12</v>
      </c>
      <c r="AL118" s="22">
        <f t="shared" si="58"/>
        <v>3.4554122145673649E-12</v>
      </c>
      <c r="AM118" s="60">
        <f t="shared" si="59"/>
        <v>293.33333333333678</v>
      </c>
      <c r="AN118" s="60">
        <f ca="1">AVERAGE(OFFSET($AM$3,0,0,'Données projet'!$E$10+1,1))-AVERAGE(OFFSET($H$3,0,0,'Données projet'!$E$10+1,1))</f>
        <v>323.98185264074681</v>
      </c>
      <c r="AO118" s="60">
        <f t="shared" si="90"/>
        <v>301.22207291854005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0.82887294434908454</v>
      </c>
      <c r="AV118" s="23">
        <f>EXP(-LN(2)/25)*AV117+(1-EXP(-LN(2)/25))/(LN(2)/25)*Calculateur!AQ118*Calculateur!AS118*VLOOKUP('Données projet'!$B$10,Paramètres!$A$1:$I$89,3,0)*0.475*44/12</f>
        <v>0.78128554343517931</v>
      </c>
      <c r="AW118" s="23">
        <f>EXP(-LN(2)/2)*AW117+(1-EXP(-LN(2)/2))/(LN(2)/2)*AQ118*AT118*VLOOKUP('Données projet'!$B$10,Paramètres!$A$1:$I$89,3,0)*0.475*44/12</f>
        <v>9.7878222260625368E-13</v>
      </c>
      <c r="AX118" s="23">
        <f t="shared" si="60"/>
        <v>1.6101584877852426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448</v>
      </c>
      <c r="BB118" s="13">
        <f>VLOOKUP(A118,'Données projet'!$A$87:$I$107,9,0)</f>
        <v>6.1</v>
      </c>
      <c r="BC118" s="13">
        <f t="array" ref="BC118">INDEX(BB:BB,MIN(IF(ISNUMBER(BB118:BB314),ROW(BB118:BB314),"")))</f>
        <v>6.1</v>
      </c>
      <c r="BD118" s="13">
        <f>IF('Données projet'!$A$88&gt;35,BD117+BC118-BL117,IF(A118&lt;'Données projet'!$A$88,$BA$205^A118,IF(A118='Données projet'!$A$88,'Données projet'!$B$88,BD117+BC118-BL117)))</f>
        <v>447.99999999999989</v>
      </c>
      <c r="BE118" s="14">
        <f>BD118*VLOOKUP('Données projet'!$B$11,Paramètres!$A$1:$I$89,3,0)*VLOOKUP('Données projet'!$B$11,Paramètres!$A$1:$I$89,5,0)</f>
        <v>384.38399999999996</v>
      </c>
      <c r="BF118" s="14">
        <f t="shared" si="91"/>
        <v>88.60346081458151</v>
      </c>
      <c r="BG118" s="22">
        <f t="shared" si="61"/>
        <v>823.78649425206277</v>
      </c>
      <c r="BH118" s="60">
        <f t="shared" si="62"/>
        <v>1117.119827585396</v>
      </c>
      <c r="BI118" s="60">
        <f ca="1">AVERAGE(OFFSET($BH$3,0,0,'Données projet'!$E$11+1,1))-AVERAGE(OFFSET($H$3,0,0,'Données projet'!$E$11+1,1))</f>
        <v>556.75475431848258</v>
      </c>
      <c r="BJ118" s="60">
        <f t="shared" si="92"/>
        <v>256.77417912163997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44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3.4106051316484809E-13</v>
      </c>
      <c r="BZ118" s="14">
        <f>BY118*VLOOKUP('Données projet'!$B$12,Paramètres!$A$1:$I$89,3,0)*VLOOKUP('Données projet'!$B$12,Paramètres!$A$1:$I$89,5,0)</f>
        <v>2.5006556825246659E-13</v>
      </c>
      <c r="CA118" s="14">
        <f t="shared" si="93"/>
        <v>3.3765445850268018E-12</v>
      </c>
      <c r="CB118" s="22">
        <f t="shared" si="64"/>
        <v>6.3163460169613921E-12</v>
      </c>
      <c r="CC118" s="60">
        <f t="shared" si="65"/>
        <v>293.33333333333962</v>
      </c>
      <c r="CD118" s="60">
        <f ca="1">AVERAGE(OFFSET($CC$3,0,0,'Données projet'!$E$12+1,1))-AVERAGE(OFFSET($H$3,0,0,'Données projet'!$E$12+1,1))</f>
        <v>290.68086183422963</v>
      </c>
      <c r="CE118" s="60">
        <f t="shared" si="94"/>
        <v>317.88330630101785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1.9895196601282805E-13</v>
      </c>
      <c r="CU118" s="18">
        <f>CT118*VLOOKUP('Données projet'!$B$13,Paramètres!$A$1:$I$89,3,0)*VLOOKUP('Données projet'!$B$13,Paramètres!$A$1:$I$89,5,0)</f>
        <v>1.3035332813160495E-13</v>
      </c>
      <c r="CV118" s="14">
        <f t="shared" si="95"/>
        <v>1.8987770485018903E-12</v>
      </c>
      <c r="CW118" s="22">
        <f t="shared" si="67"/>
        <v>3.5340687393033375E-12</v>
      </c>
      <c r="CX118" s="60">
        <f t="shared" si="68"/>
        <v>293.33333333333684</v>
      </c>
      <c r="CY118" s="60">
        <f ca="1">AVERAGE(OFFSET($CX$3,0,0,'Données projet'!$E$13+1,1))-AVERAGE(OFFSET($H$3,0,0,'Données projet'!$E$13+1,1))</f>
        <v>243.04319555814601</v>
      </c>
      <c r="CZ118" s="60">
        <f t="shared" si="96"/>
        <v>235.68746142880792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201.4732637505823</v>
      </c>
      <c r="DU118" s="60">
        <f t="shared" si="98"/>
        <v>342.06887933351783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1.2269955590523249</v>
      </c>
      <c r="EB118" s="23">
        <f>EXP(-LN(2)/25)*EB117+(1-EXP(-LN(2)/25))/(LN(2)/25)*Calculateur!DW118*Calculateur!DY118*VLOOKUP('Données projet'!$B$14,Paramètres!$A$1:$I$89,3,0)*0.475*44/12</f>
        <v>2.5049063455297755</v>
      </c>
      <c r="EC118" s="23">
        <f>EXP(-LN(2)/2)*EC117+(1-EXP(-LN(2)/2))/(LN(2)/2)*DW118*DZ118*VLOOKUP('Données projet'!$B$14,Paramètres!$A$1:$I$89,3,0)*0.475*44/12</f>
        <v>2.1539609850003583E-12</v>
      </c>
      <c r="ED118" s="24">
        <f t="shared" si="72"/>
        <v>3.7319019045842543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-3.4106051316484809E-13</v>
      </c>
      <c r="EK118" s="18">
        <f>EJ118*VLOOKUP('Données projet'!$B$15,Paramètres!$A$1:$I$89,3,0)*VLOOKUP('Données projet'!$B$15,Paramètres!$A$1:$I$89,5,0)</f>
        <v>-2.0395418687257919E-13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260.01925143568263</v>
      </c>
      <c r="EP118" s="60">
        <f t="shared" si="100"/>
        <v>269.95358755269427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2.6397646984456418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2.6397646984456418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-9.2222762759774927E-14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256.19915261735281</v>
      </c>
      <c r="FK118" s="60">
        <f t="shared" si="102"/>
        <v>297.47246687305056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2.8421709430404007E-14</v>
      </c>
      <c r="GA118" s="18">
        <f>FZ118*VLOOKUP('Données projet'!$B$17,Paramètres!$A$1:$I$89,3,0)*VLOOKUP('Données projet'!$B$17,Paramètres!$A$1:$I$89,5,0)</f>
        <v>1.6257217794191094E-14</v>
      </c>
      <c r="GB118" s="14">
        <f t="shared" si="103"/>
        <v>3.0173973759155586E-13</v>
      </c>
      <c r="GC118" s="22">
        <f t="shared" si="79"/>
        <v>5.538446972968425E-13</v>
      </c>
      <c r="GD118" s="60">
        <f t="shared" si="80"/>
        <v>293.33333333333388</v>
      </c>
      <c r="GE118" s="60">
        <f ca="1">AVERAGE(OFFSET($GD$3,0,0,'Données projet'!$E$17+1,1))-AVERAGE(OFFSET($H$3,0,0,'Données projet'!$E$17+1,1))</f>
        <v>268.71641789629319</v>
      </c>
      <c r="GF118" s="60">
        <f t="shared" si="104"/>
        <v>199.94048514486104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0.19891849771375783</v>
      </c>
      <c r="GN118" s="23">
        <f>EXP(-LN(2)/2)*GN117+(1-EXP(-LN(2)/2))/(LN(2)/2)*GH118*GK118*VLOOKUP('Données projet'!$B$17,Paramètres!$A$1:$I$89,3,0)*0.475*44/12</f>
        <v>1.121537836988097E-12</v>
      </c>
      <c r="GO118" s="23">
        <f t="shared" si="81"/>
        <v>0.19891849771487938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-2.8421709430404007E-13</v>
      </c>
      <c r="GV118" s="18">
        <f>GU118*VLOOKUP('Données projet'!$B$18,Paramètres!$A$1:$I$89,3,0)*VLOOKUP('Données projet'!$B$18,Paramètres!$A$1:$I$89,5,0)</f>
        <v>-1.69961822393816E-13</v>
      </c>
      <c r="GW118" s="14" t="e">
        <f t="shared" si="105"/>
        <v>#NUM!</v>
      </c>
      <c r="GX118" s="22" t="e">
        <f t="shared" si="82"/>
        <v>#NUM!</v>
      </c>
      <c r="GY118" s="60" t="e">
        <f t="shared" si="83"/>
        <v>#NUM!</v>
      </c>
      <c r="GZ118" s="60">
        <f ca="1">AVERAGE(OFFSET($GY$3,0,0,'Données projet'!$E$18+1,1))-AVERAGE(OFFSET($H$3,0,0,'Données projet'!$E$18+1,1))</f>
        <v>289.12367833861299</v>
      </c>
      <c r="HA118" s="60">
        <f t="shared" si="106"/>
        <v>229.06617320689003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6.6671764310150167E-13</v>
      </c>
      <c r="HJ118" s="24">
        <f t="shared" si="84"/>
        <v>6.6671764310150167E-13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244.65791999999973</v>
      </c>
      <c r="P119" s="14">
        <f t="shared" si="87"/>
        <v>59.44058075210863</v>
      </c>
      <c r="Q119" s="22">
        <f t="shared" si="107"/>
        <v>529.63822214325535</v>
      </c>
      <c r="R119" s="60">
        <f t="shared" si="55"/>
        <v>822.97155547658872</v>
      </c>
      <c r="S119" s="60">
        <f ca="1">AVERAGE(OFFSET($R$3,0,0,'Données projet'!$E$9+1,1))-AVERAGE(OFFSET($H$3,0,0,'Données projet'!$E$9+1,1))</f>
        <v>430.11660085503223</v>
      </c>
      <c r="T119" s="60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1.2710188457276673E-13</v>
      </c>
      <c r="AK119" s="14">
        <f t="shared" si="89"/>
        <v>1.856866851063998E-12</v>
      </c>
      <c r="AL119" s="22">
        <f t="shared" si="58"/>
        <v>3.4554122145673649E-12</v>
      </c>
      <c r="AM119" s="60">
        <f t="shared" si="59"/>
        <v>293.33333333333678</v>
      </c>
      <c r="AN119" s="60">
        <f ca="1">AVERAGE(OFFSET($AM$3,0,0,'Données projet'!$E$10+1,1))-AVERAGE(OFFSET($H$3,0,0,'Données projet'!$E$10+1,1))</f>
        <v>323.98185264074681</v>
      </c>
      <c r="AO119" s="60">
        <f t="shared" si="90"/>
        <v>301.22207291854005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0.81261925147297487</v>
      </c>
      <c r="AV119" s="23">
        <f>EXP(-LN(2)/25)*AV118+(1-EXP(-LN(2)/25))/(LN(2)/25)*Calculateur!AQ119*Calculateur!AS119*VLOOKUP('Données projet'!$B$10,Paramètres!$A$1:$I$89,3,0)*0.475*44/12</f>
        <v>0.75992124916392323</v>
      </c>
      <c r="AW119" s="23">
        <f>EXP(-LN(2)/2)*AW118+(1-EXP(-LN(2)/2))/(LN(2)/2)*AQ119*AT119*VLOOKUP('Données projet'!$B$10,Paramètres!$A$1:$I$89,3,0)*0.475*44/12</f>
        <v>6.9210354690972288E-13</v>
      </c>
      <c r="AX119" s="23">
        <f t="shared" si="60"/>
        <v>1.5725405006375903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5.4</v>
      </c>
      <c r="BD119" s="13">
        <f>IF('Données projet'!$A$88&gt;35,BD118+BC119-BL118,IF(A119&lt;'Données projet'!$A$88,$BA$205^A119,IF(A119='Données projet'!$A$88,'Données projet'!$B$88,BD118+BC119-BL118)))</f>
        <v>409.39999999999986</v>
      </c>
      <c r="BE119" s="14">
        <f>BD119*VLOOKUP('Données projet'!$B$11,Paramètres!$A$1:$I$89,3,0)*VLOOKUP('Données projet'!$B$11,Paramètres!$A$1:$I$89,5,0)</f>
        <v>351.26519999999988</v>
      </c>
      <c r="BF119" s="14">
        <f t="shared" si="91"/>
        <v>81.822974322436622</v>
      </c>
      <c r="BG119" s="22">
        <f t="shared" si="61"/>
        <v>754.29523694491024</v>
      </c>
      <c r="BH119" s="60">
        <f t="shared" si="62"/>
        <v>1047.6285702782436</v>
      </c>
      <c r="BI119" s="60">
        <f ca="1">AVERAGE(OFFSET($BH$3,0,0,'Données projet'!$E$11+1,1))-AVERAGE(OFFSET($H$3,0,0,'Données projet'!$E$11+1,1))</f>
        <v>556.75475431848258</v>
      </c>
      <c r="BJ119" s="60">
        <f t="shared" si="92"/>
        <v>256.77417912163997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3.4106051316484809E-13</v>
      </c>
      <c r="BZ119" s="14">
        <f>BY119*VLOOKUP('Données projet'!$B$12,Paramètres!$A$1:$I$89,3,0)*VLOOKUP('Données projet'!$B$12,Paramètres!$A$1:$I$89,5,0)</f>
        <v>2.5006556825246659E-13</v>
      </c>
      <c r="CA119" s="14">
        <f t="shared" si="93"/>
        <v>3.3765445850268018E-12</v>
      </c>
      <c r="CB119" s="22">
        <f t="shared" si="64"/>
        <v>6.3163460169613921E-12</v>
      </c>
      <c r="CC119" s="60">
        <f t="shared" si="65"/>
        <v>293.33333333333962</v>
      </c>
      <c r="CD119" s="60">
        <f ca="1">AVERAGE(OFFSET($CC$3,0,0,'Données projet'!$E$12+1,1))-AVERAGE(OFFSET($H$3,0,0,'Données projet'!$E$12+1,1))</f>
        <v>290.68086183422963</v>
      </c>
      <c r="CE119" s="60">
        <f t="shared" si="94"/>
        <v>317.88330630101785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1.9895196601282805E-13</v>
      </c>
      <c r="CU119" s="18">
        <f>CT119*VLOOKUP('Données projet'!$B$13,Paramètres!$A$1:$I$89,3,0)*VLOOKUP('Données projet'!$B$13,Paramètres!$A$1:$I$89,5,0)</f>
        <v>1.3035332813160495E-13</v>
      </c>
      <c r="CV119" s="14">
        <f t="shared" si="95"/>
        <v>1.8987770485018903E-12</v>
      </c>
      <c r="CW119" s="22">
        <f t="shared" si="67"/>
        <v>3.5340687393033375E-12</v>
      </c>
      <c r="CX119" s="60">
        <f t="shared" si="68"/>
        <v>293.33333333333684</v>
      </c>
      <c r="CY119" s="60">
        <f ca="1">AVERAGE(OFFSET($CX$3,0,0,'Données projet'!$E$13+1,1))-AVERAGE(OFFSET($H$3,0,0,'Données projet'!$E$13+1,1))</f>
        <v>243.04319555814601</v>
      </c>
      <c r="CZ119" s="60">
        <f t="shared" si="96"/>
        <v>235.68746142880792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201.4732637505823</v>
      </c>
      <c r="DU119" s="60">
        <f t="shared" si="98"/>
        <v>342.06887933351783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1.2029349245327021</v>
      </c>
      <c r="EB119" s="23">
        <f>EXP(-LN(2)/25)*EB118+(1-EXP(-LN(2)/25))/(LN(2)/25)*Calculateur!DW119*Calculateur!DY119*VLOOKUP('Données projet'!$B$14,Paramètres!$A$1:$I$89,3,0)*0.475*44/12</f>
        <v>2.436409549783964</v>
      </c>
      <c r="EC119" s="23">
        <f>EXP(-LN(2)/2)*EC118+(1-EXP(-LN(2)/2))/(LN(2)/2)*DW119*DZ119*VLOOKUP('Données projet'!$B$14,Paramètres!$A$1:$I$89,3,0)*0.475*44/12</f>
        <v>1.5230804189050088E-12</v>
      </c>
      <c r="ED119" s="24">
        <f t="shared" si="72"/>
        <v>3.6393444743181895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-3.4106051316484809E-13</v>
      </c>
      <c r="EK119" s="18">
        <f>EJ119*VLOOKUP('Données projet'!$B$15,Paramètres!$A$1:$I$89,3,0)*VLOOKUP('Données projet'!$B$15,Paramètres!$A$1:$I$89,5,0)</f>
        <v>-2.0395418687257919E-13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260.01925143568263</v>
      </c>
      <c r="EP119" s="60">
        <f t="shared" si="100"/>
        <v>269.95358755269427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2.5880005228066048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2.5880005228066048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-9.2222762759774927E-14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256.19915261735281</v>
      </c>
      <c r="FK119" s="60">
        <f t="shared" si="102"/>
        <v>297.47246687305056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2.8421709430404007E-14</v>
      </c>
      <c r="GA119" s="18">
        <f>FZ119*VLOOKUP('Données projet'!$B$17,Paramètres!$A$1:$I$89,3,0)*VLOOKUP('Données projet'!$B$17,Paramètres!$A$1:$I$89,5,0)</f>
        <v>1.6257217794191094E-14</v>
      </c>
      <c r="GB119" s="14">
        <f t="shared" si="103"/>
        <v>3.0173973759155586E-13</v>
      </c>
      <c r="GC119" s="22">
        <f t="shared" si="79"/>
        <v>5.538446972968425E-13</v>
      </c>
      <c r="GD119" s="60">
        <f t="shared" si="80"/>
        <v>293.33333333333388</v>
      </c>
      <c r="GE119" s="60">
        <f ca="1">AVERAGE(OFFSET($GD$3,0,0,'Données projet'!$E$17+1,1))-AVERAGE(OFFSET($H$3,0,0,'Données projet'!$E$17+1,1))</f>
        <v>268.71641789629319</v>
      </c>
      <c r="GF119" s="60">
        <f t="shared" si="104"/>
        <v>199.94048514486104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0.19347906093310596</v>
      </c>
      <c r="GN119" s="23">
        <f>EXP(-LN(2)/2)*GN118+(1-EXP(-LN(2)/2))/(LN(2)/2)*GH119*GK119*VLOOKUP('Données projet'!$B$17,Paramètres!$A$1:$I$89,3,0)*0.475*44/12</f>
        <v>7.9304700989157614E-13</v>
      </c>
      <c r="GO119" s="23">
        <f t="shared" si="81"/>
        <v>0.19347906093389902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-2.8421709430404007E-13</v>
      </c>
      <c r="GV119" s="18">
        <f>GU119*VLOOKUP('Données projet'!$B$18,Paramètres!$A$1:$I$89,3,0)*VLOOKUP('Données projet'!$B$18,Paramètres!$A$1:$I$89,5,0)</f>
        <v>-1.69961822393816E-13</v>
      </c>
      <c r="GW119" s="14" t="e">
        <f t="shared" si="105"/>
        <v>#NUM!</v>
      </c>
      <c r="GX119" s="22" t="e">
        <f t="shared" si="82"/>
        <v>#NUM!</v>
      </c>
      <c r="GY119" s="60" t="e">
        <f t="shared" si="83"/>
        <v>#NUM!</v>
      </c>
      <c r="GZ119" s="60">
        <f ca="1">AVERAGE(OFFSET($GY$3,0,0,'Données projet'!$E$18+1,1))-AVERAGE(OFFSET($H$3,0,0,'Données projet'!$E$18+1,1))</f>
        <v>289.12367833861299</v>
      </c>
      <c r="HA119" s="60">
        <f t="shared" si="106"/>
        <v>229.06617320689003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4.7144056657378422E-13</v>
      </c>
      <c r="HJ119" s="24">
        <f t="shared" si="84"/>
        <v>4.7144056657378422E-13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247.73423999999969</v>
      </c>
      <c r="P120" s="14">
        <f t="shared" si="87"/>
        <v>60.10050566569506</v>
      </c>
      <c r="Q120" s="22">
        <f t="shared" si="107"/>
        <v>536.14551536775173</v>
      </c>
      <c r="R120" s="60">
        <f t="shared" si="55"/>
        <v>829.4788487010851</v>
      </c>
      <c r="S120" s="60">
        <f ca="1">AVERAGE(OFFSET($R$3,0,0,'Données projet'!$E$9+1,1))-AVERAGE(OFFSET($H$3,0,0,'Données projet'!$E$9+1,1))</f>
        <v>430.11660085503223</v>
      </c>
      <c r="T120" s="60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1.2710188457276673E-13</v>
      </c>
      <c r="AK120" s="14">
        <f t="shared" si="89"/>
        <v>1.856866851063998E-12</v>
      </c>
      <c r="AL120" s="22">
        <f t="shared" si="58"/>
        <v>3.4554122145673649E-12</v>
      </c>
      <c r="AM120" s="60">
        <f t="shared" si="59"/>
        <v>293.33333333333678</v>
      </c>
      <c r="AN120" s="60">
        <f ca="1">AVERAGE(OFFSET($AM$3,0,0,'Données projet'!$E$10+1,1))-AVERAGE(OFFSET($H$3,0,0,'Données projet'!$E$10+1,1))</f>
        <v>323.98185264074681</v>
      </c>
      <c r="AO120" s="60">
        <f t="shared" si="90"/>
        <v>301.22207291854005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0.79668428360039201</v>
      </c>
      <c r="AV120" s="23">
        <f>EXP(-LN(2)/25)*AV119+(1-EXP(-LN(2)/25))/(LN(2)/25)*Calculateur!AQ120*Calculateur!AS120*VLOOKUP('Données projet'!$B$10,Paramètres!$A$1:$I$89,3,0)*0.475*44/12</f>
        <v>0.7391411626430141</v>
      </c>
      <c r="AW120" s="23">
        <f>EXP(-LN(2)/2)*AW119+(1-EXP(-LN(2)/2))/(LN(2)/2)*AQ120*AT120*VLOOKUP('Données projet'!$B$10,Paramètres!$A$1:$I$89,3,0)*0.475*44/12</f>
        <v>4.8939111130312684E-13</v>
      </c>
      <c r="AX120" s="23">
        <f t="shared" si="60"/>
        <v>1.5358254462438956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5.4</v>
      </c>
      <c r="BD120" s="13">
        <f>IF('Données projet'!$A$88&gt;35,BD119+BC120-BL119,IF(A120&lt;'Données projet'!$A$88,$BA$205^A120,IF(A120='Données projet'!$A$88,'Données projet'!$B$88,BD119+BC120-BL119)))</f>
        <v>414.79999999999984</v>
      </c>
      <c r="BE120" s="14">
        <f>BD120*VLOOKUP('Données projet'!$B$11,Paramètres!$A$1:$I$89,3,0)*VLOOKUP('Données projet'!$B$11,Paramètres!$A$1:$I$89,5,0)</f>
        <v>355.89839999999992</v>
      </c>
      <c r="BF120" s="14">
        <f t="shared" si="91"/>
        <v>82.775869214346528</v>
      </c>
      <c r="BG120" s="22">
        <f t="shared" si="61"/>
        <v>764.02435221498672</v>
      </c>
      <c r="BH120" s="60">
        <f t="shared" si="62"/>
        <v>1057.35768554832</v>
      </c>
      <c r="BI120" s="60">
        <f ca="1">AVERAGE(OFFSET($BH$3,0,0,'Données projet'!$E$11+1,1))-AVERAGE(OFFSET($H$3,0,0,'Données projet'!$E$11+1,1))</f>
        <v>556.75475431848258</v>
      </c>
      <c r="BJ120" s="60">
        <f t="shared" si="92"/>
        <v>256.77417912163997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3.4106051316484809E-13</v>
      </c>
      <c r="BZ120" s="14">
        <f>BY120*VLOOKUP('Données projet'!$B$12,Paramètres!$A$1:$I$89,3,0)*VLOOKUP('Données projet'!$B$12,Paramètres!$A$1:$I$89,5,0)</f>
        <v>2.5006556825246659E-13</v>
      </c>
      <c r="CA120" s="14">
        <f t="shared" si="93"/>
        <v>3.3765445850268018E-12</v>
      </c>
      <c r="CB120" s="22">
        <f t="shared" si="64"/>
        <v>6.3163460169613921E-12</v>
      </c>
      <c r="CC120" s="60">
        <f t="shared" si="65"/>
        <v>293.33333333333962</v>
      </c>
      <c r="CD120" s="60">
        <f ca="1">AVERAGE(OFFSET($CC$3,0,0,'Données projet'!$E$12+1,1))-AVERAGE(OFFSET($H$3,0,0,'Données projet'!$E$12+1,1))</f>
        <v>290.68086183422963</v>
      </c>
      <c r="CE120" s="60">
        <f t="shared" si="94"/>
        <v>317.88330630101785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1.9895196601282805E-13</v>
      </c>
      <c r="CU120" s="18">
        <f>CT120*VLOOKUP('Données projet'!$B$13,Paramètres!$A$1:$I$89,3,0)*VLOOKUP('Données projet'!$B$13,Paramètres!$A$1:$I$89,5,0)</f>
        <v>1.3035332813160495E-13</v>
      </c>
      <c r="CV120" s="14">
        <f t="shared" si="95"/>
        <v>1.8987770485018903E-12</v>
      </c>
      <c r="CW120" s="22">
        <f t="shared" si="67"/>
        <v>3.5340687393033375E-12</v>
      </c>
      <c r="CX120" s="60">
        <f t="shared" si="68"/>
        <v>293.33333333333684</v>
      </c>
      <c r="CY120" s="60">
        <f ca="1">AVERAGE(OFFSET($CX$3,0,0,'Données projet'!$E$13+1,1))-AVERAGE(OFFSET($H$3,0,0,'Données projet'!$E$13+1,1))</f>
        <v>243.04319555814601</v>
      </c>
      <c r="CZ120" s="60">
        <f t="shared" si="96"/>
        <v>235.68746142880792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201.4732637505823</v>
      </c>
      <c r="DU120" s="60">
        <f t="shared" si="98"/>
        <v>342.06887933351783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1.1793461043804712</v>
      </c>
      <c r="EB120" s="23">
        <f>EXP(-LN(2)/25)*EB119+(1-EXP(-LN(2)/25))/(LN(2)/25)*Calculateur!DW120*Calculateur!DY120*VLOOKUP('Données projet'!$B$14,Paramètres!$A$1:$I$89,3,0)*0.475*44/12</f>
        <v>2.3697858025199117</v>
      </c>
      <c r="EC120" s="23">
        <f>EXP(-LN(2)/2)*EC119+(1-EXP(-LN(2)/2))/(LN(2)/2)*DW120*DZ120*VLOOKUP('Données projet'!$B$14,Paramètres!$A$1:$I$89,3,0)*0.475*44/12</f>
        <v>1.0769804925001792E-12</v>
      </c>
      <c r="ED120" s="24">
        <f t="shared" si="72"/>
        <v>3.5491319069014597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-3.4106051316484809E-13</v>
      </c>
      <c r="EK120" s="18">
        <f>EJ120*VLOOKUP('Données projet'!$B$15,Paramètres!$A$1:$I$89,3,0)*VLOOKUP('Données projet'!$B$15,Paramètres!$A$1:$I$89,5,0)</f>
        <v>-2.0395418687257919E-13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260.01925143568263</v>
      </c>
      <c r="EP120" s="60">
        <f t="shared" si="100"/>
        <v>269.95358755269427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2.5372514110788198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2.5372514110788198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-9.2222762759774927E-14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256.19915261735281</v>
      </c>
      <c r="FK120" s="60">
        <f t="shared" si="102"/>
        <v>297.47246687305056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2.8421709430404007E-14</v>
      </c>
      <c r="GA120" s="18">
        <f>FZ120*VLOOKUP('Données projet'!$B$17,Paramètres!$A$1:$I$89,3,0)*VLOOKUP('Données projet'!$B$17,Paramètres!$A$1:$I$89,5,0)</f>
        <v>1.6257217794191094E-14</v>
      </c>
      <c r="GB120" s="14">
        <f t="shared" si="103"/>
        <v>3.0173973759155586E-13</v>
      </c>
      <c r="GC120" s="22">
        <f t="shared" si="79"/>
        <v>5.538446972968425E-13</v>
      </c>
      <c r="GD120" s="60">
        <f t="shared" si="80"/>
        <v>293.33333333333388</v>
      </c>
      <c r="GE120" s="60">
        <f ca="1">AVERAGE(OFFSET($GD$3,0,0,'Données projet'!$E$17+1,1))-AVERAGE(OFFSET($H$3,0,0,'Données projet'!$E$17+1,1))</f>
        <v>268.71641789629319</v>
      </c>
      <c r="GF120" s="60">
        <f t="shared" si="104"/>
        <v>199.94048514486104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0.18818836583726856</v>
      </c>
      <c r="GN120" s="23">
        <f>EXP(-LN(2)/2)*GN119+(1-EXP(-LN(2)/2))/(LN(2)/2)*GH120*GK120*VLOOKUP('Données projet'!$B$17,Paramètres!$A$1:$I$89,3,0)*0.475*44/12</f>
        <v>5.6076891849404851E-13</v>
      </c>
      <c r="GO120" s="23">
        <f t="shared" si="81"/>
        <v>0.18818836583782933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-2.8421709430404007E-13</v>
      </c>
      <c r="GV120" s="18">
        <f>GU120*VLOOKUP('Données projet'!$B$18,Paramètres!$A$1:$I$89,3,0)*VLOOKUP('Données projet'!$B$18,Paramètres!$A$1:$I$89,5,0)</f>
        <v>-1.69961822393816E-13</v>
      </c>
      <c r="GW120" s="14" t="e">
        <f t="shared" si="105"/>
        <v>#NUM!</v>
      </c>
      <c r="GX120" s="22" t="e">
        <f t="shared" si="82"/>
        <v>#NUM!</v>
      </c>
      <c r="GY120" s="60" t="e">
        <f t="shared" si="83"/>
        <v>#NUM!</v>
      </c>
      <c r="GZ120" s="60">
        <f ca="1">AVERAGE(OFFSET($GY$3,0,0,'Données projet'!$E$18+1,1))-AVERAGE(OFFSET($H$3,0,0,'Données projet'!$E$18+1,1))</f>
        <v>289.12367833861299</v>
      </c>
      <c r="HA120" s="60">
        <f t="shared" si="106"/>
        <v>229.06617320689003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3.3335882155075084E-13</v>
      </c>
      <c r="HJ120" s="24">
        <f t="shared" si="84"/>
        <v>3.3335882155075084E-13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250.81055999999967</v>
      </c>
      <c r="P121" s="14">
        <f t="shared" si="87"/>
        <v>60.759477364108633</v>
      </c>
      <c r="Q121" s="22">
        <f t="shared" si="107"/>
        <v>542.65114840915533</v>
      </c>
      <c r="R121" s="60">
        <f t="shared" si="55"/>
        <v>835.9844817424887</v>
      </c>
      <c r="S121" s="60">
        <f ca="1">AVERAGE(OFFSET($R$3,0,0,'Données projet'!$E$9+1,1))-AVERAGE(OFFSET($H$3,0,0,'Données projet'!$E$9+1,1))</f>
        <v>430.11660085503223</v>
      </c>
      <c r="T121" s="60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1.2710188457276673E-13</v>
      </c>
      <c r="AK121" s="14">
        <f t="shared" si="89"/>
        <v>1.856866851063998E-12</v>
      </c>
      <c r="AL121" s="22">
        <f t="shared" si="58"/>
        <v>3.4554122145673649E-12</v>
      </c>
      <c r="AM121" s="60">
        <f t="shared" si="59"/>
        <v>293.33333333333678</v>
      </c>
      <c r="AN121" s="60">
        <f ca="1">AVERAGE(OFFSET($AM$3,0,0,'Données projet'!$E$10+1,1))-AVERAGE(OFFSET($H$3,0,0,'Données projet'!$E$10+1,1))</f>
        <v>323.98185264074681</v>
      </c>
      <c r="AO121" s="60">
        <f t="shared" si="90"/>
        <v>301.22207291854005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0.78106179072841975</v>
      </c>
      <c r="AV121" s="23">
        <f>EXP(-LN(2)/25)*AV120+(1-EXP(-LN(2)/25))/(LN(2)/25)*Calculateur!AQ121*Calculateur!AS121*VLOOKUP('Données projet'!$B$10,Paramètres!$A$1:$I$89,3,0)*0.475*44/12</f>
        <v>0.71892930868079652</v>
      </c>
      <c r="AW121" s="23">
        <f>EXP(-LN(2)/2)*AW120+(1-EXP(-LN(2)/2))/(LN(2)/2)*AQ121*AT121*VLOOKUP('Données projet'!$B$10,Paramètres!$A$1:$I$89,3,0)*0.475*44/12</f>
        <v>3.4605177345486144E-13</v>
      </c>
      <c r="AX121" s="23">
        <f t="shared" si="60"/>
        <v>1.4999910994095622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5.4</v>
      </c>
      <c r="BD121" s="13">
        <f>IF('Données projet'!$A$88&gt;35,BD120+BC121-BL120,IF(A121&lt;'Données projet'!$A$88,$BA$205^A121,IF(A121='Données projet'!$A$88,'Données projet'!$B$88,BD120+BC121-BL120)))</f>
        <v>420.19999999999982</v>
      </c>
      <c r="BE121" s="14">
        <f>BD121*VLOOKUP('Données projet'!$B$11,Paramètres!$A$1:$I$89,3,0)*VLOOKUP('Données projet'!$B$11,Paramètres!$A$1:$I$89,5,0)</f>
        <v>360.53159999999991</v>
      </c>
      <c r="BF121" s="14">
        <f t="shared" si="91"/>
        <v>83.727321203860683</v>
      </c>
      <c r="BG121" s="22">
        <f t="shared" si="61"/>
        <v>773.75095443005705</v>
      </c>
      <c r="BH121" s="60">
        <f t="shared" si="62"/>
        <v>1067.0842877633904</v>
      </c>
      <c r="BI121" s="60">
        <f ca="1">AVERAGE(OFFSET($BH$3,0,0,'Données projet'!$E$11+1,1))-AVERAGE(OFFSET($H$3,0,0,'Données projet'!$E$11+1,1))</f>
        <v>556.75475431848258</v>
      </c>
      <c r="BJ121" s="60">
        <f t="shared" si="92"/>
        <v>256.77417912163997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3.4106051316484809E-13</v>
      </c>
      <c r="BZ121" s="14">
        <f>BY121*VLOOKUP('Données projet'!$B$12,Paramètres!$A$1:$I$89,3,0)*VLOOKUP('Données projet'!$B$12,Paramètres!$A$1:$I$89,5,0)</f>
        <v>2.5006556825246659E-13</v>
      </c>
      <c r="CA121" s="14">
        <f t="shared" si="93"/>
        <v>3.3765445850268018E-12</v>
      </c>
      <c r="CB121" s="22">
        <f t="shared" si="64"/>
        <v>6.3163460169613921E-12</v>
      </c>
      <c r="CC121" s="60">
        <f t="shared" si="65"/>
        <v>293.33333333333962</v>
      </c>
      <c r="CD121" s="60">
        <f ca="1">AVERAGE(OFFSET($CC$3,0,0,'Données projet'!$E$12+1,1))-AVERAGE(OFFSET($H$3,0,0,'Données projet'!$E$12+1,1))</f>
        <v>290.68086183422963</v>
      </c>
      <c r="CE121" s="60">
        <f t="shared" si="94"/>
        <v>317.88330630101785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1.9895196601282805E-13</v>
      </c>
      <c r="CU121" s="18">
        <f>CT121*VLOOKUP('Données projet'!$B$13,Paramètres!$A$1:$I$89,3,0)*VLOOKUP('Données projet'!$B$13,Paramètres!$A$1:$I$89,5,0)</f>
        <v>1.3035332813160495E-13</v>
      </c>
      <c r="CV121" s="14">
        <f t="shared" si="95"/>
        <v>1.8987770485018903E-12</v>
      </c>
      <c r="CW121" s="22">
        <f t="shared" si="67"/>
        <v>3.5340687393033375E-12</v>
      </c>
      <c r="CX121" s="60">
        <f t="shared" si="68"/>
        <v>293.33333333333684</v>
      </c>
      <c r="CY121" s="60">
        <f ca="1">AVERAGE(OFFSET($CX$3,0,0,'Données projet'!$E$13+1,1))-AVERAGE(OFFSET($H$3,0,0,'Données projet'!$E$13+1,1))</f>
        <v>243.04319555814601</v>
      </c>
      <c r="CZ121" s="60">
        <f t="shared" si="96"/>
        <v>235.68746142880792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201.4732637505823</v>
      </c>
      <c r="DU121" s="60">
        <f t="shared" si="98"/>
        <v>342.06887933351783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1.1562198466036659</v>
      </c>
      <c r="EB121" s="23">
        <f>EXP(-LN(2)/25)*EB120+(1-EXP(-LN(2)/25))/(LN(2)/25)*Calculateur!DW121*Calculateur!DY121*VLOOKUP('Données projet'!$B$14,Paramètres!$A$1:$I$89,3,0)*0.475*44/12</f>
        <v>2.3049838851283857</v>
      </c>
      <c r="EC121" s="23">
        <f>EXP(-LN(2)/2)*EC120+(1-EXP(-LN(2)/2))/(LN(2)/2)*DW121*DZ121*VLOOKUP('Données projet'!$B$14,Paramètres!$A$1:$I$89,3,0)*0.475*44/12</f>
        <v>7.6154020945250438E-13</v>
      </c>
      <c r="ED121" s="24">
        <f t="shared" si="72"/>
        <v>3.4612037317328133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-3.4106051316484809E-13</v>
      </c>
      <c r="EK121" s="18">
        <f>EJ121*VLOOKUP('Données projet'!$B$15,Paramètres!$A$1:$I$89,3,0)*VLOOKUP('Données projet'!$B$15,Paramètres!$A$1:$I$89,5,0)</f>
        <v>-2.0395418687257919E-13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260.01925143568263</v>
      </c>
      <c r="EP121" s="60">
        <f t="shared" si="100"/>
        <v>269.95358755269427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2.4874974584781149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2.4874974584781149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-9.2222762759774927E-14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256.19915261735281</v>
      </c>
      <c r="FK121" s="60">
        <f t="shared" si="102"/>
        <v>297.47246687305056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2.8421709430404007E-14</v>
      </c>
      <c r="GA121" s="18">
        <f>FZ121*VLOOKUP('Données projet'!$B$17,Paramètres!$A$1:$I$89,3,0)*VLOOKUP('Données projet'!$B$17,Paramètres!$A$1:$I$89,5,0)</f>
        <v>1.6257217794191094E-14</v>
      </c>
      <c r="GB121" s="14">
        <f t="shared" si="103"/>
        <v>3.0173973759155586E-13</v>
      </c>
      <c r="GC121" s="22">
        <f t="shared" si="79"/>
        <v>5.538446972968425E-13</v>
      </c>
      <c r="GD121" s="60">
        <f t="shared" si="80"/>
        <v>293.33333333333388</v>
      </c>
      <c r="GE121" s="60">
        <f ca="1">AVERAGE(OFFSET($GD$3,0,0,'Données projet'!$E$17+1,1))-AVERAGE(OFFSET($H$3,0,0,'Données projet'!$E$17+1,1))</f>
        <v>268.71641789629319</v>
      </c>
      <c r="GF121" s="60">
        <f t="shared" si="104"/>
        <v>199.94048514486104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0.18304234507705239</v>
      </c>
      <c r="GN121" s="23">
        <f>EXP(-LN(2)/2)*GN120+(1-EXP(-LN(2)/2))/(LN(2)/2)*GH121*GK121*VLOOKUP('Données projet'!$B$17,Paramètres!$A$1:$I$89,3,0)*0.475*44/12</f>
        <v>3.9652350494578807E-13</v>
      </c>
      <c r="GO121" s="23">
        <f t="shared" si="81"/>
        <v>0.1830423450774489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-2.8421709430404007E-13</v>
      </c>
      <c r="GV121" s="18">
        <f>GU121*VLOOKUP('Données projet'!$B$18,Paramètres!$A$1:$I$89,3,0)*VLOOKUP('Données projet'!$B$18,Paramètres!$A$1:$I$89,5,0)</f>
        <v>-1.69961822393816E-13</v>
      </c>
      <c r="GW121" s="14" t="e">
        <f t="shared" si="105"/>
        <v>#NUM!</v>
      </c>
      <c r="GX121" s="22" t="e">
        <f t="shared" si="82"/>
        <v>#NUM!</v>
      </c>
      <c r="GY121" s="60" t="e">
        <f t="shared" si="83"/>
        <v>#NUM!</v>
      </c>
      <c r="GZ121" s="60">
        <f ca="1">AVERAGE(OFFSET($GY$3,0,0,'Données projet'!$E$18+1,1))-AVERAGE(OFFSET($H$3,0,0,'Données projet'!$E$18+1,1))</f>
        <v>289.12367833861299</v>
      </c>
      <c r="HA121" s="60">
        <f t="shared" si="106"/>
        <v>229.06617320689003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2.3572028328689211E-13</v>
      </c>
      <c r="HJ121" s="24">
        <f t="shared" si="84"/>
        <v>2.3572028328689211E-13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253.88687999999965</v>
      </c>
      <c r="P122" s="14">
        <f t="shared" si="87"/>
        <v>61.417508891276917</v>
      </c>
      <c r="Q122" s="22">
        <f t="shared" si="107"/>
        <v>549.15514398563994</v>
      </c>
      <c r="R122" s="60">
        <f t="shared" si="55"/>
        <v>842.48847731897331</v>
      </c>
      <c r="S122" s="60">
        <f ca="1">AVERAGE(OFFSET($R$3,0,0,'Données projet'!$E$9+1,1))-AVERAGE(OFFSET($H$3,0,0,'Données projet'!$E$9+1,1))</f>
        <v>430.11660085503223</v>
      </c>
      <c r="T122" s="60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1.2710188457276673E-13</v>
      </c>
      <c r="AK122" s="14">
        <f t="shared" si="89"/>
        <v>1.856866851063998E-12</v>
      </c>
      <c r="AL122" s="22">
        <f t="shared" si="58"/>
        <v>3.4554122145673649E-12</v>
      </c>
      <c r="AM122" s="60">
        <f t="shared" si="59"/>
        <v>293.33333333333678</v>
      </c>
      <c r="AN122" s="60">
        <f ca="1">AVERAGE(OFFSET($AM$3,0,0,'Données projet'!$E$10+1,1))-AVERAGE(OFFSET($H$3,0,0,'Données projet'!$E$10+1,1))</f>
        <v>323.98185264074681</v>
      </c>
      <c r="AO122" s="60">
        <f t="shared" si="90"/>
        <v>301.22207291854005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0.76574564541288714</v>
      </c>
      <c r="AV122" s="23">
        <f>EXP(-LN(2)/25)*AV121+(1-EXP(-LN(2)/25))/(LN(2)/25)*Calculateur!AQ122*Calculateur!AS122*VLOOKUP('Données projet'!$B$10,Paramètres!$A$1:$I$89,3,0)*0.475*44/12</f>
        <v>0.69927014892807093</v>
      </c>
      <c r="AW122" s="23">
        <f>EXP(-LN(2)/2)*AW121+(1-EXP(-LN(2)/2))/(LN(2)/2)*AQ122*AT122*VLOOKUP('Données projet'!$B$10,Paramètres!$A$1:$I$89,3,0)*0.475*44/12</f>
        <v>2.4469555565156342E-13</v>
      </c>
      <c r="AX122" s="23">
        <f t="shared" si="60"/>
        <v>1.4650157943412028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5.4</v>
      </c>
      <c r="BD122" s="13">
        <f>IF('Données projet'!$A$88&gt;35,BD121+BC122-BL121,IF(A122&lt;'Données projet'!$A$88,$BA$205^A122,IF(A122='Données projet'!$A$88,'Données projet'!$B$88,BD121+BC122-BL121)))</f>
        <v>425.5999999999998</v>
      </c>
      <c r="BE122" s="14">
        <f>BD122*VLOOKUP('Données projet'!$B$11,Paramètres!$A$1:$I$89,3,0)*VLOOKUP('Données projet'!$B$11,Paramètres!$A$1:$I$89,5,0)</f>
        <v>365.16479999999984</v>
      </c>
      <c r="BF122" s="14">
        <f t="shared" si="91"/>
        <v>84.677350977800231</v>
      </c>
      <c r="BG122" s="22">
        <f t="shared" si="61"/>
        <v>783.47507961966846</v>
      </c>
      <c r="BH122" s="60">
        <f t="shared" si="62"/>
        <v>1076.8084129530018</v>
      </c>
      <c r="BI122" s="60">
        <f ca="1">AVERAGE(OFFSET($BH$3,0,0,'Données projet'!$E$11+1,1))-AVERAGE(OFFSET($H$3,0,0,'Données projet'!$E$11+1,1))</f>
        <v>556.75475431848258</v>
      </c>
      <c r="BJ122" s="60">
        <f t="shared" si="92"/>
        <v>256.77417912163997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3.4106051316484809E-13</v>
      </c>
      <c r="BZ122" s="14">
        <f>BY122*VLOOKUP('Données projet'!$B$12,Paramètres!$A$1:$I$89,3,0)*VLOOKUP('Données projet'!$B$12,Paramètres!$A$1:$I$89,5,0)</f>
        <v>2.5006556825246659E-13</v>
      </c>
      <c r="CA122" s="14">
        <f t="shared" si="93"/>
        <v>3.3765445850268018E-12</v>
      </c>
      <c r="CB122" s="22">
        <f t="shared" si="64"/>
        <v>6.3163460169613921E-12</v>
      </c>
      <c r="CC122" s="60">
        <f t="shared" si="65"/>
        <v>293.33333333333962</v>
      </c>
      <c r="CD122" s="60">
        <f ca="1">AVERAGE(OFFSET($CC$3,0,0,'Données projet'!$E$12+1,1))-AVERAGE(OFFSET($H$3,0,0,'Données projet'!$E$12+1,1))</f>
        <v>290.68086183422963</v>
      </c>
      <c r="CE122" s="60">
        <f t="shared" si="94"/>
        <v>317.88330630101785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1.9895196601282805E-13</v>
      </c>
      <c r="CU122" s="18">
        <f>CT122*VLOOKUP('Données projet'!$B$13,Paramètres!$A$1:$I$89,3,0)*VLOOKUP('Données projet'!$B$13,Paramètres!$A$1:$I$89,5,0)</f>
        <v>1.3035332813160495E-13</v>
      </c>
      <c r="CV122" s="14">
        <f t="shared" si="95"/>
        <v>1.8987770485018903E-12</v>
      </c>
      <c r="CW122" s="22">
        <f t="shared" si="67"/>
        <v>3.5340687393033375E-12</v>
      </c>
      <c r="CX122" s="60">
        <f t="shared" si="68"/>
        <v>293.33333333333684</v>
      </c>
      <c r="CY122" s="60">
        <f ca="1">AVERAGE(OFFSET($CX$3,0,0,'Données projet'!$E$13+1,1))-AVERAGE(OFFSET($H$3,0,0,'Données projet'!$E$13+1,1))</f>
        <v>243.04319555814601</v>
      </c>
      <c r="CZ122" s="60">
        <f t="shared" si="96"/>
        <v>235.68746142880792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201.4732637505823</v>
      </c>
      <c r="DU122" s="60">
        <f t="shared" si="98"/>
        <v>342.06887933351783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1.1335470806362393</v>
      </c>
      <c r="EB122" s="23">
        <f>EXP(-LN(2)/25)*EB121+(1-EXP(-LN(2)/25))/(LN(2)/25)*Calculateur!DW122*Calculateur!DY122*VLOOKUP('Données projet'!$B$14,Paramètres!$A$1:$I$89,3,0)*0.475*44/12</f>
        <v>2.2419539795757157</v>
      </c>
      <c r="EC122" s="23">
        <f>EXP(-LN(2)/2)*EC121+(1-EXP(-LN(2)/2))/(LN(2)/2)*DW122*DZ122*VLOOKUP('Données projet'!$B$14,Paramètres!$A$1:$I$89,3,0)*0.475*44/12</f>
        <v>5.3849024625008959E-13</v>
      </c>
      <c r="ED122" s="24">
        <f t="shared" si="72"/>
        <v>3.375501060212494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-3.4106051316484809E-13</v>
      </c>
      <c r="EK122" s="18">
        <f>EJ122*VLOOKUP('Données projet'!$B$15,Paramètres!$A$1:$I$89,3,0)*VLOOKUP('Données projet'!$B$15,Paramètres!$A$1:$I$89,5,0)</f>
        <v>-2.0395418687257919E-13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260.01925143568263</v>
      </c>
      <c r="EP122" s="60">
        <f t="shared" si="100"/>
        <v>269.95358755269427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2.4387191505409955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2.4387191505409955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-9.2222762759774927E-14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256.19915261735281</v>
      </c>
      <c r="FK122" s="60">
        <f t="shared" si="102"/>
        <v>297.47246687305056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2.8421709430404007E-14</v>
      </c>
      <c r="GA122" s="18">
        <f>FZ122*VLOOKUP('Données projet'!$B$17,Paramètres!$A$1:$I$89,3,0)*VLOOKUP('Données projet'!$B$17,Paramètres!$A$1:$I$89,5,0)</f>
        <v>1.6257217794191094E-14</v>
      </c>
      <c r="GB122" s="14">
        <f t="shared" si="103"/>
        <v>3.0173973759155586E-13</v>
      </c>
      <c r="GC122" s="22">
        <f t="shared" si="79"/>
        <v>5.538446972968425E-13</v>
      </c>
      <c r="GD122" s="60">
        <f t="shared" si="80"/>
        <v>293.33333333333388</v>
      </c>
      <c r="GE122" s="60">
        <f ca="1">AVERAGE(OFFSET($GD$3,0,0,'Données projet'!$E$17+1,1))-AVERAGE(OFFSET($H$3,0,0,'Données projet'!$E$17+1,1))</f>
        <v>268.71641789629319</v>
      </c>
      <c r="GF122" s="60">
        <f t="shared" si="104"/>
        <v>199.94048514486104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0.1780370425251418</v>
      </c>
      <c r="GN122" s="23">
        <f>EXP(-LN(2)/2)*GN121+(1-EXP(-LN(2)/2))/(LN(2)/2)*GH122*GK122*VLOOKUP('Données projet'!$B$17,Paramètres!$A$1:$I$89,3,0)*0.475*44/12</f>
        <v>2.8038445924702426E-13</v>
      </c>
      <c r="GO122" s="23">
        <f t="shared" si="81"/>
        <v>0.17803704252542218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-2.8421709430404007E-13</v>
      </c>
      <c r="GV122" s="18">
        <f>GU122*VLOOKUP('Données projet'!$B$18,Paramètres!$A$1:$I$89,3,0)*VLOOKUP('Données projet'!$B$18,Paramètres!$A$1:$I$89,5,0)</f>
        <v>-1.69961822393816E-13</v>
      </c>
      <c r="GW122" s="14" t="e">
        <f t="shared" si="105"/>
        <v>#NUM!</v>
      </c>
      <c r="GX122" s="22" t="e">
        <f t="shared" si="82"/>
        <v>#NUM!</v>
      </c>
      <c r="GY122" s="60" t="e">
        <f t="shared" si="83"/>
        <v>#NUM!</v>
      </c>
      <c r="GZ122" s="60">
        <f ca="1">AVERAGE(OFFSET($GY$3,0,0,'Données projet'!$E$18+1,1))-AVERAGE(OFFSET($H$3,0,0,'Données projet'!$E$18+1,1))</f>
        <v>289.12367833861299</v>
      </c>
      <c r="HA122" s="60">
        <f t="shared" si="106"/>
        <v>229.06617320689003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1.6667941077537542E-13</v>
      </c>
      <c r="HJ122" s="24">
        <f t="shared" si="84"/>
        <v>1.6667941077537542E-13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256.96319999999963</v>
      </c>
      <c r="P123" s="14">
        <f t="shared" si="87"/>
        <v>62.07461295683791</v>
      </c>
      <c r="Q123" s="22">
        <f t="shared" si="107"/>
        <v>555.65752423315882</v>
      </c>
      <c r="R123" s="60">
        <f t="shared" si="55"/>
        <v>848.9908575664922</v>
      </c>
      <c r="S123" s="60">
        <f ca="1">AVERAGE(OFFSET($R$3,0,0,'Données projet'!$E$9+1,1))-AVERAGE(OFFSET($H$3,0,0,'Données projet'!$E$9+1,1))</f>
        <v>430.11660085503223</v>
      </c>
      <c r="T123" s="60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1.2710188457276673E-13</v>
      </c>
      <c r="AK123" s="14">
        <f t="shared" si="89"/>
        <v>1.856866851063998E-12</v>
      </c>
      <c r="AL123" s="22">
        <f t="shared" si="58"/>
        <v>3.4554122145673649E-12</v>
      </c>
      <c r="AM123" s="60">
        <f t="shared" si="59"/>
        <v>293.33333333333678</v>
      </c>
      <c r="AN123" s="60">
        <f ca="1">AVERAGE(OFFSET($AM$3,0,0,'Données projet'!$E$10+1,1))-AVERAGE(OFFSET($H$3,0,0,'Données projet'!$E$10+1,1))</f>
        <v>323.98185264074681</v>
      </c>
      <c r="AO123" s="60">
        <f t="shared" si="90"/>
        <v>301.22207291854005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0.75072984036506596</v>
      </c>
      <c r="AV123" s="23">
        <f>EXP(-LN(2)/25)*AV122+(1-EXP(-LN(2)/25))/(LN(2)/25)*Calculateur!AQ123*Calculateur!AS123*VLOOKUP('Données projet'!$B$10,Paramètres!$A$1:$I$89,3,0)*0.475*44/12</f>
        <v>0.68014856993261386</v>
      </c>
      <c r="AW123" s="23">
        <f>EXP(-LN(2)/2)*AW122+(1-EXP(-LN(2)/2))/(LN(2)/2)*AQ123*AT123*VLOOKUP('Données projet'!$B$10,Paramètres!$A$1:$I$89,3,0)*0.475*44/12</f>
        <v>1.7302588672743072E-13</v>
      </c>
      <c r="AX123" s="23">
        <f t="shared" si="60"/>
        <v>1.4308784102978527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5.4</v>
      </c>
      <c r="BD123" s="13">
        <f>IF('Données projet'!$A$88&gt;35,BD122+BC123-BL122,IF(A123&lt;'Données projet'!$A$88,$BA$205^A123,IF(A123='Données projet'!$A$88,'Données projet'!$B$88,BD122+BC123-BL122)))</f>
        <v>430.99999999999977</v>
      </c>
      <c r="BE123" s="14">
        <f>BD123*VLOOKUP('Données projet'!$B$11,Paramètres!$A$1:$I$89,3,0)*VLOOKUP('Données projet'!$B$11,Paramètres!$A$1:$I$89,5,0)</f>
        <v>369.79799999999983</v>
      </c>
      <c r="BF123" s="14">
        <f t="shared" si="91"/>
        <v>85.625978667852522</v>
      </c>
      <c r="BG123" s="22">
        <f t="shared" si="61"/>
        <v>793.1967628465095</v>
      </c>
      <c r="BH123" s="60">
        <f t="shared" si="62"/>
        <v>1086.5300961798428</v>
      </c>
      <c r="BI123" s="60">
        <f ca="1">AVERAGE(OFFSET($BH$3,0,0,'Données projet'!$E$11+1,1))-AVERAGE(OFFSET($H$3,0,0,'Données projet'!$E$11+1,1))</f>
        <v>556.75475431848258</v>
      </c>
      <c r="BJ123" s="60">
        <f t="shared" si="92"/>
        <v>256.77417912163997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3.4106051316484809E-13</v>
      </c>
      <c r="BZ123" s="14">
        <f>BY123*VLOOKUP('Données projet'!$B$12,Paramètres!$A$1:$I$89,3,0)*VLOOKUP('Données projet'!$B$12,Paramètres!$A$1:$I$89,5,0)</f>
        <v>2.5006556825246659E-13</v>
      </c>
      <c r="CA123" s="14">
        <f t="shared" si="93"/>
        <v>3.3765445850268018E-12</v>
      </c>
      <c r="CB123" s="22">
        <f t="shared" si="64"/>
        <v>6.3163460169613921E-12</v>
      </c>
      <c r="CC123" s="60">
        <f t="shared" si="65"/>
        <v>293.33333333333962</v>
      </c>
      <c r="CD123" s="60">
        <f ca="1">AVERAGE(OFFSET($CC$3,0,0,'Données projet'!$E$12+1,1))-AVERAGE(OFFSET($H$3,0,0,'Données projet'!$E$12+1,1))</f>
        <v>290.68086183422963</v>
      </c>
      <c r="CE123" s="60">
        <f t="shared" si="94"/>
        <v>317.88330630101785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1.9895196601282805E-13</v>
      </c>
      <c r="CU123" s="18">
        <f>CT123*VLOOKUP('Données projet'!$B$13,Paramètres!$A$1:$I$89,3,0)*VLOOKUP('Données projet'!$B$13,Paramètres!$A$1:$I$89,5,0)</f>
        <v>1.3035332813160495E-13</v>
      </c>
      <c r="CV123" s="14">
        <f t="shared" si="95"/>
        <v>1.8987770485018903E-12</v>
      </c>
      <c r="CW123" s="22">
        <f t="shared" si="67"/>
        <v>3.5340687393033375E-12</v>
      </c>
      <c r="CX123" s="60">
        <f t="shared" si="68"/>
        <v>293.33333333333684</v>
      </c>
      <c r="CY123" s="60">
        <f ca="1">AVERAGE(OFFSET($CX$3,0,0,'Données projet'!$E$13+1,1))-AVERAGE(OFFSET($H$3,0,0,'Données projet'!$E$13+1,1))</f>
        <v>243.04319555814601</v>
      </c>
      <c r="CZ123" s="60">
        <f t="shared" si="96"/>
        <v>235.68746142880792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201.4732637505823</v>
      </c>
      <c r="DU123" s="60">
        <f t="shared" si="98"/>
        <v>342.06887933351783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1.1113189137804123</v>
      </c>
      <c r="EB123" s="23">
        <f>EXP(-LN(2)/25)*EB122+(1-EXP(-LN(2)/25))/(LN(2)/25)*Calculateur!DW123*Calculateur!DY123*VLOOKUP('Données projet'!$B$14,Paramètres!$A$1:$I$89,3,0)*0.475*44/12</f>
        <v>2.180647630104982</v>
      </c>
      <c r="EC123" s="23">
        <f>EXP(-LN(2)/2)*EC122+(1-EXP(-LN(2)/2))/(LN(2)/2)*DW123*DZ123*VLOOKUP('Données projet'!$B$14,Paramètres!$A$1:$I$89,3,0)*0.475*44/12</f>
        <v>3.8077010472625219E-13</v>
      </c>
      <c r="ED123" s="24">
        <f t="shared" si="72"/>
        <v>3.2919665438857746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-3.4106051316484809E-13</v>
      </c>
      <c r="EK123" s="18">
        <f>EJ123*VLOOKUP('Données projet'!$B$15,Paramètres!$A$1:$I$89,3,0)*VLOOKUP('Données projet'!$B$15,Paramètres!$A$1:$I$89,5,0)</f>
        <v>-2.0395418687257919E-13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260.01925143568263</v>
      </c>
      <c r="EP123" s="60">
        <f t="shared" si="100"/>
        <v>269.95358755269427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2.3908973554706927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2.3908973554706927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-9.2222762759774927E-14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256.19915261735281</v>
      </c>
      <c r="FK123" s="60">
        <f t="shared" si="102"/>
        <v>297.47246687305056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2.8421709430404007E-14</v>
      </c>
      <c r="GA123" s="18">
        <f>FZ123*VLOOKUP('Données projet'!$B$17,Paramètres!$A$1:$I$89,3,0)*VLOOKUP('Données projet'!$B$17,Paramètres!$A$1:$I$89,5,0)</f>
        <v>1.6257217794191094E-14</v>
      </c>
      <c r="GB123" s="14">
        <f t="shared" si="103"/>
        <v>3.0173973759155586E-13</v>
      </c>
      <c r="GC123" s="22">
        <f t="shared" si="79"/>
        <v>5.538446972968425E-13</v>
      </c>
      <c r="GD123" s="60">
        <f t="shared" si="80"/>
        <v>293.33333333333388</v>
      </c>
      <c r="GE123" s="60">
        <f ca="1">AVERAGE(OFFSET($GD$3,0,0,'Données projet'!$E$17+1,1))-AVERAGE(OFFSET($H$3,0,0,'Données projet'!$E$17+1,1))</f>
        <v>268.71641789629319</v>
      </c>
      <c r="GF123" s="60">
        <f t="shared" si="104"/>
        <v>199.94048514486104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0.17316861023473062</v>
      </c>
      <c r="GN123" s="23">
        <f>EXP(-LN(2)/2)*GN122+(1-EXP(-LN(2)/2))/(LN(2)/2)*GH123*GK123*VLOOKUP('Données projet'!$B$17,Paramètres!$A$1:$I$89,3,0)*0.475*44/12</f>
        <v>1.9826175247289403E-13</v>
      </c>
      <c r="GO123" s="23">
        <f t="shared" si="81"/>
        <v>0.17316861023492888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-2.8421709430404007E-13</v>
      </c>
      <c r="GV123" s="18">
        <f>GU123*VLOOKUP('Données projet'!$B$18,Paramètres!$A$1:$I$89,3,0)*VLOOKUP('Données projet'!$B$18,Paramètres!$A$1:$I$89,5,0)</f>
        <v>-1.69961822393816E-13</v>
      </c>
      <c r="GW123" s="14" t="e">
        <f t="shared" si="105"/>
        <v>#NUM!</v>
      </c>
      <c r="GX123" s="22" t="e">
        <f t="shared" si="82"/>
        <v>#NUM!</v>
      </c>
      <c r="GY123" s="60" t="e">
        <f t="shared" si="83"/>
        <v>#NUM!</v>
      </c>
      <c r="GZ123" s="60">
        <f ca="1">AVERAGE(OFFSET($GY$3,0,0,'Données projet'!$E$18+1,1))-AVERAGE(OFFSET($H$3,0,0,'Données projet'!$E$18+1,1))</f>
        <v>289.12367833861299</v>
      </c>
      <c r="HA123" s="60">
        <f t="shared" si="106"/>
        <v>229.06617320689003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1.1786014164344606E-13</v>
      </c>
      <c r="HJ123" s="24">
        <f t="shared" si="84"/>
        <v>1.1786014164344606E-13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260.03951999999964</v>
      </c>
      <c r="P124" s="14">
        <f t="shared" si="87"/>
        <v>62.730801948604821</v>
      </c>
      <c r="Q124" s="22">
        <f t="shared" si="107"/>
        <v>562.15831072715275</v>
      </c>
      <c r="R124" s="60">
        <f t="shared" si="55"/>
        <v>855.49164406048612</v>
      </c>
      <c r="S124" s="60">
        <f ca="1">AVERAGE(OFFSET($R$3,0,0,'Données projet'!$E$9+1,1))-AVERAGE(OFFSET($H$3,0,0,'Données projet'!$E$9+1,1))</f>
        <v>430.11660085503223</v>
      </c>
      <c r="T124" s="60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1.2710188457276673E-13</v>
      </c>
      <c r="AK124" s="14">
        <f t="shared" si="89"/>
        <v>1.856866851063998E-12</v>
      </c>
      <c r="AL124" s="22">
        <f t="shared" si="58"/>
        <v>3.4554122145673649E-12</v>
      </c>
      <c r="AM124" s="60">
        <f t="shared" si="59"/>
        <v>293.33333333333678</v>
      </c>
      <c r="AN124" s="60">
        <f ca="1">AVERAGE(OFFSET($AM$3,0,0,'Données projet'!$E$10+1,1))-AVERAGE(OFFSET($H$3,0,0,'Données projet'!$E$10+1,1))</f>
        <v>323.98185264074681</v>
      </c>
      <c r="AO124" s="60">
        <f t="shared" si="90"/>
        <v>301.22207291854005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0.73600848609549574</v>
      </c>
      <c r="AV124" s="23">
        <f>EXP(-LN(2)/25)*AV123+(1-EXP(-LN(2)/25))/(LN(2)/25)*Calculateur!AQ124*Calculateur!AS124*VLOOKUP('Données projet'!$B$10,Paramètres!$A$1:$I$89,3,0)*0.475*44/12</f>
        <v>0.66154987152034772</v>
      </c>
      <c r="AW124" s="23">
        <f>EXP(-LN(2)/2)*AW123+(1-EXP(-LN(2)/2))/(LN(2)/2)*AQ124*AT124*VLOOKUP('Données projet'!$B$10,Paramètres!$A$1:$I$89,3,0)*0.475*44/12</f>
        <v>1.2234777782578171E-13</v>
      </c>
      <c r="AX124" s="23">
        <f t="shared" si="60"/>
        <v>1.3975583576159658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5.4</v>
      </c>
      <c r="BD124" s="13">
        <f>IF('Données projet'!$A$88&gt;35,BD123+BC124-BL123,IF(A124&lt;'Données projet'!$A$88,$BA$205^A124,IF(A124='Données projet'!$A$88,'Données projet'!$B$88,BD123+BC124-BL123)))</f>
        <v>436.39999999999975</v>
      </c>
      <c r="BE124" s="14">
        <f>BD124*VLOOKUP('Données projet'!$B$11,Paramètres!$A$1:$I$89,3,0)*VLOOKUP('Données projet'!$B$11,Paramètres!$A$1:$I$89,5,0)</f>
        <v>374.43119999999982</v>
      </c>
      <c r="BF124" s="14">
        <f t="shared" si="91"/>
        <v>86.573223872232774</v>
      </c>
      <c r="BG124" s="22">
        <f t="shared" si="61"/>
        <v>802.91603824413835</v>
      </c>
      <c r="BH124" s="60">
        <f t="shared" si="62"/>
        <v>1096.2493715774717</v>
      </c>
      <c r="BI124" s="60">
        <f ca="1">AVERAGE(OFFSET($BH$3,0,0,'Données projet'!$E$11+1,1))-AVERAGE(OFFSET($H$3,0,0,'Données projet'!$E$11+1,1))</f>
        <v>556.75475431848258</v>
      </c>
      <c r="BJ124" s="60">
        <f t="shared" si="92"/>
        <v>256.77417912163997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3.4106051316484809E-13</v>
      </c>
      <c r="BZ124" s="14">
        <f>BY124*VLOOKUP('Données projet'!$B$12,Paramètres!$A$1:$I$89,3,0)*VLOOKUP('Données projet'!$B$12,Paramètres!$A$1:$I$89,5,0)</f>
        <v>2.5006556825246659E-13</v>
      </c>
      <c r="CA124" s="14">
        <f t="shared" si="93"/>
        <v>3.3765445850268018E-12</v>
      </c>
      <c r="CB124" s="22">
        <f t="shared" si="64"/>
        <v>6.3163460169613921E-12</v>
      </c>
      <c r="CC124" s="60">
        <f t="shared" si="65"/>
        <v>293.33333333333962</v>
      </c>
      <c r="CD124" s="60">
        <f ca="1">AVERAGE(OFFSET($CC$3,0,0,'Données projet'!$E$12+1,1))-AVERAGE(OFFSET($H$3,0,0,'Données projet'!$E$12+1,1))</f>
        <v>290.68086183422963</v>
      </c>
      <c r="CE124" s="60">
        <f t="shared" si="94"/>
        <v>317.88330630101785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1.9895196601282805E-13</v>
      </c>
      <c r="CU124" s="18">
        <f>CT124*VLOOKUP('Données projet'!$B$13,Paramètres!$A$1:$I$89,3,0)*VLOOKUP('Données projet'!$B$13,Paramètres!$A$1:$I$89,5,0)</f>
        <v>1.3035332813160495E-13</v>
      </c>
      <c r="CV124" s="14">
        <f t="shared" si="95"/>
        <v>1.8987770485018903E-12</v>
      </c>
      <c r="CW124" s="22">
        <f t="shared" si="67"/>
        <v>3.5340687393033375E-12</v>
      </c>
      <c r="CX124" s="60">
        <f t="shared" si="68"/>
        <v>293.33333333333684</v>
      </c>
      <c r="CY124" s="60">
        <f ca="1">AVERAGE(OFFSET($CX$3,0,0,'Données projet'!$E$13+1,1))-AVERAGE(OFFSET($H$3,0,0,'Données projet'!$E$13+1,1))</f>
        <v>243.04319555814601</v>
      </c>
      <c r="CZ124" s="60">
        <f t="shared" si="96"/>
        <v>235.68746142880792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201.4732637505823</v>
      </c>
      <c r="DU124" s="60">
        <f t="shared" si="98"/>
        <v>342.06887933351783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1.0895266277187849</v>
      </c>
      <c r="EB124" s="23">
        <f>EXP(-LN(2)/25)*EB123+(1-EXP(-LN(2)/25))/(LN(2)/25)*Calculateur!DW124*Calculateur!DY124*VLOOKUP('Données projet'!$B$14,Paramètres!$A$1:$I$89,3,0)*0.475*44/12</f>
        <v>2.1210177059844861</v>
      </c>
      <c r="EC124" s="23">
        <f>EXP(-LN(2)/2)*EC123+(1-EXP(-LN(2)/2))/(LN(2)/2)*DW124*DZ124*VLOOKUP('Données projet'!$B$14,Paramètres!$A$1:$I$89,3,0)*0.475*44/12</f>
        <v>2.6924512312504479E-13</v>
      </c>
      <c r="ED124" s="24">
        <f t="shared" si="72"/>
        <v>3.21054433370354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-3.4106051316484809E-13</v>
      </c>
      <c r="EK124" s="18">
        <f>EJ124*VLOOKUP('Données projet'!$B$15,Paramètres!$A$1:$I$89,3,0)*VLOOKUP('Données projet'!$B$15,Paramètres!$A$1:$I$89,5,0)</f>
        <v>-2.0395418687257919E-13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260.01925143568263</v>
      </c>
      <c r="EP124" s="60">
        <f t="shared" si="100"/>
        <v>269.95358755269427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2.3440133166333039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2.3440133166333039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-9.2222762759774927E-14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256.19915261735281</v>
      </c>
      <c r="FK124" s="60">
        <f t="shared" si="102"/>
        <v>297.47246687305056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2.8421709430404007E-14</v>
      </c>
      <c r="GA124" s="18">
        <f>FZ124*VLOOKUP('Données projet'!$B$17,Paramètres!$A$1:$I$89,3,0)*VLOOKUP('Données projet'!$B$17,Paramètres!$A$1:$I$89,5,0)</f>
        <v>1.6257217794191094E-14</v>
      </c>
      <c r="GB124" s="14">
        <f t="shared" si="103"/>
        <v>3.0173973759155586E-13</v>
      </c>
      <c r="GC124" s="22">
        <f t="shared" si="79"/>
        <v>5.538446972968425E-13</v>
      </c>
      <c r="GD124" s="60">
        <f t="shared" si="80"/>
        <v>293.33333333333388</v>
      </c>
      <c r="GE124" s="60">
        <f ca="1">AVERAGE(OFFSET($GD$3,0,0,'Données projet'!$E$17+1,1))-AVERAGE(OFFSET($H$3,0,0,'Données projet'!$E$17+1,1))</f>
        <v>268.71641789629319</v>
      </c>
      <c r="GF124" s="60">
        <f t="shared" si="104"/>
        <v>199.94048514486104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0.16843330548132049</v>
      </c>
      <c r="GN124" s="23">
        <f>EXP(-LN(2)/2)*GN123+(1-EXP(-LN(2)/2))/(LN(2)/2)*GH124*GK124*VLOOKUP('Données projet'!$B$17,Paramètres!$A$1:$I$89,3,0)*0.475*44/12</f>
        <v>1.4019222962351213E-13</v>
      </c>
      <c r="GO124" s="23">
        <f t="shared" si="81"/>
        <v>0.16843330548146068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-2.8421709430404007E-13</v>
      </c>
      <c r="GV124" s="18">
        <f>GU124*VLOOKUP('Données projet'!$B$18,Paramètres!$A$1:$I$89,3,0)*VLOOKUP('Données projet'!$B$18,Paramètres!$A$1:$I$89,5,0)</f>
        <v>-1.69961822393816E-13</v>
      </c>
      <c r="GW124" s="14" t="e">
        <f t="shared" si="105"/>
        <v>#NUM!</v>
      </c>
      <c r="GX124" s="22" t="e">
        <f t="shared" si="82"/>
        <v>#NUM!</v>
      </c>
      <c r="GY124" s="60" t="e">
        <f t="shared" si="83"/>
        <v>#NUM!</v>
      </c>
      <c r="GZ124" s="60">
        <f ca="1">AVERAGE(OFFSET($GY$3,0,0,'Données projet'!$E$18+1,1))-AVERAGE(OFFSET($H$3,0,0,'Données projet'!$E$18+1,1))</f>
        <v>289.12367833861299</v>
      </c>
      <c r="HA124" s="60">
        <f t="shared" si="106"/>
        <v>229.06617320689003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8.3339705387687709E-14</v>
      </c>
      <c r="HJ124" s="24">
        <f t="shared" si="84"/>
        <v>8.3339705387687709E-14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263.11583999999959</v>
      </c>
      <c r="P125" s="14">
        <f t="shared" si="87"/>
        <v>63.38608794442333</v>
      </c>
      <c r="Q125" s="22">
        <f t="shared" si="107"/>
        <v>568.65752450320326</v>
      </c>
      <c r="R125" s="60">
        <f t="shared" si="55"/>
        <v>861.99085783653663</v>
      </c>
      <c r="S125" s="60">
        <f ca="1">AVERAGE(OFFSET($R$3,0,0,'Données projet'!$E$9+1,1))-AVERAGE(OFFSET($H$3,0,0,'Données projet'!$E$9+1,1))</f>
        <v>430.11660085503223</v>
      </c>
      <c r="T125" s="60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1.2710188457276673E-13</v>
      </c>
      <c r="AK125" s="14">
        <f t="shared" si="89"/>
        <v>1.856866851063998E-12</v>
      </c>
      <c r="AL125" s="22">
        <f t="shared" si="58"/>
        <v>3.4554122145673649E-12</v>
      </c>
      <c r="AM125" s="60">
        <f t="shared" si="59"/>
        <v>293.33333333333678</v>
      </c>
      <c r="AN125" s="60">
        <f ca="1">AVERAGE(OFFSET($AM$3,0,0,'Données projet'!$E$10+1,1))-AVERAGE(OFFSET($H$3,0,0,'Données projet'!$E$10+1,1))</f>
        <v>323.98185264074681</v>
      </c>
      <c r="AO125" s="60">
        <f t="shared" si="90"/>
        <v>301.22207291854005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0.72157580860401238</v>
      </c>
      <c r="AV125" s="23">
        <f>EXP(-LN(2)/25)*AV124+(1-EXP(-LN(2)/25))/(LN(2)/25)*Calculateur!AQ125*Calculateur!AS125*VLOOKUP('Données projet'!$B$10,Paramètres!$A$1:$I$89,3,0)*0.475*44/12</f>
        <v>0.64345975549422807</v>
      </c>
      <c r="AW125" s="23">
        <f>EXP(-LN(2)/2)*AW124+(1-EXP(-LN(2)/2))/(LN(2)/2)*AQ125*AT125*VLOOKUP('Données projet'!$B$10,Paramètres!$A$1:$I$89,3,0)*0.475*44/12</f>
        <v>8.651294336371536E-14</v>
      </c>
      <c r="AX125" s="23">
        <f t="shared" si="60"/>
        <v>1.3650355640983269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5.4</v>
      </c>
      <c r="BD125" s="13">
        <f>IF('Données projet'!$A$88&gt;35,BD124+BC125-BL124,IF(A125&lt;'Données projet'!$A$88,$BA$205^A125,IF(A125='Données projet'!$A$88,'Données projet'!$B$88,BD124+BC125-BL124)))</f>
        <v>441.79999999999973</v>
      </c>
      <c r="BE125" s="14">
        <f>BD125*VLOOKUP('Données projet'!$B$11,Paramètres!$A$1:$I$89,3,0)*VLOOKUP('Données projet'!$B$11,Paramètres!$A$1:$I$89,5,0)</f>
        <v>379.06439999999981</v>
      </c>
      <c r="BF125" s="14">
        <f t="shared" si="91"/>
        <v>87.519105676243697</v>
      </c>
      <c r="BG125" s="22">
        <f t="shared" si="61"/>
        <v>812.63293905279068</v>
      </c>
      <c r="BH125" s="60">
        <f t="shared" si="62"/>
        <v>1105.966272386124</v>
      </c>
      <c r="BI125" s="60">
        <f ca="1">AVERAGE(OFFSET($BH$3,0,0,'Données projet'!$E$11+1,1))-AVERAGE(OFFSET($H$3,0,0,'Données projet'!$E$11+1,1))</f>
        <v>556.75475431848258</v>
      </c>
      <c r="BJ125" s="60">
        <f t="shared" si="92"/>
        <v>256.77417912163997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3.4106051316484809E-13</v>
      </c>
      <c r="BZ125" s="14">
        <f>BY125*VLOOKUP('Données projet'!$B$12,Paramètres!$A$1:$I$89,3,0)*VLOOKUP('Données projet'!$B$12,Paramètres!$A$1:$I$89,5,0)</f>
        <v>2.5006556825246659E-13</v>
      </c>
      <c r="CA125" s="14">
        <f t="shared" si="93"/>
        <v>3.3765445850268018E-12</v>
      </c>
      <c r="CB125" s="22">
        <f t="shared" si="64"/>
        <v>6.3163460169613921E-12</v>
      </c>
      <c r="CC125" s="60">
        <f t="shared" si="65"/>
        <v>293.33333333333962</v>
      </c>
      <c r="CD125" s="60">
        <f ca="1">AVERAGE(OFFSET($CC$3,0,0,'Données projet'!$E$12+1,1))-AVERAGE(OFFSET($H$3,0,0,'Données projet'!$E$12+1,1))</f>
        <v>290.68086183422963</v>
      </c>
      <c r="CE125" s="60">
        <f t="shared" si="94"/>
        <v>317.88330630101785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1.9895196601282805E-13</v>
      </c>
      <c r="CU125" s="18">
        <f>CT125*VLOOKUP('Données projet'!$B$13,Paramètres!$A$1:$I$89,3,0)*VLOOKUP('Données projet'!$B$13,Paramètres!$A$1:$I$89,5,0)</f>
        <v>1.3035332813160495E-13</v>
      </c>
      <c r="CV125" s="14">
        <f t="shared" si="95"/>
        <v>1.8987770485018903E-12</v>
      </c>
      <c r="CW125" s="22">
        <f t="shared" si="67"/>
        <v>3.5340687393033375E-12</v>
      </c>
      <c r="CX125" s="60">
        <f t="shared" si="68"/>
        <v>293.33333333333684</v>
      </c>
      <c r="CY125" s="60">
        <f ca="1">AVERAGE(OFFSET($CX$3,0,0,'Données projet'!$E$13+1,1))-AVERAGE(OFFSET($H$3,0,0,'Données projet'!$E$13+1,1))</f>
        <v>243.04319555814601</v>
      </c>
      <c r="CZ125" s="60">
        <f t="shared" si="96"/>
        <v>235.68746142880792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201.4732637505823</v>
      </c>
      <c r="DU125" s="60">
        <f t="shared" si="98"/>
        <v>342.06887933351783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1.0681616750948439</v>
      </c>
      <c r="EB125" s="23">
        <f>EXP(-LN(2)/25)*EB124+(1-EXP(-LN(2)/25))/(LN(2)/25)*Calculateur!DW125*Calculateur!DY125*VLOOKUP('Données projet'!$B$14,Paramètres!$A$1:$I$89,3,0)*0.475*44/12</f>
        <v>2.0630183652748668</v>
      </c>
      <c r="EC125" s="23">
        <f>EXP(-LN(2)/2)*EC124+(1-EXP(-LN(2)/2))/(LN(2)/2)*DW125*DZ125*VLOOKUP('Données projet'!$B$14,Paramètres!$A$1:$I$89,3,0)*0.475*44/12</f>
        <v>1.903850523631261E-13</v>
      </c>
      <c r="ED125" s="24">
        <f t="shared" si="72"/>
        <v>3.1311800403699013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-2.0395418687257919E-13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260.01925143568263</v>
      </c>
      <c r="EP125" s="60">
        <f t="shared" si="100"/>
        <v>269.95358755269427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2.2980486452010762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2.2980486452010762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-9.2222762759774927E-14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256.19915261735281</v>
      </c>
      <c r="FK125" s="60">
        <f t="shared" si="102"/>
        <v>297.47246687305056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2.8421709430404007E-14</v>
      </c>
      <c r="GA125" s="18">
        <f>FZ125*VLOOKUP('Données projet'!$B$17,Paramètres!$A$1:$I$89,3,0)*VLOOKUP('Données projet'!$B$17,Paramètres!$A$1:$I$89,5,0)</f>
        <v>1.6257217794191094E-14</v>
      </c>
      <c r="GB125" s="14">
        <f t="shared" si="103"/>
        <v>3.0173973759155586E-13</v>
      </c>
      <c r="GC125" s="22">
        <f t="shared" si="79"/>
        <v>5.538446972968425E-13</v>
      </c>
      <c r="GD125" s="60">
        <f t="shared" si="80"/>
        <v>293.33333333333388</v>
      </c>
      <c r="GE125" s="60">
        <f ca="1">AVERAGE(OFFSET($GD$3,0,0,'Données projet'!$E$17+1,1))-AVERAGE(OFFSET($H$3,0,0,'Données projet'!$E$17+1,1))</f>
        <v>268.71641789629319</v>
      </c>
      <c r="GF125" s="60">
        <f t="shared" si="104"/>
        <v>199.94048514486104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0.16382748788541121</v>
      </c>
      <c r="GN125" s="23">
        <f>EXP(-LN(2)/2)*GN124+(1-EXP(-LN(2)/2))/(LN(2)/2)*GH125*GK125*VLOOKUP('Données projet'!$B$17,Paramètres!$A$1:$I$89,3,0)*0.475*44/12</f>
        <v>9.9130876236447017E-14</v>
      </c>
      <c r="GO125" s="23">
        <f t="shared" si="81"/>
        <v>0.16382748788551035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-2.8421709430404007E-13</v>
      </c>
      <c r="GV125" s="18">
        <f>GU125*VLOOKUP('Données projet'!$B$18,Paramètres!$A$1:$I$89,3,0)*VLOOKUP('Données projet'!$B$18,Paramètres!$A$1:$I$89,5,0)</f>
        <v>-1.69961822393816E-13</v>
      </c>
      <c r="GW125" s="14" t="e">
        <f t="shared" si="105"/>
        <v>#NUM!</v>
      </c>
      <c r="GX125" s="22" t="e">
        <f t="shared" si="82"/>
        <v>#NUM!</v>
      </c>
      <c r="GY125" s="60" t="e">
        <f t="shared" si="83"/>
        <v>#NUM!</v>
      </c>
      <c r="GZ125" s="60">
        <f ca="1">AVERAGE(OFFSET($GY$3,0,0,'Données projet'!$E$18+1,1))-AVERAGE(OFFSET($H$3,0,0,'Données projet'!$E$18+1,1))</f>
        <v>289.12367833861299</v>
      </c>
      <c r="HA125" s="60">
        <f t="shared" si="106"/>
        <v>229.06617320689003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5.8930070821723028E-14</v>
      </c>
      <c r="HJ125" s="24">
        <f t="shared" si="84"/>
        <v>5.8930070821723028E-14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266.19215999999955</v>
      </c>
      <c r="P126" s="14">
        <f t="shared" si="87"/>
        <v>64.040482723459647</v>
      </c>
      <c r="Q126" s="22">
        <f t="shared" si="107"/>
        <v>575.15518607669139</v>
      </c>
      <c r="R126" s="60">
        <f t="shared" si="55"/>
        <v>868.48851941002476</v>
      </c>
      <c r="S126" s="60">
        <f ca="1">AVERAGE(OFFSET($R$3,0,0,'Données projet'!$E$9+1,1))-AVERAGE(OFFSET($H$3,0,0,'Données projet'!$E$9+1,1))</f>
        <v>430.11660085503223</v>
      </c>
      <c r="T126" s="60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1.2710188457276673E-13</v>
      </c>
      <c r="AK126" s="14">
        <f t="shared" si="89"/>
        <v>1.856866851063998E-12</v>
      </c>
      <c r="AL126" s="22">
        <f t="shared" si="58"/>
        <v>3.4554122145673649E-12</v>
      </c>
      <c r="AM126" s="60">
        <f t="shared" si="59"/>
        <v>293.33333333333678</v>
      </c>
      <c r="AN126" s="60">
        <f ca="1">AVERAGE(OFFSET($AM$3,0,0,'Données projet'!$E$10+1,1))-AVERAGE(OFFSET($H$3,0,0,'Données projet'!$E$10+1,1))</f>
        <v>323.98185264074681</v>
      </c>
      <c r="AO126" s="60">
        <f t="shared" si="90"/>
        <v>301.22207291854005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0.7074261471150729</v>
      </c>
      <c r="AV126" s="23">
        <f>EXP(-LN(2)/25)*AV125+(1-EXP(-LN(2)/25))/(LN(2)/25)*Calculateur!AQ126*Calculateur!AS126*VLOOKUP('Données projet'!$B$10,Paramètres!$A$1:$I$89,3,0)*0.475*44/12</f>
        <v>0.62586431464216052</v>
      </c>
      <c r="AW126" s="23">
        <f>EXP(-LN(2)/2)*AW125+(1-EXP(-LN(2)/2))/(LN(2)/2)*AQ126*AT126*VLOOKUP('Données projet'!$B$10,Paramètres!$A$1:$I$89,3,0)*0.475*44/12</f>
        <v>6.1173888912890855E-14</v>
      </c>
      <c r="AX126" s="23">
        <f t="shared" si="60"/>
        <v>1.3332904617572947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5.4</v>
      </c>
      <c r="BD126" s="13">
        <f>IF('Données projet'!$A$88&gt;35,BD125+BC126-BL125,IF(A126&lt;'Données projet'!$A$88,$BA$205^A126,IF(A126='Données projet'!$A$88,'Données projet'!$B$88,BD125+BC126-BL125)))</f>
        <v>447.1999999999997</v>
      </c>
      <c r="BE126" s="14">
        <f>BD126*VLOOKUP('Données projet'!$B$11,Paramètres!$A$1:$I$89,3,0)*VLOOKUP('Données projet'!$B$11,Paramètres!$A$1:$I$89,5,0)</f>
        <v>383.6975999999998</v>
      </c>
      <c r="BF126" s="14">
        <f t="shared" si="91"/>
        <v>88.46364267180013</v>
      </c>
      <c r="BG126" s="22">
        <f t="shared" si="61"/>
        <v>822.34749765338483</v>
      </c>
      <c r="BH126" s="60">
        <f t="shared" si="62"/>
        <v>1115.6808309867181</v>
      </c>
      <c r="BI126" s="60">
        <f ca="1">AVERAGE(OFFSET($BH$3,0,0,'Données projet'!$E$11+1,1))-AVERAGE(OFFSET($H$3,0,0,'Données projet'!$E$11+1,1))</f>
        <v>556.75475431848258</v>
      </c>
      <c r="BJ126" s="60">
        <f t="shared" si="92"/>
        <v>256.77417912163997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3.4106051316484809E-13</v>
      </c>
      <c r="BZ126" s="14">
        <f>BY126*VLOOKUP('Données projet'!$B$12,Paramètres!$A$1:$I$89,3,0)*VLOOKUP('Données projet'!$B$12,Paramètres!$A$1:$I$89,5,0)</f>
        <v>2.5006556825246659E-13</v>
      </c>
      <c r="CA126" s="14">
        <f t="shared" si="93"/>
        <v>3.3765445850268018E-12</v>
      </c>
      <c r="CB126" s="22">
        <f t="shared" si="64"/>
        <v>6.3163460169613921E-12</v>
      </c>
      <c r="CC126" s="60">
        <f t="shared" si="65"/>
        <v>293.33333333333962</v>
      </c>
      <c r="CD126" s="60">
        <f ca="1">AVERAGE(OFFSET($CC$3,0,0,'Données projet'!$E$12+1,1))-AVERAGE(OFFSET($H$3,0,0,'Données projet'!$E$12+1,1))</f>
        <v>290.68086183422963</v>
      </c>
      <c r="CE126" s="60">
        <f t="shared" si="94"/>
        <v>317.88330630101785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1.9895196601282805E-13</v>
      </c>
      <c r="CU126" s="18">
        <f>CT126*VLOOKUP('Données projet'!$B$13,Paramètres!$A$1:$I$89,3,0)*VLOOKUP('Données projet'!$B$13,Paramètres!$A$1:$I$89,5,0)</f>
        <v>1.3035332813160495E-13</v>
      </c>
      <c r="CV126" s="14">
        <f t="shared" si="95"/>
        <v>1.8987770485018903E-12</v>
      </c>
      <c r="CW126" s="22">
        <f t="shared" si="67"/>
        <v>3.5340687393033375E-12</v>
      </c>
      <c r="CX126" s="60">
        <f t="shared" si="68"/>
        <v>293.33333333333684</v>
      </c>
      <c r="CY126" s="60">
        <f ca="1">AVERAGE(OFFSET($CX$3,0,0,'Données projet'!$E$13+1,1))-AVERAGE(OFFSET($H$3,0,0,'Données projet'!$E$13+1,1))</f>
        <v>243.04319555814601</v>
      </c>
      <c r="CZ126" s="60">
        <f t="shared" si="96"/>
        <v>235.68746142880792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201.4732637505823</v>
      </c>
      <c r="DU126" s="60">
        <f t="shared" si="98"/>
        <v>342.06887933351783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1.0472156761605242</v>
      </c>
      <c r="EB126" s="23">
        <f>EXP(-LN(2)/25)*EB125+(1-EXP(-LN(2)/25))/(LN(2)/25)*Calculateur!DW126*Calculateur!DY126*VLOOKUP('Données projet'!$B$14,Paramètres!$A$1:$I$89,3,0)*0.475*44/12</f>
        <v>2.0066050195870049</v>
      </c>
      <c r="EC126" s="23">
        <f>EXP(-LN(2)/2)*EC125+(1-EXP(-LN(2)/2))/(LN(2)/2)*DW126*DZ126*VLOOKUP('Données projet'!$B$14,Paramètres!$A$1:$I$89,3,0)*0.475*44/12</f>
        <v>1.346225615625224E-13</v>
      </c>
      <c r="ED126" s="24">
        <f t="shared" si="72"/>
        <v>3.0538206957476635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-2.0395418687257919E-13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260.01925143568263</v>
      </c>
      <c r="EP126" s="60">
        <f t="shared" si="100"/>
        <v>269.95358755269427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2.2529853129399533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2.2529853129399533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-9.2222762759774927E-14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256.19915261735281</v>
      </c>
      <c r="FK126" s="60">
        <f t="shared" si="102"/>
        <v>297.47246687305056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2.8421709430404007E-14</v>
      </c>
      <c r="GA126" s="18">
        <f>FZ126*VLOOKUP('Données projet'!$B$17,Paramètres!$A$1:$I$89,3,0)*VLOOKUP('Données projet'!$B$17,Paramètres!$A$1:$I$89,5,0)</f>
        <v>1.6257217794191094E-14</v>
      </c>
      <c r="GB126" s="14">
        <f t="shared" si="103"/>
        <v>3.0173973759155586E-13</v>
      </c>
      <c r="GC126" s="22">
        <f t="shared" si="79"/>
        <v>5.538446972968425E-13</v>
      </c>
      <c r="GD126" s="60">
        <f t="shared" si="80"/>
        <v>293.33333333333388</v>
      </c>
      <c r="GE126" s="60">
        <f ca="1">AVERAGE(OFFSET($GD$3,0,0,'Données projet'!$E$17+1,1))-AVERAGE(OFFSET($H$3,0,0,'Données projet'!$E$17+1,1))</f>
        <v>268.71641789629319</v>
      </c>
      <c r="GF126" s="60">
        <f t="shared" si="104"/>
        <v>199.94048514486104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0.15934761661387148</v>
      </c>
      <c r="GN126" s="23">
        <f>EXP(-LN(2)/2)*GN125+(1-EXP(-LN(2)/2))/(LN(2)/2)*GH126*GK126*VLOOKUP('Données projet'!$B$17,Paramètres!$A$1:$I$89,3,0)*0.475*44/12</f>
        <v>7.0096114811756064E-14</v>
      </c>
      <c r="GO126" s="23">
        <f t="shared" si="81"/>
        <v>0.15934761661394156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-2.8421709430404007E-13</v>
      </c>
      <c r="GV126" s="18">
        <f>GU126*VLOOKUP('Données projet'!$B$18,Paramètres!$A$1:$I$89,3,0)*VLOOKUP('Données projet'!$B$18,Paramètres!$A$1:$I$89,5,0)</f>
        <v>-1.69961822393816E-13</v>
      </c>
      <c r="GW126" s="14" t="e">
        <f t="shared" si="105"/>
        <v>#NUM!</v>
      </c>
      <c r="GX126" s="22" t="e">
        <f t="shared" si="82"/>
        <v>#NUM!</v>
      </c>
      <c r="GY126" s="60" t="e">
        <f t="shared" si="83"/>
        <v>#NUM!</v>
      </c>
      <c r="GZ126" s="60">
        <f ca="1">AVERAGE(OFFSET($GY$3,0,0,'Données projet'!$E$18+1,1))-AVERAGE(OFFSET($H$3,0,0,'Données projet'!$E$18+1,1))</f>
        <v>289.12367833861299</v>
      </c>
      <c r="HA126" s="60">
        <f t="shared" si="106"/>
        <v>229.06617320689003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4.1669852693843854E-14</v>
      </c>
      <c r="HJ126" s="24">
        <f t="shared" si="84"/>
        <v>4.1669852693843854E-14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269.26847999999956</v>
      </c>
      <c r="P127" s="14">
        <f t="shared" si="87"/>
        <v>64.693997776951122</v>
      </c>
      <c r="Q127" s="22">
        <f t="shared" si="107"/>
        <v>581.65131546152236</v>
      </c>
      <c r="R127" s="60">
        <f t="shared" si="55"/>
        <v>874.98464879485573</v>
      </c>
      <c r="S127" s="60">
        <f ca="1">AVERAGE(OFFSET($R$3,0,0,'Données projet'!$E$9+1,1))-AVERAGE(OFFSET($H$3,0,0,'Données projet'!$E$9+1,1))</f>
        <v>430.11660085503223</v>
      </c>
      <c r="T127" s="60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1.2710188457276673E-13</v>
      </c>
      <c r="AK127" s="14">
        <f t="shared" si="89"/>
        <v>1.856866851063998E-12</v>
      </c>
      <c r="AL127" s="22">
        <f t="shared" si="58"/>
        <v>3.4554122145673649E-12</v>
      </c>
      <c r="AM127" s="60">
        <f t="shared" si="59"/>
        <v>293.33333333333678</v>
      </c>
      <c r="AN127" s="60">
        <f ca="1">AVERAGE(OFFSET($AM$3,0,0,'Données projet'!$E$10+1,1))-AVERAGE(OFFSET($H$3,0,0,'Données projet'!$E$10+1,1))</f>
        <v>323.98185264074681</v>
      </c>
      <c r="AO127" s="60">
        <f t="shared" si="90"/>
        <v>301.22207291854005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0.69355395185749025</v>
      </c>
      <c r="AV127" s="23">
        <f>EXP(-LN(2)/25)*AV126+(1-EXP(-LN(2)/25))/(LN(2)/25)*Calculateur!AQ127*Calculateur!AS127*VLOOKUP('Données projet'!$B$10,Paramètres!$A$1:$I$89,3,0)*0.475*44/12</f>
        <v>0.60875002204549677</v>
      </c>
      <c r="AW127" s="23">
        <f>EXP(-LN(2)/2)*AW126+(1-EXP(-LN(2)/2))/(LN(2)/2)*AQ127*AT127*VLOOKUP('Données projet'!$B$10,Paramètres!$A$1:$I$89,3,0)*0.475*44/12</f>
        <v>4.325647168185768E-14</v>
      </c>
      <c r="AX127" s="23">
        <f t="shared" si="60"/>
        <v>1.3023039739030302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5.4</v>
      </c>
      <c r="BD127" s="13">
        <f>IF('Données projet'!$A$88&gt;35,BD126+BC127-BL126,IF(A127&lt;'Données projet'!$A$88,$BA$205^A127,IF(A127='Données projet'!$A$88,'Données projet'!$B$88,BD126+BC127-BL126)))</f>
        <v>452.59999999999968</v>
      </c>
      <c r="BE127" s="14">
        <f>BD127*VLOOKUP('Données projet'!$B$11,Paramètres!$A$1:$I$89,3,0)*VLOOKUP('Données projet'!$B$11,Paramètres!$A$1:$I$89,5,0)</f>
        <v>388.33079999999978</v>
      </c>
      <c r="BF127" s="14">
        <f t="shared" si="91"/>
        <v>89.406852975985075</v>
      </c>
      <c r="BG127" s="22">
        <f t="shared" si="61"/>
        <v>832.05974559984031</v>
      </c>
      <c r="BH127" s="60">
        <f t="shared" si="62"/>
        <v>1125.3930789331737</v>
      </c>
      <c r="BI127" s="60">
        <f ca="1">AVERAGE(OFFSET($BH$3,0,0,'Données projet'!$E$11+1,1))-AVERAGE(OFFSET($H$3,0,0,'Données projet'!$E$11+1,1))</f>
        <v>556.75475431848258</v>
      </c>
      <c r="BJ127" s="60">
        <f t="shared" si="92"/>
        <v>256.77417912163997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3.4106051316484809E-13</v>
      </c>
      <c r="BZ127" s="14">
        <f>BY127*VLOOKUP('Données projet'!$B$12,Paramètres!$A$1:$I$89,3,0)*VLOOKUP('Données projet'!$B$12,Paramètres!$A$1:$I$89,5,0)</f>
        <v>2.5006556825246659E-13</v>
      </c>
      <c r="CA127" s="14">
        <f t="shared" si="93"/>
        <v>3.3765445850268018E-12</v>
      </c>
      <c r="CB127" s="22">
        <f t="shared" si="64"/>
        <v>6.3163460169613921E-12</v>
      </c>
      <c r="CC127" s="60">
        <f t="shared" si="65"/>
        <v>293.33333333333962</v>
      </c>
      <c r="CD127" s="60">
        <f ca="1">AVERAGE(OFFSET($CC$3,0,0,'Données projet'!$E$12+1,1))-AVERAGE(OFFSET($H$3,0,0,'Données projet'!$E$12+1,1))</f>
        <v>290.68086183422963</v>
      </c>
      <c r="CE127" s="60">
        <f t="shared" si="94"/>
        <v>317.88330630101785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1.9895196601282805E-13</v>
      </c>
      <c r="CU127" s="18">
        <f>CT127*VLOOKUP('Données projet'!$B$13,Paramètres!$A$1:$I$89,3,0)*VLOOKUP('Données projet'!$B$13,Paramètres!$A$1:$I$89,5,0)</f>
        <v>1.3035332813160495E-13</v>
      </c>
      <c r="CV127" s="14">
        <f t="shared" si="95"/>
        <v>1.8987770485018903E-12</v>
      </c>
      <c r="CW127" s="22">
        <f t="shared" si="67"/>
        <v>3.5340687393033375E-12</v>
      </c>
      <c r="CX127" s="60">
        <f t="shared" si="68"/>
        <v>293.33333333333684</v>
      </c>
      <c r="CY127" s="60">
        <f ca="1">AVERAGE(OFFSET($CX$3,0,0,'Données projet'!$E$13+1,1))-AVERAGE(OFFSET($H$3,0,0,'Données projet'!$E$13+1,1))</f>
        <v>243.04319555814601</v>
      </c>
      <c r="CZ127" s="60">
        <f t="shared" si="96"/>
        <v>235.68746142880792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201.4732637505823</v>
      </c>
      <c r="DU127" s="60">
        <f t="shared" si="98"/>
        <v>342.06887933351783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1.0266804154895086</v>
      </c>
      <c r="EB127" s="23">
        <f>EXP(-LN(2)/25)*EB126+(1-EXP(-LN(2)/25))/(LN(2)/25)*Calculateur!DW127*Calculateur!DY127*VLOOKUP('Données projet'!$B$14,Paramètres!$A$1:$I$89,3,0)*0.475*44/12</f>
        <v>1.9517342998036264</v>
      </c>
      <c r="EC127" s="23">
        <f>EXP(-LN(2)/2)*EC126+(1-EXP(-LN(2)/2))/(LN(2)/2)*DW127*DZ127*VLOOKUP('Données projet'!$B$14,Paramètres!$A$1:$I$89,3,0)*0.475*44/12</f>
        <v>9.5192526181563048E-14</v>
      </c>
      <c r="ED127" s="24">
        <f t="shared" si="72"/>
        <v>2.9784147152932299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-2.0395418687257919E-13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260.01925143568263</v>
      </c>
      <c r="EP127" s="60">
        <f t="shared" si="100"/>
        <v>269.95358755269427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2.2088056451385523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2.2088056451385523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-9.2222762759774927E-14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256.19915261735281</v>
      </c>
      <c r="FK127" s="60">
        <f t="shared" si="102"/>
        <v>297.47246687305056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2.8421709430404007E-14</v>
      </c>
      <c r="GA127" s="18">
        <f>FZ127*VLOOKUP('Données projet'!$B$17,Paramètres!$A$1:$I$89,3,0)*VLOOKUP('Données projet'!$B$17,Paramètres!$A$1:$I$89,5,0)</f>
        <v>1.6257217794191094E-14</v>
      </c>
      <c r="GB127" s="14">
        <f t="shared" si="103"/>
        <v>3.0173973759155586E-13</v>
      </c>
      <c r="GC127" s="22">
        <f t="shared" si="79"/>
        <v>5.538446972968425E-13</v>
      </c>
      <c r="GD127" s="60">
        <f t="shared" si="80"/>
        <v>293.33333333333388</v>
      </c>
      <c r="GE127" s="60">
        <f ca="1">AVERAGE(OFFSET($GD$3,0,0,'Données projet'!$E$17+1,1))-AVERAGE(OFFSET($H$3,0,0,'Données projet'!$E$17+1,1))</f>
        <v>268.71641789629319</v>
      </c>
      <c r="GF127" s="60">
        <f t="shared" si="104"/>
        <v>199.94048514486104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0.1549902476578382</v>
      </c>
      <c r="GN127" s="23">
        <f>EXP(-LN(2)/2)*GN126+(1-EXP(-LN(2)/2))/(LN(2)/2)*GH127*GK127*VLOOKUP('Données projet'!$B$17,Paramètres!$A$1:$I$89,3,0)*0.475*44/12</f>
        <v>4.9565438118223509E-14</v>
      </c>
      <c r="GO127" s="23">
        <f t="shared" si="81"/>
        <v>0.15499024765788777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-2.8421709430404007E-13</v>
      </c>
      <c r="GV127" s="18">
        <f>GU127*VLOOKUP('Données projet'!$B$18,Paramètres!$A$1:$I$89,3,0)*VLOOKUP('Données projet'!$B$18,Paramètres!$A$1:$I$89,5,0)</f>
        <v>-1.69961822393816E-13</v>
      </c>
      <c r="GW127" s="14" t="e">
        <f t="shared" si="105"/>
        <v>#NUM!</v>
      </c>
      <c r="GX127" s="22" t="e">
        <f t="shared" si="82"/>
        <v>#NUM!</v>
      </c>
      <c r="GY127" s="60" t="e">
        <f t="shared" si="83"/>
        <v>#NUM!</v>
      </c>
      <c r="GZ127" s="60">
        <f ca="1">AVERAGE(OFFSET($GY$3,0,0,'Données projet'!$E$18+1,1))-AVERAGE(OFFSET($H$3,0,0,'Données projet'!$E$18+1,1))</f>
        <v>289.12367833861299</v>
      </c>
      <c r="HA127" s="60">
        <f t="shared" si="106"/>
        <v>229.06617320689003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2.9465035410861514E-14</v>
      </c>
      <c r="HJ127" s="24">
        <f t="shared" si="84"/>
        <v>2.9465035410861514E-14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272.34479999999957</v>
      </c>
      <c r="P128" s="14">
        <f t="shared" si="87"/>
        <v>65.346644318451652</v>
      </c>
      <c r="Q128" s="22">
        <f t="shared" si="107"/>
        <v>588.14593218796915</v>
      </c>
      <c r="R128" s="60">
        <f t="shared" si="55"/>
        <v>881.47926552130252</v>
      </c>
      <c r="S128" s="60">
        <f ca="1">AVERAGE(OFFSET($R$3,0,0,'Données projet'!$E$9+1,1))-AVERAGE(OFFSET($H$3,0,0,'Données projet'!$E$9+1,1))</f>
        <v>430.11660085503223</v>
      </c>
      <c r="T128" s="60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1.2710188457276673E-13</v>
      </c>
      <c r="AK128" s="14">
        <f t="shared" si="89"/>
        <v>1.856866851063998E-12</v>
      </c>
      <c r="AL128" s="22">
        <f t="shared" si="58"/>
        <v>3.4554122145673649E-12</v>
      </c>
      <c r="AM128" s="60">
        <f t="shared" si="59"/>
        <v>293.33333333333678</v>
      </c>
      <c r="AN128" s="60">
        <f ca="1">AVERAGE(OFFSET($AM$3,0,0,'Données projet'!$E$10+1,1))-AVERAGE(OFFSET($H$3,0,0,'Données projet'!$E$10+1,1))</f>
        <v>323.98185264074681</v>
      </c>
      <c r="AO128" s="60">
        <f t="shared" si="90"/>
        <v>301.22207291854005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0.67995378188770517</v>
      </c>
      <c r="AV128" s="23">
        <f>EXP(-LN(2)/25)*AV127+(1-EXP(-LN(2)/25))/(LN(2)/25)*Calculateur!AQ128*Calculateur!AS128*VLOOKUP('Données projet'!$B$10,Paramètres!$A$1:$I$89,3,0)*0.475*44/12</f>
        <v>0.59210372067989037</v>
      </c>
      <c r="AW128" s="23">
        <f>EXP(-LN(2)/2)*AW127+(1-EXP(-LN(2)/2))/(LN(2)/2)*AQ128*AT128*VLOOKUP('Données projet'!$B$10,Paramètres!$A$1:$I$89,3,0)*0.475*44/12</f>
        <v>3.0586944456445427E-14</v>
      </c>
      <c r="AX128" s="23">
        <f t="shared" si="60"/>
        <v>1.2720575025676262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458</v>
      </c>
      <c r="BB128" s="13">
        <f>VLOOKUP(A128,'Données projet'!$A$87:$I$107,9,0)</f>
        <v>5.4</v>
      </c>
      <c r="BC128" s="13">
        <f t="array" ref="BC128">INDEX(BB:BB,MIN(IF(ISNUMBER(BB128:BB324),ROW(BB128:BB324),"")))</f>
        <v>5.4</v>
      </c>
      <c r="BD128" s="13">
        <f>IF('Données projet'!$A$88&gt;35,BD127+BC128-BL127,IF(A128&lt;'Données projet'!$A$88,$BA$205^A128,IF(A128='Données projet'!$A$88,'Données projet'!$B$88,BD127+BC128-BL127)))</f>
        <v>457.99999999999966</v>
      </c>
      <c r="BE128" s="14">
        <f>BD128*VLOOKUP('Données projet'!$B$11,Paramètres!$A$1:$I$89,3,0)*VLOOKUP('Données projet'!$B$11,Paramètres!$A$1:$I$89,5,0)</f>
        <v>392.96399999999977</v>
      </c>
      <c r="BF128" s="14">
        <f t="shared" si="91"/>
        <v>90.348754248694036</v>
      </c>
      <c r="BG128" s="22">
        <f t="shared" si="61"/>
        <v>841.7697136498083</v>
      </c>
      <c r="BH128" s="60">
        <f t="shared" si="62"/>
        <v>1135.1030469831417</v>
      </c>
      <c r="BI128" s="60">
        <f ca="1">AVERAGE(OFFSET($BH$3,0,0,'Données projet'!$E$11+1,1))-AVERAGE(OFFSET($H$3,0,0,'Données projet'!$E$11+1,1))</f>
        <v>556.75475431848258</v>
      </c>
      <c r="BJ128" s="60">
        <f t="shared" si="92"/>
        <v>256.77417912163997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42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3.4106051316484809E-13</v>
      </c>
      <c r="BZ128" s="14">
        <f>BY128*VLOOKUP('Données projet'!$B$12,Paramètres!$A$1:$I$89,3,0)*VLOOKUP('Données projet'!$B$12,Paramètres!$A$1:$I$89,5,0)</f>
        <v>2.5006556825246659E-13</v>
      </c>
      <c r="CA128" s="14">
        <f t="shared" si="93"/>
        <v>3.3765445850268018E-12</v>
      </c>
      <c r="CB128" s="22">
        <f t="shared" si="64"/>
        <v>6.3163460169613921E-12</v>
      </c>
      <c r="CC128" s="60">
        <f t="shared" si="65"/>
        <v>293.33333333333962</v>
      </c>
      <c r="CD128" s="60">
        <f ca="1">AVERAGE(OFFSET($CC$3,0,0,'Données projet'!$E$12+1,1))-AVERAGE(OFFSET($H$3,0,0,'Données projet'!$E$12+1,1))</f>
        <v>290.68086183422963</v>
      </c>
      <c r="CE128" s="60">
        <f t="shared" si="94"/>
        <v>317.88330630101785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1.9895196601282805E-13</v>
      </c>
      <c r="CU128" s="18">
        <f>CT128*VLOOKUP('Données projet'!$B$13,Paramètres!$A$1:$I$89,3,0)*VLOOKUP('Données projet'!$B$13,Paramètres!$A$1:$I$89,5,0)</f>
        <v>1.3035332813160495E-13</v>
      </c>
      <c r="CV128" s="14">
        <f t="shared" si="95"/>
        <v>1.8987770485018903E-12</v>
      </c>
      <c r="CW128" s="22">
        <f t="shared" si="67"/>
        <v>3.5340687393033375E-12</v>
      </c>
      <c r="CX128" s="60">
        <f t="shared" si="68"/>
        <v>293.33333333333684</v>
      </c>
      <c r="CY128" s="60">
        <f ca="1">AVERAGE(OFFSET($CX$3,0,0,'Données projet'!$E$13+1,1))-AVERAGE(OFFSET($H$3,0,0,'Données projet'!$E$13+1,1))</f>
        <v>243.04319555814601</v>
      </c>
      <c r="CZ128" s="60">
        <f t="shared" si="96"/>
        <v>235.68746142880792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201.4732637505823</v>
      </c>
      <c r="DU128" s="60">
        <f t="shared" si="98"/>
        <v>342.06887933351783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1.0065478387549793</v>
      </c>
      <c r="EB128" s="23">
        <f>EXP(-LN(2)/25)*EB127+(1-EXP(-LN(2)/25))/(LN(2)/25)*Calculateur!DW128*Calculateur!DY128*VLOOKUP('Données projet'!$B$14,Paramètres!$A$1:$I$89,3,0)*0.475*44/12</f>
        <v>1.8983640227382501</v>
      </c>
      <c r="EC128" s="23">
        <f>EXP(-LN(2)/2)*EC127+(1-EXP(-LN(2)/2))/(LN(2)/2)*DW128*DZ128*VLOOKUP('Données projet'!$B$14,Paramètres!$A$1:$I$89,3,0)*0.475*44/12</f>
        <v>6.7311280781261198E-14</v>
      </c>
      <c r="ED128" s="24">
        <f t="shared" si="72"/>
        <v>2.9049118614932969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-2.0395418687257919E-13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260.01925143568263</v>
      </c>
      <c r="EP128" s="60">
        <f t="shared" si="100"/>
        <v>269.95358755269427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2.1654923136758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2.1654923136758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-9.2222762759774927E-14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256.19915261735281</v>
      </c>
      <c r="FK128" s="60">
        <f t="shared" si="102"/>
        <v>297.47246687305056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2.8421709430404007E-14</v>
      </c>
      <c r="GA128" s="18">
        <f>FZ128*VLOOKUP('Données projet'!$B$17,Paramètres!$A$1:$I$89,3,0)*VLOOKUP('Données projet'!$B$17,Paramètres!$A$1:$I$89,5,0)</f>
        <v>1.6257217794191094E-14</v>
      </c>
      <c r="GB128" s="14">
        <f t="shared" si="103"/>
        <v>3.0173973759155586E-13</v>
      </c>
      <c r="GC128" s="22">
        <f t="shared" si="79"/>
        <v>5.538446972968425E-13</v>
      </c>
      <c r="GD128" s="60">
        <f t="shared" si="80"/>
        <v>293.33333333333388</v>
      </c>
      <c r="GE128" s="60">
        <f ca="1">AVERAGE(OFFSET($GD$3,0,0,'Données projet'!$E$17+1,1))-AVERAGE(OFFSET($H$3,0,0,'Données projet'!$E$17+1,1))</f>
        <v>268.71641789629319</v>
      </c>
      <c r="GF128" s="60">
        <f t="shared" si="104"/>
        <v>199.94048514486104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0.15075203118505173</v>
      </c>
      <c r="GN128" s="23">
        <f>EXP(-LN(2)/2)*GN127+(1-EXP(-LN(2)/2))/(LN(2)/2)*GH128*GK128*VLOOKUP('Données projet'!$B$17,Paramètres!$A$1:$I$89,3,0)*0.475*44/12</f>
        <v>3.5048057405878032E-14</v>
      </c>
      <c r="GO128" s="23">
        <f t="shared" si="81"/>
        <v>0.15075203118508679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-2.8421709430404007E-13</v>
      </c>
      <c r="GV128" s="18">
        <f>GU128*VLOOKUP('Données projet'!$B$18,Paramètres!$A$1:$I$89,3,0)*VLOOKUP('Données projet'!$B$18,Paramètres!$A$1:$I$89,5,0)</f>
        <v>-1.69961822393816E-13</v>
      </c>
      <c r="GW128" s="14" t="e">
        <f t="shared" si="105"/>
        <v>#NUM!</v>
      </c>
      <c r="GX128" s="22" t="e">
        <f t="shared" si="82"/>
        <v>#NUM!</v>
      </c>
      <c r="GY128" s="60" t="e">
        <f t="shared" si="83"/>
        <v>#NUM!</v>
      </c>
      <c r="GZ128" s="60">
        <f ca="1">AVERAGE(OFFSET($GY$3,0,0,'Données projet'!$E$18+1,1))-AVERAGE(OFFSET($H$3,0,0,'Données projet'!$E$18+1,1))</f>
        <v>289.12367833861299</v>
      </c>
      <c r="HA128" s="60">
        <f t="shared" si="106"/>
        <v>229.06617320689003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2.0834926346921927E-14</v>
      </c>
      <c r="HJ128" s="24">
        <f t="shared" si="84"/>
        <v>2.0834926346921927E-14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245.20079999999953</v>
      </c>
      <c r="P129" s="14">
        <f t="shared" si="87"/>
        <v>59.557107941433628</v>
      </c>
      <c r="Q129" s="22">
        <f t="shared" si="107"/>
        <v>530.78668966466273</v>
      </c>
      <c r="R129" s="60">
        <f t="shared" si="55"/>
        <v>824.1200229979961</v>
      </c>
      <c r="S129" s="60">
        <f ca="1">AVERAGE(OFFSET($R$3,0,0,'Données projet'!$E$9+1,1))-AVERAGE(OFFSET($H$3,0,0,'Données projet'!$E$9+1,1))</f>
        <v>430.11660085503223</v>
      </c>
      <c r="T129" s="60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1.2710188457276673E-13</v>
      </c>
      <c r="AK129" s="14">
        <f t="shared" si="89"/>
        <v>1.856866851063998E-12</v>
      </c>
      <c r="AL129" s="22">
        <f t="shared" si="58"/>
        <v>3.4554122145673649E-12</v>
      </c>
      <c r="AM129" s="60">
        <f t="shared" si="59"/>
        <v>293.33333333333678</v>
      </c>
      <c r="AN129" s="60">
        <f ca="1">AVERAGE(OFFSET($AM$3,0,0,'Données projet'!$E$10+1,1))-AVERAGE(OFFSET($H$3,0,0,'Données projet'!$E$10+1,1))</f>
        <v>323.98185264074681</v>
      </c>
      <c r="AO129" s="60">
        <f t="shared" si="90"/>
        <v>301.22207291854005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0.66662030295574293</v>
      </c>
      <c r="AV129" s="23">
        <f>EXP(-LN(2)/25)*AV128+(1-EXP(-LN(2)/25))/(LN(2)/25)*Calculateur!AQ129*Calculateur!AS129*VLOOKUP('Données projet'!$B$10,Paramètres!$A$1:$I$89,3,0)*0.475*44/12</f>
        <v>0.57591261330051735</v>
      </c>
      <c r="AW129" s="23">
        <f>EXP(-LN(2)/2)*AW128+(1-EXP(-LN(2)/2))/(LN(2)/2)*AQ129*AT129*VLOOKUP('Données projet'!$B$10,Paramètres!$A$1:$I$89,3,0)*0.475*44/12</f>
        <v>2.162823584092884E-14</v>
      </c>
      <c r="AX129" s="23">
        <f t="shared" si="60"/>
        <v>1.2425329162562819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4.8</v>
      </c>
      <c r="BD129" s="13">
        <f>IF('Données projet'!$A$88&gt;35,BD128+BC129-BL128,IF(A129&lt;'Données projet'!$A$88,$BA$205^A129,IF(A129='Données projet'!$A$88,'Données projet'!$B$88,BD128+BC129-BL128)))</f>
        <v>420.79999999999967</v>
      </c>
      <c r="BE129" s="14">
        <f>BD129*VLOOKUP('Données projet'!$B$11,Paramètres!$A$1:$I$89,3,0)*VLOOKUP('Données projet'!$B$11,Paramètres!$A$1:$I$89,5,0)</f>
        <v>361.04639999999972</v>
      </c>
      <c r="BF129" s="14">
        <f t="shared" si="91"/>
        <v>83.832949927579534</v>
      </c>
      <c r="BG129" s="22">
        <f t="shared" si="61"/>
        <v>774.83153445720052</v>
      </c>
      <c r="BH129" s="60">
        <f t="shared" si="62"/>
        <v>1068.1648677905339</v>
      </c>
      <c r="BI129" s="60">
        <f ca="1">AVERAGE(OFFSET($BH$3,0,0,'Données projet'!$E$11+1,1))-AVERAGE(OFFSET($H$3,0,0,'Données projet'!$E$11+1,1))</f>
        <v>556.75475431848258</v>
      </c>
      <c r="BJ129" s="60">
        <f t="shared" si="92"/>
        <v>256.77417912163997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3.4106051316484809E-13</v>
      </c>
      <c r="BZ129" s="14">
        <f>BY129*VLOOKUP('Données projet'!$B$12,Paramètres!$A$1:$I$89,3,0)*VLOOKUP('Données projet'!$B$12,Paramètres!$A$1:$I$89,5,0)</f>
        <v>2.5006556825246659E-13</v>
      </c>
      <c r="CA129" s="14">
        <f t="shared" si="93"/>
        <v>3.3765445850268018E-12</v>
      </c>
      <c r="CB129" s="22">
        <f t="shared" si="64"/>
        <v>6.3163460169613921E-12</v>
      </c>
      <c r="CC129" s="60">
        <f t="shared" si="65"/>
        <v>293.33333333333962</v>
      </c>
      <c r="CD129" s="60">
        <f ca="1">AVERAGE(OFFSET($CC$3,0,0,'Données projet'!$E$12+1,1))-AVERAGE(OFFSET($H$3,0,0,'Données projet'!$E$12+1,1))</f>
        <v>290.68086183422963</v>
      </c>
      <c r="CE129" s="60">
        <f t="shared" si="94"/>
        <v>317.88330630101785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1.9895196601282805E-13</v>
      </c>
      <c r="CU129" s="18">
        <f>CT129*VLOOKUP('Données projet'!$B$13,Paramètres!$A$1:$I$89,3,0)*VLOOKUP('Données projet'!$B$13,Paramètres!$A$1:$I$89,5,0)</f>
        <v>1.3035332813160495E-13</v>
      </c>
      <c r="CV129" s="14">
        <f t="shared" si="95"/>
        <v>1.8987770485018903E-12</v>
      </c>
      <c r="CW129" s="22">
        <f t="shared" si="67"/>
        <v>3.5340687393033375E-12</v>
      </c>
      <c r="CX129" s="60">
        <f t="shared" si="68"/>
        <v>293.33333333333684</v>
      </c>
      <c r="CY129" s="60">
        <f ca="1">AVERAGE(OFFSET($CX$3,0,0,'Données projet'!$E$13+1,1))-AVERAGE(OFFSET($H$3,0,0,'Données projet'!$E$13+1,1))</f>
        <v>243.04319555814601</v>
      </c>
      <c r="CZ129" s="60">
        <f t="shared" si="96"/>
        <v>235.68746142880792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201.4732637505823</v>
      </c>
      <c r="DU129" s="60">
        <f t="shared" si="98"/>
        <v>342.06887933351783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0.98681004957055496</v>
      </c>
      <c r="EB129" s="23">
        <f>EXP(-LN(2)/25)*EB128+(1-EXP(-LN(2)/25))/(LN(2)/25)*Calculateur!DW129*Calculateur!DY129*VLOOKUP('Données projet'!$B$14,Paramètres!$A$1:$I$89,3,0)*0.475*44/12</f>
        <v>1.8464531587058475</v>
      </c>
      <c r="EC129" s="23">
        <f>EXP(-LN(2)/2)*EC128+(1-EXP(-LN(2)/2))/(LN(2)/2)*DW129*DZ129*VLOOKUP('Données projet'!$B$14,Paramètres!$A$1:$I$89,3,0)*0.475*44/12</f>
        <v>4.7596263090781524E-14</v>
      </c>
      <c r="ED129" s="24">
        <f t="shared" si="72"/>
        <v>2.83326320827645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-2.0395418687257919E-13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260.01925143568263</v>
      </c>
      <c r="EP129" s="60">
        <f t="shared" si="100"/>
        <v>269.95358755269427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2.1230283302245088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2.1230283302245088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-9.2222762759774927E-14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256.19915261735281</v>
      </c>
      <c r="FK129" s="60">
        <f t="shared" si="102"/>
        <v>297.47246687305056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2.8421709430404007E-14</v>
      </c>
      <c r="GA129" s="18">
        <f>FZ129*VLOOKUP('Données projet'!$B$17,Paramètres!$A$1:$I$89,3,0)*VLOOKUP('Données projet'!$B$17,Paramètres!$A$1:$I$89,5,0)</f>
        <v>1.6257217794191094E-14</v>
      </c>
      <c r="GB129" s="14">
        <f t="shared" si="103"/>
        <v>3.0173973759155586E-13</v>
      </c>
      <c r="GC129" s="22">
        <f t="shared" si="79"/>
        <v>5.538446972968425E-13</v>
      </c>
      <c r="GD129" s="60">
        <f t="shared" si="80"/>
        <v>293.33333333333388</v>
      </c>
      <c r="GE129" s="60">
        <f ca="1">AVERAGE(OFFSET($GD$3,0,0,'Données projet'!$E$17+1,1))-AVERAGE(OFFSET($H$3,0,0,'Données projet'!$E$17+1,1))</f>
        <v>268.71641789629319</v>
      </c>
      <c r="GF129" s="60">
        <f t="shared" si="104"/>
        <v>199.94048514486104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0.14662970896459171</v>
      </c>
      <c r="GN129" s="23">
        <f>EXP(-LN(2)/2)*GN128+(1-EXP(-LN(2)/2))/(LN(2)/2)*GH129*GK129*VLOOKUP('Données projet'!$B$17,Paramètres!$A$1:$I$89,3,0)*0.475*44/12</f>
        <v>2.4782719059111754E-14</v>
      </c>
      <c r="GO129" s="23">
        <f t="shared" si="81"/>
        <v>0.1466297089646165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-2.8421709430404007E-13</v>
      </c>
      <c r="GV129" s="18">
        <f>GU129*VLOOKUP('Données projet'!$B$18,Paramètres!$A$1:$I$89,3,0)*VLOOKUP('Données projet'!$B$18,Paramètres!$A$1:$I$89,5,0)</f>
        <v>-1.69961822393816E-13</v>
      </c>
      <c r="GW129" s="14" t="e">
        <f t="shared" si="105"/>
        <v>#NUM!</v>
      </c>
      <c r="GX129" s="22" t="e">
        <f t="shared" si="82"/>
        <v>#NUM!</v>
      </c>
      <c r="GY129" s="60" t="e">
        <f t="shared" si="83"/>
        <v>#NUM!</v>
      </c>
      <c r="GZ129" s="60">
        <f ca="1">AVERAGE(OFFSET($GY$3,0,0,'Données projet'!$E$18+1,1))-AVERAGE(OFFSET($H$3,0,0,'Données projet'!$E$18+1,1))</f>
        <v>289.12367833861299</v>
      </c>
      <c r="HA129" s="60">
        <f t="shared" si="106"/>
        <v>229.06617320689003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1.4732517705430757E-14</v>
      </c>
      <c r="HJ129" s="24">
        <f t="shared" si="84"/>
        <v>1.4732517705430757E-14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247.91519999999954</v>
      </c>
      <c r="P130" s="14">
        <f t="shared" si="87"/>
        <v>60.139294964297356</v>
      </c>
      <c r="Q130" s="22">
        <f t="shared" si="107"/>
        <v>536.52824539615051</v>
      </c>
      <c r="R130" s="60">
        <f t="shared" si="55"/>
        <v>829.86157872948388</v>
      </c>
      <c r="S130" s="60">
        <f ca="1">AVERAGE(OFFSET($R$3,0,0,'Données projet'!$E$9+1,1))-AVERAGE(OFFSET($H$3,0,0,'Données projet'!$E$9+1,1))</f>
        <v>430.11660085503223</v>
      </c>
      <c r="T130" s="60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1.2710188457276673E-13</v>
      </c>
      <c r="AK130" s="14">
        <f t="shared" si="89"/>
        <v>1.856866851063998E-12</v>
      </c>
      <c r="AL130" s="22">
        <f t="shared" si="58"/>
        <v>3.4554122145673649E-12</v>
      </c>
      <c r="AM130" s="60">
        <f t="shared" si="59"/>
        <v>293.33333333333678</v>
      </c>
      <c r="AN130" s="60">
        <f ca="1">AVERAGE(OFFSET($AM$3,0,0,'Données projet'!$E$10+1,1))-AVERAGE(OFFSET($H$3,0,0,'Données projet'!$E$10+1,1))</f>
        <v>323.98185264074681</v>
      </c>
      <c r="AO130" s="60">
        <f t="shared" si="90"/>
        <v>301.22207291854005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0.65354828541301735</v>
      </c>
      <c r="AV130" s="23">
        <f>EXP(-LN(2)/25)*AV129+(1-EXP(-LN(2)/25))/(LN(2)/25)*Calculateur!AQ130*Calculateur!AS130*VLOOKUP('Données projet'!$B$10,Paramètres!$A$1:$I$89,3,0)*0.475*44/12</f>
        <v>0.56016425260388669</v>
      </c>
      <c r="AW130" s="23">
        <f>EXP(-LN(2)/2)*AW129+(1-EXP(-LN(2)/2))/(LN(2)/2)*AQ130*AT130*VLOOKUP('Données projet'!$B$10,Paramètres!$A$1:$I$89,3,0)*0.475*44/12</f>
        <v>1.5293472228222714E-14</v>
      </c>
      <c r="AX130" s="23">
        <f t="shared" si="60"/>
        <v>1.2137125380169194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4.8</v>
      </c>
      <c r="BD130" s="13">
        <f>IF('Données projet'!$A$88&gt;35,BD129+BC130-BL129,IF(A130&lt;'Données projet'!$A$88,$BA$205^A130,IF(A130='Données projet'!$A$88,'Données projet'!$B$88,BD129+BC130-BL129)))</f>
        <v>425.59999999999968</v>
      </c>
      <c r="BE130" s="14">
        <f>BD130*VLOOKUP('Données projet'!$B$11,Paramètres!$A$1:$I$89,3,0)*VLOOKUP('Données projet'!$B$11,Paramètres!$A$1:$I$89,5,0)</f>
        <v>365.16479999999979</v>
      </c>
      <c r="BF130" s="14">
        <f t="shared" si="91"/>
        <v>84.677350977800231</v>
      </c>
      <c r="BG130" s="22">
        <f t="shared" si="61"/>
        <v>783.47507961966824</v>
      </c>
      <c r="BH130" s="60">
        <f t="shared" si="62"/>
        <v>1076.8084129530016</v>
      </c>
      <c r="BI130" s="60">
        <f ca="1">AVERAGE(OFFSET($BH$3,0,0,'Données projet'!$E$11+1,1))-AVERAGE(OFFSET($H$3,0,0,'Données projet'!$E$11+1,1))</f>
        <v>556.75475431848258</v>
      </c>
      <c r="BJ130" s="60">
        <f t="shared" si="92"/>
        <v>256.77417912163997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3.4106051316484809E-13</v>
      </c>
      <c r="BZ130" s="14">
        <f>BY130*VLOOKUP('Données projet'!$B$12,Paramètres!$A$1:$I$89,3,0)*VLOOKUP('Données projet'!$B$12,Paramètres!$A$1:$I$89,5,0)</f>
        <v>2.5006556825246659E-13</v>
      </c>
      <c r="CA130" s="14">
        <f t="shared" si="93"/>
        <v>3.3765445850268018E-12</v>
      </c>
      <c r="CB130" s="22">
        <f t="shared" si="64"/>
        <v>6.3163460169613921E-12</v>
      </c>
      <c r="CC130" s="60">
        <f t="shared" si="65"/>
        <v>293.33333333333962</v>
      </c>
      <c r="CD130" s="60">
        <f ca="1">AVERAGE(OFFSET($CC$3,0,0,'Données projet'!$E$12+1,1))-AVERAGE(OFFSET($H$3,0,0,'Données projet'!$E$12+1,1))</f>
        <v>290.68086183422963</v>
      </c>
      <c r="CE130" s="60">
        <f t="shared" si="94"/>
        <v>317.88330630101785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1.9895196601282805E-13</v>
      </c>
      <c r="CU130" s="18">
        <f>CT130*VLOOKUP('Données projet'!$B$13,Paramètres!$A$1:$I$89,3,0)*VLOOKUP('Données projet'!$B$13,Paramètres!$A$1:$I$89,5,0)</f>
        <v>1.3035332813160495E-13</v>
      </c>
      <c r="CV130" s="14">
        <f t="shared" si="95"/>
        <v>1.8987770485018903E-12</v>
      </c>
      <c r="CW130" s="22">
        <f t="shared" si="67"/>
        <v>3.5340687393033375E-12</v>
      </c>
      <c r="CX130" s="60">
        <f t="shared" si="68"/>
        <v>293.33333333333684</v>
      </c>
      <c r="CY130" s="60">
        <f ca="1">AVERAGE(OFFSET($CX$3,0,0,'Données projet'!$E$13+1,1))-AVERAGE(OFFSET($H$3,0,0,'Données projet'!$E$13+1,1))</f>
        <v>243.04319555814601</v>
      </c>
      <c r="CZ130" s="60">
        <f t="shared" si="96"/>
        <v>235.68746142880792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201.4732637505823</v>
      </c>
      <c r="DU130" s="60">
        <f t="shared" si="98"/>
        <v>342.06887933351783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0.96745930639317446</v>
      </c>
      <c r="EB130" s="23">
        <f>EXP(-LN(2)/25)*EB129+(1-EXP(-LN(2)/25))/(LN(2)/25)*Calculateur!DW130*Calculateur!DY130*VLOOKUP('Données projet'!$B$14,Paramètres!$A$1:$I$89,3,0)*0.475*44/12</f>
        <v>1.7959617999802846</v>
      </c>
      <c r="EC130" s="23">
        <f>EXP(-LN(2)/2)*EC129+(1-EXP(-LN(2)/2))/(LN(2)/2)*DW130*DZ130*VLOOKUP('Données projet'!$B$14,Paramètres!$A$1:$I$89,3,0)*0.475*44/12</f>
        <v>3.3655640390630599E-14</v>
      </c>
      <c r="ED130" s="24">
        <f t="shared" si="72"/>
        <v>2.7634211063734928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-2.0395418687257919E-13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260.01925143568263</v>
      </c>
      <c r="EP130" s="60">
        <f t="shared" si="100"/>
        <v>269.95358755269427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2.0813970395882251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2.0813970395882251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-9.2222762759774927E-14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256.19915261735281</v>
      </c>
      <c r="FK130" s="60">
        <f t="shared" si="102"/>
        <v>297.47246687305056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2.8421709430404007E-14</v>
      </c>
      <c r="GA130" s="18">
        <f>FZ130*VLOOKUP('Données projet'!$B$17,Paramètres!$A$1:$I$89,3,0)*VLOOKUP('Données projet'!$B$17,Paramètres!$A$1:$I$89,5,0)</f>
        <v>1.6257217794191094E-14</v>
      </c>
      <c r="GB130" s="14">
        <f t="shared" si="103"/>
        <v>3.0173973759155586E-13</v>
      </c>
      <c r="GC130" s="22">
        <f t="shared" si="79"/>
        <v>5.538446972968425E-13</v>
      </c>
      <c r="GD130" s="60">
        <f t="shared" si="80"/>
        <v>293.33333333333388</v>
      </c>
      <c r="GE130" s="60">
        <f ca="1">AVERAGE(OFFSET($GD$3,0,0,'Données projet'!$E$17+1,1))-AVERAGE(OFFSET($H$3,0,0,'Données projet'!$E$17+1,1))</f>
        <v>268.71641789629319</v>
      </c>
      <c r="GF130" s="60">
        <f t="shared" si="104"/>
        <v>199.94048514486104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0.14262011186203369</v>
      </c>
      <c r="GN130" s="23">
        <f>EXP(-LN(2)/2)*GN129+(1-EXP(-LN(2)/2))/(LN(2)/2)*GH130*GK130*VLOOKUP('Données projet'!$B$17,Paramètres!$A$1:$I$89,3,0)*0.475*44/12</f>
        <v>1.7524028702939016E-14</v>
      </c>
      <c r="GO130" s="23">
        <f t="shared" si="81"/>
        <v>0.1426201118620512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-2.8421709430404007E-13</v>
      </c>
      <c r="GV130" s="18">
        <f>GU130*VLOOKUP('Données projet'!$B$18,Paramètres!$A$1:$I$89,3,0)*VLOOKUP('Données projet'!$B$18,Paramètres!$A$1:$I$89,5,0)</f>
        <v>-1.69961822393816E-13</v>
      </c>
      <c r="GW130" s="14" t="e">
        <f t="shared" si="105"/>
        <v>#NUM!</v>
      </c>
      <c r="GX130" s="22" t="e">
        <f t="shared" si="82"/>
        <v>#NUM!</v>
      </c>
      <c r="GY130" s="60" t="e">
        <f t="shared" si="83"/>
        <v>#NUM!</v>
      </c>
      <c r="GZ130" s="60">
        <f ca="1">AVERAGE(OFFSET($GY$3,0,0,'Données projet'!$E$18+1,1))-AVERAGE(OFFSET($H$3,0,0,'Données projet'!$E$18+1,1))</f>
        <v>289.12367833861299</v>
      </c>
      <c r="HA130" s="60">
        <f t="shared" si="106"/>
        <v>229.06617320689003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1.0417463173460964E-14</v>
      </c>
      <c r="HJ130" s="24">
        <f t="shared" si="84"/>
        <v>1.0417463173460964E-14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250.62959999999953</v>
      </c>
      <c r="P131" s="14">
        <f t="shared" si="87"/>
        <v>60.720740474356262</v>
      </c>
      <c r="Q131" s="22">
        <f t="shared" ref="Q131:Q153" si="108">(O131+P131)*0.475*44/12</f>
        <v>542.26850965950291</v>
      </c>
      <c r="R131" s="60">
        <f t="shared" ref="R131:R194" si="109">Q131+(I131+J131)*44/12</f>
        <v>835.60184299283628</v>
      </c>
      <c r="S131" s="60">
        <f ca="1">AVERAGE(OFFSET($R$3,0,0,'Données projet'!$E$9+1,1))-AVERAGE(OFFSET($H$3,0,0,'Données projet'!$E$9+1,1))</f>
        <v>430.11660085503223</v>
      </c>
      <c r="T131" s="60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1.2710188457276673E-13</v>
      </c>
      <c r="AK131" s="14">
        <f t="shared" si="89"/>
        <v>1.856866851063998E-12</v>
      </c>
      <c r="AL131" s="22">
        <f t="shared" si="58"/>
        <v>3.4554122145673649E-12</v>
      </c>
      <c r="AM131" s="60">
        <f t="shared" si="59"/>
        <v>293.33333333333678</v>
      </c>
      <c r="AN131" s="60">
        <f ca="1">AVERAGE(OFFSET($AM$3,0,0,'Données projet'!$E$10+1,1))-AVERAGE(OFFSET($H$3,0,0,'Données projet'!$E$10+1,1))</f>
        <v>323.98185264074681</v>
      </c>
      <c r="AO131" s="60">
        <f t="shared" si="90"/>
        <v>301.22207291854005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0.64073260216116124</v>
      </c>
      <c r="AV131" s="23">
        <f>EXP(-LN(2)/25)*AV130+(1-EXP(-LN(2)/25))/(LN(2)/25)*Calculateur!AQ131*Calculateur!AS131*VLOOKUP('Données projet'!$B$10,Paramètres!$A$1:$I$89,3,0)*0.475*44/12</f>
        <v>0.54484653165867569</v>
      </c>
      <c r="AW131" s="23">
        <f>EXP(-LN(2)/2)*AW130+(1-EXP(-LN(2)/2))/(LN(2)/2)*AQ131*AT131*VLOOKUP('Données projet'!$B$10,Paramètres!$A$1:$I$89,3,0)*0.475*44/12</f>
        <v>1.081411792046442E-14</v>
      </c>
      <c r="AX131" s="23">
        <f t="shared" si="60"/>
        <v>1.1855791338198478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4.8</v>
      </c>
      <c r="BD131" s="13">
        <f>IF('Données projet'!$A$88&gt;35,BD130+BC131-BL130,IF(A131&lt;'Données projet'!$A$88,$BA$205^A131,IF(A131='Données projet'!$A$88,'Données projet'!$B$88,BD130+BC131-BL130)))</f>
        <v>430.39999999999969</v>
      </c>
      <c r="BE131" s="14">
        <f>BD131*VLOOKUP('Données projet'!$B$11,Paramètres!$A$1:$I$89,3,0)*VLOOKUP('Données projet'!$B$11,Paramètres!$A$1:$I$89,5,0)</f>
        <v>369.28319999999979</v>
      </c>
      <c r="BF131" s="14">
        <f t="shared" si="91"/>
        <v>85.520644216023655</v>
      </c>
      <c r="BG131" s="22">
        <f t="shared" si="61"/>
        <v>792.11669534290741</v>
      </c>
      <c r="BH131" s="60">
        <f t="shared" si="62"/>
        <v>1085.4500286762407</v>
      </c>
      <c r="BI131" s="60">
        <f ca="1">AVERAGE(OFFSET($BH$3,0,0,'Données projet'!$E$11+1,1))-AVERAGE(OFFSET($H$3,0,0,'Données projet'!$E$11+1,1))</f>
        <v>556.75475431848258</v>
      </c>
      <c r="BJ131" s="60">
        <f t="shared" si="92"/>
        <v>256.77417912163997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3.4106051316484809E-13</v>
      </c>
      <c r="BZ131" s="14">
        <f>BY131*VLOOKUP('Données projet'!$B$12,Paramètres!$A$1:$I$89,3,0)*VLOOKUP('Données projet'!$B$12,Paramètres!$A$1:$I$89,5,0)</f>
        <v>2.5006556825246659E-13</v>
      </c>
      <c r="CA131" s="14">
        <f t="shared" si="93"/>
        <v>3.3765445850268018E-12</v>
      </c>
      <c r="CB131" s="22">
        <f t="shared" si="64"/>
        <v>6.3163460169613921E-12</v>
      </c>
      <c r="CC131" s="60">
        <f t="shared" si="65"/>
        <v>293.33333333333962</v>
      </c>
      <c r="CD131" s="60">
        <f ca="1">AVERAGE(OFFSET($CC$3,0,0,'Données projet'!$E$12+1,1))-AVERAGE(OFFSET($H$3,0,0,'Données projet'!$E$12+1,1))</f>
        <v>290.68086183422963</v>
      </c>
      <c r="CE131" s="60">
        <f t="shared" si="94"/>
        <v>317.88330630101785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1.9895196601282805E-13</v>
      </c>
      <c r="CU131" s="18">
        <f>CT131*VLOOKUP('Données projet'!$B$13,Paramètres!$A$1:$I$89,3,0)*VLOOKUP('Données projet'!$B$13,Paramètres!$A$1:$I$89,5,0)</f>
        <v>1.3035332813160495E-13</v>
      </c>
      <c r="CV131" s="14">
        <f t="shared" si="95"/>
        <v>1.8987770485018903E-12</v>
      </c>
      <c r="CW131" s="22">
        <f t="shared" si="67"/>
        <v>3.5340687393033375E-12</v>
      </c>
      <c r="CX131" s="60">
        <f t="shared" si="68"/>
        <v>293.33333333333684</v>
      </c>
      <c r="CY131" s="60">
        <f ca="1">AVERAGE(OFFSET($CX$3,0,0,'Données projet'!$E$13+1,1))-AVERAGE(OFFSET($H$3,0,0,'Données projet'!$E$13+1,1))</f>
        <v>243.04319555814601</v>
      </c>
      <c r="CZ131" s="60">
        <f t="shared" si="96"/>
        <v>235.68746142880792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201.4732637505823</v>
      </c>
      <c r="DU131" s="60">
        <f t="shared" si="98"/>
        <v>342.06887933351783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0.94848801948671446</v>
      </c>
      <c r="EB131" s="23">
        <f>EXP(-LN(2)/25)*EB130+(1-EXP(-LN(2)/25))/(LN(2)/25)*Calculateur!DW131*Calculateur!DY131*VLOOKUP('Données projet'!$B$14,Paramètres!$A$1:$I$89,3,0)*0.475*44/12</f>
        <v>1.7468511301142975</v>
      </c>
      <c r="EC131" s="23">
        <f>EXP(-LN(2)/2)*EC130+(1-EXP(-LN(2)/2))/(LN(2)/2)*DW131*DZ131*VLOOKUP('Données projet'!$B$14,Paramètres!$A$1:$I$89,3,0)*0.475*44/12</f>
        <v>2.3798131545390762E-14</v>
      </c>
      <c r="ED131" s="24">
        <f t="shared" si="72"/>
        <v>2.6953391496010362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-2.0395418687257919E-13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260.01925143568263</v>
      </c>
      <c r="EP131" s="60">
        <f t="shared" si="100"/>
        <v>269.95358755269427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2.0405821131687389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2.0405821131687389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-9.2222762759774927E-14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256.19915261735281</v>
      </c>
      <c r="FK131" s="60">
        <f t="shared" si="102"/>
        <v>297.47246687305056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2.8421709430404007E-14</v>
      </c>
      <c r="GA131" s="18">
        <f>FZ131*VLOOKUP('Données projet'!$B$17,Paramètres!$A$1:$I$89,3,0)*VLOOKUP('Données projet'!$B$17,Paramètres!$A$1:$I$89,5,0)</f>
        <v>1.6257217794191094E-14</v>
      </c>
      <c r="GB131" s="14">
        <f t="shared" si="103"/>
        <v>3.0173973759155586E-13</v>
      </c>
      <c r="GC131" s="22">
        <f t="shared" si="79"/>
        <v>5.538446972968425E-13</v>
      </c>
      <c r="GD131" s="60">
        <f t="shared" si="80"/>
        <v>293.33333333333388</v>
      </c>
      <c r="GE131" s="60">
        <f ca="1">AVERAGE(OFFSET($GD$3,0,0,'Données projet'!$E$17+1,1))-AVERAGE(OFFSET($H$3,0,0,'Données projet'!$E$17+1,1))</f>
        <v>268.71641789629319</v>
      </c>
      <c r="GF131" s="60">
        <f t="shared" si="104"/>
        <v>199.94048514486104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0.13872015740310065</v>
      </c>
      <c r="GN131" s="23">
        <f>EXP(-LN(2)/2)*GN130+(1-EXP(-LN(2)/2))/(LN(2)/2)*GH131*GK131*VLOOKUP('Données projet'!$B$17,Paramètres!$A$1:$I$89,3,0)*0.475*44/12</f>
        <v>1.2391359529555877E-14</v>
      </c>
      <c r="GO131" s="23">
        <f t="shared" si="81"/>
        <v>0.13872015740311303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-2.8421709430404007E-13</v>
      </c>
      <c r="GV131" s="18">
        <f>GU131*VLOOKUP('Données projet'!$B$18,Paramètres!$A$1:$I$89,3,0)*VLOOKUP('Données projet'!$B$18,Paramètres!$A$1:$I$89,5,0)</f>
        <v>-1.69961822393816E-13</v>
      </c>
      <c r="GW131" s="14" t="e">
        <f t="shared" si="105"/>
        <v>#NUM!</v>
      </c>
      <c r="GX131" s="22" t="e">
        <f t="shared" si="82"/>
        <v>#NUM!</v>
      </c>
      <c r="GY131" s="60" t="e">
        <f t="shared" si="83"/>
        <v>#NUM!</v>
      </c>
      <c r="GZ131" s="60">
        <f ca="1">AVERAGE(OFFSET($GY$3,0,0,'Données projet'!$E$18+1,1))-AVERAGE(OFFSET($H$3,0,0,'Données projet'!$E$18+1,1))</f>
        <v>289.12367833861299</v>
      </c>
      <c r="HA131" s="60">
        <f t="shared" si="106"/>
        <v>229.06617320689003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7.3662588527153785E-15</v>
      </c>
      <c r="HJ131" s="24">
        <f t="shared" si="84"/>
        <v>7.3662588527153785E-15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253.34399999999954</v>
      </c>
      <c r="P132" s="14">
        <f t="shared" si="87"/>
        <v>61.301453431926198</v>
      </c>
      <c r="Q132" s="22">
        <f t="shared" si="108"/>
        <v>548.00749806060389</v>
      </c>
      <c r="R132" s="60">
        <f t="shared" si="109"/>
        <v>841.34083139393715</v>
      </c>
      <c r="S132" s="60">
        <f ca="1">AVERAGE(OFFSET($R$3,0,0,'Données projet'!$E$9+1,1))-AVERAGE(OFFSET($H$3,0,0,'Données projet'!$E$9+1,1))</f>
        <v>430.11660085503223</v>
      </c>
      <c r="T132" s="60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1.2710188457276673E-13</v>
      </c>
      <c r="AK132" s="14">
        <f t="shared" si="89"/>
        <v>1.856866851063998E-12</v>
      </c>
      <c r="AL132" s="22">
        <f t="shared" ref="AL132:AL153" si="112">(AJ132+AK132)*0.475*44/12</f>
        <v>3.4554122145673649E-12</v>
      </c>
      <c r="AM132" s="60">
        <f t="shared" ref="AM132:AM195" si="113">AL132+(AD132+AE132)*44/12</f>
        <v>293.33333333333678</v>
      </c>
      <c r="AN132" s="60">
        <f ca="1">AVERAGE(OFFSET($AM$3,0,0,'Données projet'!$E$10+1,1))-AVERAGE(OFFSET($H$3,0,0,'Données projet'!$E$10+1,1))</f>
        <v>323.98185264074681</v>
      </c>
      <c r="AO132" s="60">
        <f t="shared" si="90"/>
        <v>301.22207291854005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0.62816822664107907</v>
      </c>
      <c r="AV132" s="23">
        <f>EXP(-LN(2)/25)*AV131+(1-EXP(-LN(2)/25))/(LN(2)/25)*Calculateur!AQ132*Calculateur!AS132*VLOOKUP('Données projet'!$B$10,Paramètres!$A$1:$I$89,3,0)*0.475*44/12</f>
        <v>0.52994767459823533</v>
      </c>
      <c r="AW132" s="23">
        <f>EXP(-LN(2)/2)*AW131+(1-EXP(-LN(2)/2))/(LN(2)/2)*AQ132*AT132*VLOOKUP('Données projet'!$B$10,Paramètres!$A$1:$I$89,3,0)*0.475*44/12</f>
        <v>7.6467361141113569E-15</v>
      </c>
      <c r="AX132" s="23">
        <f t="shared" ref="AX132:AX153" si="114">SUM(AU132:AW132)</f>
        <v>1.1581159012393218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4.8</v>
      </c>
      <c r="BD132" s="13">
        <f>IF('Données projet'!$A$88&gt;35,BD131+BC132-BL131,IF(A132&lt;'Données projet'!$A$88,$BA$205^A132,IF(A132='Données projet'!$A$88,'Données projet'!$B$88,BD131+BC132-BL131)))</f>
        <v>435.1999999999997</v>
      </c>
      <c r="BE132" s="14">
        <f>BD132*VLOOKUP('Données projet'!$B$11,Paramètres!$A$1:$I$89,3,0)*VLOOKUP('Données projet'!$B$11,Paramètres!$A$1:$I$89,5,0)</f>
        <v>373.40159999999975</v>
      </c>
      <c r="BF132" s="14">
        <f t="shared" si="91"/>
        <v>86.362843426752477</v>
      </c>
      <c r="BG132" s="22">
        <f t="shared" ref="BG132:BG153" si="115">(BE132+BF132)*0.475*44/12</f>
        <v>800.75640563492686</v>
      </c>
      <c r="BH132" s="60">
        <f t="shared" ref="BH132:BH195" si="116">BG132+(AY132+AZ132)*44/12</f>
        <v>1094.0897389682602</v>
      </c>
      <c r="BI132" s="60">
        <f ca="1">AVERAGE(OFFSET($BH$3,0,0,'Données projet'!$E$11+1,1))-AVERAGE(OFFSET($H$3,0,0,'Données projet'!$E$11+1,1))</f>
        <v>556.75475431848258</v>
      </c>
      <c r="BJ132" s="60">
        <f t="shared" si="92"/>
        <v>256.77417912163997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3.4106051316484809E-13</v>
      </c>
      <c r="BZ132" s="14">
        <f>BY132*VLOOKUP('Données projet'!$B$12,Paramètres!$A$1:$I$89,3,0)*VLOOKUP('Données projet'!$B$12,Paramètres!$A$1:$I$89,5,0)</f>
        <v>2.5006556825246659E-13</v>
      </c>
      <c r="CA132" s="14">
        <f t="shared" si="93"/>
        <v>3.3765445850268018E-12</v>
      </c>
      <c r="CB132" s="22">
        <f t="shared" ref="CB132:CB153" si="118">(BZ132+CA132)*0.475*44/12</f>
        <v>6.3163460169613921E-12</v>
      </c>
      <c r="CC132" s="60">
        <f t="shared" ref="CC132:CC195" si="119">CB132+(BT132+BU132)*44/12</f>
        <v>293.33333333333962</v>
      </c>
      <c r="CD132" s="60">
        <f ca="1">AVERAGE(OFFSET($CC$3,0,0,'Données projet'!$E$12+1,1))-AVERAGE(OFFSET($H$3,0,0,'Données projet'!$E$12+1,1))</f>
        <v>290.68086183422963</v>
      </c>
      <c r="CE132" s="60">
        <f t="shared" si="94"/>
        <v>317.88330630101785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1.9895196601282805E-13</v>
      </c>
      <c r="CU132" s="18">
        <f>CT132*VLOOKUP('Données projet'!$B$13,Paramètres!$A$1:$I$89,3,0)*VLOOKUP('Données projet'!$B$13,Paramètres!$A$1:$I$89,5,0)</f>
        <v>1.3035332813160495E-13</v>
      </c>
      <c r="CV132" s="14">
        <f t="shared" si="95"/>
        <v>1.8987770485018903E-12</v>
      </c>
      <c r="CW132" s="22">
        <f t="shared" ref="CW132:CW153" si="121">(CU132+CV132)*0.475*44/12</f>
        <v>3.5340687393033375E-12</v>
      </c>
      <c r="CX132" s="60">
        <f t="shared" ref="CX132:CX195" si="122">CW132+(CO132+CP132)*44/12</f>
        <v>293.33333333333684</v>
      </c>
      <c r="CY132" s="60">
        <f ca="1">AVERAGE(OFFSET($CX$3,0,0,'Données projet'!$E$13+1,1))-AVERAGE(OFFSET($H$3,0,0,'Données projet'!$E$13+1,1))</f>
        <v>243.04319555814601</v>
      </c>
      <c r="CZ132" s="60">
        <f t="shared" si="96"/>
        <v>235.68746142880792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201.4732637505823</v>
      </c>
      <c r="DU132" s="60">
        <f t="shared" si="98"/>
        <v>342.06887933351783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0.92988874794514775</v>
      </c>
      <c r="EB132" s="23">
        <f>EXP(-LN(2)/25)*EB131+(1-EXP(-LN(2)/25))/(LN(2)/25)*Calculateur!DW132*Calculateur!DY132*VLOOKUP('Données projet'!$B$14,Paramètres!$A$1:$I$89,3,0)*0.475*44/12</f>
        <v>1.6990833940984136</v>
      </c>
      <c r="EC132" s="23">
        <f>EXP(-LN(2)/2)*EC131+(1-EXP(-LN(2)/2))/(LN(2)/2)*DW132*DZ132*VLOOKUP('Données projet'!$B$14,Paramètres!$A$1:$I$89,3,0)*0.475*44/12</f>
        <v>1.68278201953153E-14</v>
      </c>
      <c r="ED132" s="24">
        <f t="shared" ref="ED132:ED153" si="126">SUM(EA132:EC132)</f>
        <v>2.6289721420435783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-2.0395418687257919E-13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260.01925143568263</v>
      </c>
      <c r="EP132" s="60">
        <f t="shared" si="100"/>
        <v>269.95358755269427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2.0005675425616918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2.0005675425616918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-9.2222762759774927E-14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256.19915261735281</v>
      </c>
      <c r="FK132" s="60">
        <f t="shared" si="102"/>
        <v>297.47246687305056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2.8421709430404007E-14</v>
      </c>
      <c r="GA132" s="18">
        <f>FZ132*VLOOKUP('Données projet'!$B$17,Paramètres!$A$1:$I$89,3,0)*VLOOKUP('Données projet'!$B$17,Paramètres!$A$1:$I$89,5,0)</f>
        <v>1.6257217794191094E-14</v>
      </c>
      <c r="GB132" s="14">
        <f t="shared" si="103"/>
        <v>3.0173973759155586E-13</v>
      </c>
      <c r="GC132" s="22">
        <f t="shared" ref="GC132:GC153" si="133">(GA132+GB132)*0.475*44/12</f>
        <v>5.538446972968425E-13</v>
      </c>
      <c r="GD132" s="60">
        <f t="shared" ref="GD132:GD195" si="134">GC132+(FU132+FV132)*44/12</f>
        <v>293.33333333333388</v>
      </c>
      <c r="GE132" s="60">
        <f ca="1">AVERAGE(OFFSET($GD$3,0,0,'Données projet'!$E$17+1,1))-AVERAGE(OFFSET($H$3,0,0,'Données projet'!$E$17+1,1))</f>
        <v>268.71641789629319</v>
      </c>
      <c r="GF132" s="60">
        <f t="shared" si="104"/>
        <v>199.94048514486104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0.13492684740393684</v>
      </c>
      <c r="GN132" s="23">
        <f>EXP(-LN(2)/2)*GN131+(1-EXP(-LN(2)/2))/(LN(2)/2)*GH132*GK132*VLOOKUP('Données projet'!$B$17,Paramètres!$A$1:$I$89,3,0)*0.475*44/12</f>
        <v>8.762014351469508E-15</v>
      </c>
      <c r="GO132" s="23">
        <f t="shared" ref="GO132:GO153" si="135">SUM(GL132:GN132)</f>
        <v>0.13492684740394562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-2.8421709430404007E-13</v>
      </c>
      <c r="GV132" s="18">
        <f>GU132*VLOOKUP('Données projet'!$B$18,Paramètres!$A$1:$I$89,3,0)*VLOOKUP('Données projet'!$B$18,Paramètres!$A$1:$I$89,5,0)</f>
        <v>-1.69961822393816E-13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0" t="e">
        <f t="shared" ref="GY132:GY195" si="137">GX132+(GP132+GQ132)*44/12</f>
        <v>#NUM!</v>
      </c>
      <c r="GZ132" s="60">
        <f ca="1">AVERAGE(OFFSET($GY$3,0,0,'Données projet'!$E$18+1,1))-AVERAGE(OFFSET($H$3,0,0,'Données projet'!$E$18+1,1))</f>
        <v>289.12367833861299</v>
      </c>
      <c r="HA132" s="60">
        <f t="shared" si="106"/>
        <v>229.06617320689003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5.2087315867304818E-15</v>
      </c>
      <c r="HJ132" s="24">
        <f t="shared" ref="HJ132:HJ153" si="138">SUM(HG132:HI132)</f>
        <v>5.2087315867304818E-15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256.05839999999955</v>
      </c>
      <c r="P133" s="14">
        <f t="shared" ref="P133:P196" si="141">EXP(-1.0587+0.8836*LN(O133)+0.284)</f>
        <v>61.881442594256377</v>
      </c>
      <c r="Q133" s="22">
        <f t="shared" si="108"/>
        <v>553.74522585166233</v>
      </c>
      <c r="R133" s="60">
        <f t="shared" si="109"/>
        <v>847.07855918499558</v>
      </c>
      <c r="S133" s="60">
        <f ca="1">AVERAGE(OFFSET($R$3,0,0,'Données projet'!$E$9+1,1))-AVERAGE(OFFSET($H$3,0,0,'Données projet'!$E$9+1,1))</f>
        <v>430.11660085503223</v>
      </c>
      <c r="T133" s="60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1.2710188457276673E-13</v>
      </c>
      <c r="AK133" s="14">
        <f t="shared" ref="AK133:AK153" si="143">EXP(-1.0587+0.8836*LN(AJ133)+0.284)</f>
        <v>1.856866851063998E-12</v>
      </c>
      <c r="AL133" s="22">
        <f t="shared" si="112"/>
        <v>3.4554122145673649E-12</v>
      </c>
      <c r="AM133" s="60">
        <f t="shared" si="113"/>
        <v>293.33333333333678</v>
      </c>
      <c r="AN133" s="60">
        <f ca="1">AVERAGE(OFFSET($AM$3,0,0,'Données projet'!$E$10+1,1))-AVERAGE(OFFSET($H$3,0,0,'Données projet'!$E$10+1,1))</f>
        <v>323.98185264074681</v>
      </c>
      <c r="AO133" s="60">
        <f t="shared" ref="AO133:AO196" si="144">$AO$3</f>
        <v>301.22207291854005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0.61585023086143331</v>
      </c>
      <c r="AV133" s="23">
        <f>EXP(-LN(2)/25)*AV132+(1-EXP(-LN(2)/25))/(LN(2)/25)*Calculateur!AQ133*Calculateur!AS133*VLOOKUP('Données projet'!$B$10,Paramètres!$A$1:$I$89,3,0)*0.475*44/12</f>
        <v>0.51545622756760956</v>
      </c>
      <c r="AW133" s="23">
        <f>EXP(-LN(2)/2)*AW132+(1-EXP(-LN(2)/2))/(LN(2)/2)*AQ133*AT133*VLOOKUP('Données projet'!$B$10,Paramètres!$A$1:$I$89,3,0)*0.475*44/12</f>
        <v>5.40705896023221E-15</v>
      </c>
      <c r="AX133" s="23">
        <f t="shared" si="114"/>
        <v>1.1313064584290482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4.8</v>
      </c>
      <c r="BD133" s="13">
        <f>IF('Données projet'!$A$88&gt;35,BD132+BC133-BL132,IF(A133&lt;'Données projet'!$A$88,$BA$205^A133,IF(A133='Données projet'!$A$88,'Données projet'!$B$88,BD132+BC133-BL132)))</f>
        <v>439.99999999999972</v>
      </c>
      <c r="BE133" s="14">
        <f>BD133*VLOOKUP('Données projet'!$B$11,Paramètres!$A$1:$I$89,3,0)*VLOOKUP('Données projet'!$B$11,Paramètres!$A$1:$I$89,5,0)</f>
        <v>377.51999999999981</v>
      </c>
      <c r="BF133" s="14">
        <f t="shared" ref="BF133:BF153" si="145">EXP(-1.0587+0.8836*LN(BE133)+0.284)</f>
        <v>87.203962072909874</v>
      </c>
      <c r="BG133" s="22">
        <f t="shared" si="115"/>
        <v>809.39423394365087</v>
      </c>
      <c r="BH133" s="60">
        <f t="shared" si="116"/>
        <v>1102.7275672769842</v>
      </c>
      <c r="BI133" s="60">
        <f ca="1">AVERAGE(OFFSET($BH$3,0,0,'Données projet'!$E$11+1,1))-AVERAGE(OFFSET($H$3,0,0,'Données projet'!$E$11+1,1))</f>
        <v>556.75475431848258</v>
      </c>
      <c r="BJ133" s="60">
        <f t="shared" ref="BJ133:BJ196" si="146">$BJ$3</f>
        <v>256.77417912163997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3.4106051316484809E-13</v>
      </c>
      <c r="BZ133" s="14">
        <f>BY133*VLOOKUP('Données projet'!$B$12,Paramètres!$A$1:$I$89,3,0)*VLOOKUP('Données projet'!$B$12,Paramètres!$A$1:$I$89,5,0)</f>
        <v>2.5006556825246659E-13</v>
      </c>
      <c r="CA133" s="14">
        <f t="shared" ref="CA133:CA153" si="147">EXP(-1.0587+0.8836*LN(BZ133)+0.284)</f>
        <v>3.3765445850268018E-12</v>
      </c>
      <c r="CB133" s="22">
        <f t="shared" si="118"/>
        <v>6.3163460169613921E-12</v>
      </c>
      <c r="CC133" s="60">
        <f t="shared" si="119"/>
        <v>293.33333333333962</v>
      </c>
      <c r="CD133" s="60">
        <f ca="1">AVERAGE(OFFSET($CC$3,0,0,'Données projet'!$E$12+1,1))-AVERAGE(OFFSET($H$3,0,0,'Données projet'!$E$12+1,1))</f>
        <v>290.68086183422963</v>
      </c>
      <c r="CE133" s="60">
        <f t="shared" ref="CE133:CE196" si="148">$CE$3</f>
        <v>317.88330630101785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1.9895196601282805E-13</v>
      </c>
      <c r="CU133" s="18">
        <f>CT133*VLOOKUP('Données projet'!$B$13,Paramètres!$A$1:$I$89,3,0)*VLOOKUP('Données projet'!$B$13,Paramètres!$A$1:$I$89,5,0)</f>
        <v>1.3035332813160495E-13</v>
      </c>
      <c r="CV133" s="14">
        <f t="shared" ref="CV133:CV153" si="149">EXP(-1.0587+0.8836*LN(CU133)+0.284)</f>
        <v>1.8987770485018903E-12</v>
      </c>
      <c r="CW133" s="22">
        <f t="shared" si="121"/>
        <v>3.5340687393033375E-12</v>
      </c>
      <c r="CX133" s="60">
        <f t="shared" si="122"/>
        <v>293.33333333333684</v>
      </c>
      <c r="CY133" s="60">
        <f ca="1">AVERAGE(OFFSET($CX$3,0,0,'Données projet'!$E$13+1,1))-AVERAGE(OFFSET($H$3,0,0,'Données projet'!$E$13+1,1))</f>
        <v>243.04319555814601</v>
      </c>
      <c r="CZ133" s="60">
        <f t="shared" ref="CZ133:CZ196" si="150">$CZ$3</f>
        <v>235.68746142880792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201.4732637505823</v>
      </c>
      <c r="DU133" s="60">
        <f t="shared" ref="DU133:DU196" si="152">$DU$3</f>
        <v>342.06887933351783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0.91165419677407566</v>
      </c>
      <c r="EB133" s="23">
        <f>EXP(-LN(2)/25)*EB132+(1-EXP(-LN(2)/25))/(LN(2)/25)*Calculateur!DW133*Calculateur!DY133*VLOOKUP('Données projet'!$B$14,Paramètres!$A$1:$I$89,3,0)*0.475*44/12</f>
        <v>1.6526218693358801</v>
      </c>
      <c r="EC133" s="23">
        <f>EXP(-LN(2)/2)*EC132+(1-EXP(-LN(2)/2))/(LN(2)/2)*DW133*DZ133*VLOOKUP('Données projet'!$B$14,Paramètres!$A$1:$I$89,3,0)*0.475*44/12</f>
        <v>1.1899065772695381E-14</v>
      </c>
      <c r="ED133" s="24">
        <f t="shared" si="126"/>
        <v>2.5642760661099677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-2.0395418687257919E-13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260.01925143568263</v>
      </c>
      <c r="EP133" s="60">
        <f t="shared" ref="EP133:EP196" si="154">$EP$3</f>
        <v>269.95358755269427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1.9613376332777708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1.9613376332777708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-9.2222762759774927E-14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256.19915261735281</v>
      </c>
      <c r="FK133" s="60">
        <f t="shared" ref="FK133:FK196" si="156">$FK$3</f>
        <v>297.47246687305056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2.8421709430404007E-14</v>
      </c>
      <c r="GA133" s="18">
        <f>FZ133*VLOOKUP('Données projet'!$B$17,Paramètres!$A$1:$I$89,3,0)*VLOOKUP('Données projet'!$B$17,Paramètres!$A$1:$I$89,5,0)</f>
        <v>1.6257217794191094E-14</v>
      </c>
      <c r="GB133" s="14">
        <f t="shared" ref="GB133:GB153" si="157">EXP(-1.0587+0.8836*LN(GA133)+0.284)</f>
        <v>3.0173973759155586E-13</v>
      </c>
      <c r="GC133" s="22">
        <f t="shared" si="133"/>
        <v>5.538446972968425E-13</v>
      </c>
      <c r="GD133" s="60">
        <f t="shared" si="134"/>
        <v>293.33333333333388</v>
      </c>
      <c r="GE133" s="60">
        <f ca="1">AVERAGE(OFFSET($GD$3,0,0,'Données projet'!$E$17+1,1))-AVERAGE(OFFSET($H$3,0,0,'Données projet'!$E$17+1,1))</f>
        <v>268.71641789629319</v>
      </c>
      <c r="GF133" s="60">
        <f t="shared" ref="GF133:GF196" si="158">$GF$3</f>
        <v>199.94048514486104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0.13123726566618166</v>
      </c>
      <c r="GN133" s="23">
        <f>EXP(-LN(2)/2)*GN132+(1-EXP(-LN(2)/2))/(LN(2)/2)*GH133*GK133*VLOOKUP('Données projet'!$B$17,Paramètres!$A$1:$I$89,3,0)*0.475*44/12</f>
        <v>6.1956797647779386E-15</v>
      </c>
      <c r="GO133" s="23">
        <f t="shared" si="135"/>
        <v>0.13123726566618785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-2.8421709430404007E-13</v>
      </c>
      <c r="GV133" s="18">
        <f>GU133*VLOOKUP('Données projet'!$B$18,Paramètres!$A$1:$I$89,3,0)*VLOOKUP('Données projet'!$B$18,Paramètres!$A$1:$I$89,5,0)</f>
        <v>-1.69961822393816E-13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0" t="e">
        <f t="shared" si="137"/>
        <v>#NUM!</v>
      </c>
      <c r="GZ133" s="60">
        <f ca="1">AVERAGE(OFFSET($GY$3,0,0,'Données projet'!$E$18+1,1))-AVERAGE(OFFSET($H$3,0,0,'Données projet'!$E$18+1,1))</f>
        <v>289.12367833861299</v>
      </c>
      <c r="HA133" s="60">
        <f t="shared" ref="HA133:HA196" si="160">$HA$3</f>
        <v>229.06617320689003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3.6831294263576892E-15</v>
      </c>
      <c r="HJ133" s="24">
        <f t="shared" si="138"/>
        <v>3.6831294263576892E-15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258.77279999999951</v>
      </c>
      <c r="P134" s="14">
        <f t="shared" si="141"/>
        <v>62.460716522234527</v>
      </c>
      <c r="Q134" s="22">
        <f t="shared" si="108"/>
        <v>559.48170794289092</v>
      </c>
      <c r="R134" s="60">
        <f t="shared" si="109"/>
        <v>852.81504127622429</v>
      </c>
      <c r="S134" s="60">
        <f ca="1">AVERAGE(OFFSET($R$3,0,0,'Données projet'!$E$9+1,1))-AVERAGE(OFFSET($H$3,0,0,'Données projet'!$E$9+1,1))</f>
        <v>430.11660085503223</v>
      </c>
      <c r="T134" s="60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1.2710188457276673E-13</v>
      </c>
      <c r="AK134" s="14">
        <f t="shared" si="143"/>
        <v>1.856866851063998E-12</v>
      </c>
      <c r="AL134" s="22">
        <f t="shared" si="112"/>
        <v>3.4554122145673649E-12</v>
      </c>
      <c r="AM134" s="60">
        <f t="shared" si="113"/>
        <v>293.33333333333678</v>
      </c>
      <c r="AN134" s="60">
        <f ca="1">AVERAGE(OFFSET($AM$3,0,0,'Données projet'!$E$10+1,1))-AVERAGE(OFFSET($H$3,0,0,'Données projet'!$E$10+1,1))</f>
        <v>323.98185264074681</v>
      </c>
      <c r="AO134" s="60">
        <f t="shared" si="144"/>
        <v>301.22207291854005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0.60377378346579091</v>
      </c>
      <c r="AV134" s="23">
        <f>EXP(-LN(2)/25)*AV133+(1-EXP(-LN(2)/25))/(LN(2)/25)*Calculateur!AQ134*Calculateur!AS134*VLOOKUP('Données projet'!$B$10,Paramètres!$A$1:$I$89,3,0)*0.475*44/12</f>
        <v>0.50136104991810837</v>
      </c>
      <c r="AW134" s="23">
        <f>EXP(-LN(2)/2)*AW133+(1-EXP(-LN(2)/2))/(LN(2)/2)*AQ134*AT134*VLOOKUP('Données projet'!$B$10,Paramètres!$A$1:$I$89,3,0)*0.475*44/12</f>
        <v>3.8233680570556784E-15</v>
      </c>
      <c r="AX134" s="23">
        <f t="shared" si="114"/>
        <v>1.1051348333839031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4.8</v>
      </c>
      <c r="BD134" s="13">
        <f>IF('Données projet'!$A$88&gt;35,BD133+BC134-BL133,IF(A134&lt;'Données projet'!$A$88,$BA$205^A134,IF(A134='Données projet'!$A$88,'Données projet'!$B$88,BD133+BC134-BL133)))</f>
        <v>444.79999999999973</v>
      </c>
      <c r="BE134" s="14">
        <f>BD134*VLOOKUP('Données projet'!$B$11,Paramètres!$A$1:$I$89,3,0)*VLOOKUP('Données projet'!$B$11,Paramètres!$A$1:$I$89,5,0)</f>
        <v>381.63839999999982</v>
      </c>
      <c r="BF134" s="14">
        <f t="shared" si="145"/>
        <v>88.044013306765862</v>
      </c>
      <c r="BG134" s="22">
        <f t="shared" si="115"/>
        <v>818.03020317595019</v>
      </c>
      <c r="BH134" s="60">
        <f t="shared" si="116"/>
        <v>1111.3635365092834</v>
      </c>
      <c r="BI134" s="60">
        <f ca="1">AVERAGE(OFFSET($BH$3,0,0,'Données projet'!$E$11+1,1))-AVERAGE(OFFSET($H$3,0,0,'Données projet'!$E$11+1,1))</f>
        <v>556.75475431848258</v>
      </c>
      <c r="BJ134" s="60">
        <f t="shared" si="146"/>
        <v>256.77417912163997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3.4106051316484809E-13</v>
      </c>
      <c r="BZ134" s="14">
        <f>BY134*VLOOKUP('Données projet'!$B$12,Paramètres!$A$1:$I$89,3,0)*VLOOKUP('Données projet'!$B$12,Paramètres!$A$1:$I$89,5,0)</f>
        <v>2.5006556825246659E-13</v>
      </c>
      <c r="CA134" s="14">
        <f t="shared" si="147"/>
        <v>3.3765445850268018E-12</v>
      </c>
      <c r="CB134" s="22">
        <f t="shared" si="118"/>
        <v>6.3163460169613921E-12</v>
      </c>
      <c r="CC134" s="60">
        <f t="shared" si="119"/>
        <v>293.33333333333962</v>
      </c>
      <c r="CD134" s="60">
        <f ca="1">AVERAGE(OFFSET($CC$3,0,0,'Données projet'!$E$12+1,1))-AVERAGE(OFFSET($H$3,0,0,'Données projet'!$E$12+1,1))</f>
        <v>290.68086183422963</v>
      </c>
      <c r="CE134" s="60">
        <f t="shared" si="148"/>
        <v>317.88330630101785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1.9895196601282805E-13</v>
      </c>
      <c r="CU134" s="18">
        <f>CT134*VLOOKUP('Données projet'!$B$13,Paramètres!$A$1:$I$89,3,0)*VLOOKUP('Données projet'!$B$13,Paramètres!$A$1:$I$89,5,0)</f>
        <v>1.3035332813160495E-13</v>
      </c>
      <c r="CV134" s="14">
        <f t="shared" si="149"/>
        <v>1.8987770485018903E-12</v>
      </c>
      <c r="CW134" s="22">
        <f t="shared" si="121"/>
        <v>3.5340687393033375E-12</v>
      </c>
      <c r="CX134" s="60">
        <f t="shared" si="122"/>
        <v>293.33333333333684</v>
      </c>
      <c r="CY134" s="60">
        <f ca="1">AVERAGE(OFFSET($CX$3,0,0,'Données projet'!$E$13+1,1))-AVERAGE(OFFSET($H$3,0,0,'Données projet'!$E$13+1,1))</f>
        <v>243.04319555814601</v>
      </c>
      <c r="CZ134" s="60">
        <f t="shared" si="150"/>
        <v>235.68746142880792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201.4732637505823</v>
      </c>
      <c r="DU134" s="60">
        <f t="shared" si="152"/>
        <v>342.06887933351783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0.89377721402949029</v>
      </c>
      <c r="EB134" s="23">
        <f>EXP(-LN(2)/25)*EB133+(1-EXP(-LN(2)/25))/(LN(2)/25)*Calculateur!DW134*Calculateur!DY134*VLOOKUP('Données projet'!$B$14,Paramètres!$A$1:$I$89,3,0)*0.475*44/12</f>
        <v>1.6074308374112833</v>
      </c>
      <c r="EC134" s="23">
        <f>EXP(-LN(2)/2)*EC133+(1-EXP(-LN(2)/2))/(LN(2)/2)*DW134*DZ134*VLOOKUP('Données projet'!$B$14,Paramètres!$A$1:$I$89,3,0)*0.475*44/12</f>
        <v>8.4139100976576498E-15</v>
      </c>
      <c r="ED134" s="24">
        <f t="shared" si="126"/>
        <v>2.501208051440782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-2.0395418687257919E-13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260.01925143568263</v>
      </c>
      <c r="EP134" s="60">
        <f t="shared" si="154"/>
        <v>269.95358755269427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1.9228769985870253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1.9228769985870253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-9.2222762759774927E-14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256.19915261735281</v>
      </c>
      <c r="FK134" s="60">
        <f t="shared" si="156"/>
        <v>297.47246687305056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2.8421709430404007E-14</v>
      </c>
      <c r="GA134" s="18">
        <f>FZ134*VLOOKUP('Données projet'!$B$17,Paramètres!$A$1:$I$89,3,0)*VLOOKUP('Données projet'!$B$17,Paramètres!$A$1:$I$89,5,0)</f>
        <v>1.6257217794191094E-14</v>
      </c>
      <c r="GB134" s="14">
        <f t="shared" si="157"/>
        <v>3.0173973759155586E-13</v>
      </c>
      <c r="GC134" s="22">
        <f t="shared" si="133"/>
        <v>5.538446972968425E-13</v>
      </c>
      <c r="GD134" s="60">
        <f t="shared" si="134"/>
        <v>293.33333333333388</v>
      </c>
      <c r="GE134" s="60">
        <f ca="1">AVERAGE(OFFSET($GD$3,0,0,'Données projet'!$E$17+1,1))-AVERAGE(OFFSET($H$3,0,0,'Données projet'!$E$17+1,1))</f>
        <v>268.71641789629319</v>
      </c>
      <c r="GF134" s="60">
        <f t="shared" si="158"/>
        <v>199.94048514486104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0.12764857573507207</v>
      </c>
      <c r="GN134" s="23">
        <f>EXP(-LN(2)/2)*GN133+(1-EXP(-LN(2)/2))/(LN(2)/2)*GH134*GK134*VLOOKUP('Données projet'!$B$17,Paramètres!$A$1:$I$89,3,0)*0.475*44/12</f>
        <v>4.381007175734754E-15</v>
      </c>
      <c r="GO134" s="23">
        <f t="shared" si="135"/>
        <v>0.12764857573507646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-2.8421709430404007E-13</v>
      </c>
      <c r="GV134" s="18">
        <f>GU134*VLOOKUP('Données projet'!$B$18,Paramètres!$A$1:$I$89,3,0)*VLOOKUP('Données projet'!$B$18,Paramètres!$A$1:$I$89,5,0)</f>
        <v>-1.69961822393816E-13</v>
      </c>
      <c r="GW134" s="14" t="e">
        <f t="shared" si="159"/>
        <v>#NUM!</v>
      </c>
      <c r="GX134" s="22" t="e">
        <f t="shared" si="136"/>
        <v>#NUM!</v>
      </c>
      <c r="GY134" s="60" t="e">
        <f t="shared" si="137"/>
        <v>#NUM!</v>
      </c>
      <c r="GZ134" s="60">
        <f ca="1">AVERAGE(OFFSET($GY$3,0,0,'Données projet'!$E$18+1,1))-AVERAGE(OFFSET($H$3,0,0,'Données projet'!$E$18+1,1))</f>
        <v>289.12367833861299</v>
      </c>
      <c r="HA134" s="60">
        <f t="shared" si="160"/>
        <v>229.06617320689003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2.6043657933652409E-15</v>
      </c>
      <c r="HJ134" s="24">
        <f t="shared" si="138"/>
        <v>2.6043657933652409E-15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261.48719999999952</v>
      </c>
      <c r="P135" s="14">
        <f t="shared" si="141"/>
        <v>63.039283586802277</v>
      </c>
      <c r="Q135" s="22">
        <f t="shared" si="108"/>
        <v>565.21695891367983</v>
      </c>
      <c r="R135" s="60">
        <f t="shared" si="109"/>
        <v>858.5502922470132</v>
      </c>
      <c r="S135" s="60">
        <f ca="1">AVERAGE(OFFSET($R$3,0,0,'Données projet'!$E$9+1,1))-AVERAGE(OFFSET($H$3,0,0,'Données projet'!$E$9+1,1))</f>
        <v>430.11660085503223</v>
      </c>
      <c r="T135" s="60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1.2710188457276673E-13</v>
      </c>
      <c r="AK135" s="14">
        <f t="shared" si="143"/>
        <v>1.856866851063998E-12</v>
      </c>
      <c r="AL135" s="22">
        <f t="shared" si="112"/>
        <v>3.4554122145673649E-12</v>
      </c>
      <c r="AM135" s="60">
        <f t="shared" si="113"/>
        <v>293.33333333333678</v>
      </c>
      <c r="AN135" s="60">
        <f ca="1">AVERAGE(OFFSET($AM$3,0,0,'Données projet'!$E$10+1,1))-AVERAGE(OFFSET($H$3,0,0,'Données projet'!$E$10+1,1))</f>
        <v>323.98185264074681</v>
      </c>
      <c r="AO135" s="60">
        <f t="shared" si="144"/>
        <v>301.22207291854005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0.59193414783767151</v>
      </c>
      <c r="AV135" s="23">
        <f>EXP(-LN(2)/25)*AV134+(1-EXP(-LN(2)/25))/(LN(2)/25)*Calculateur!AQ135*Calculateur!AS135*VLOOKUP('Données projet'!$B$10,Paramètres!$A$1:$I$89,3,0)*0.475*44/12</f>
        <v>0.48765130564266596</v>
      </c>
      <c r="AW135" s="23">
        <f>EXP(-LN(2)/2)*AW134+(1-EXP(-LN(2)/2))/(LN(2)/2)*AQ135*AT135*VLOOKUP('Données projet'!$B$10,Paramètres!$A$1:$I$89,3,0)*0.475*44/12</f>
        <v>2.703529480116105E-15</v>
      </c>
      <c r="AX135" s="23">
        <f t="shared" si="114"/>
        <v>1.0795854534803402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4.8</v>
      </c>
      <c r="BD135" s="13">
        <f>IF('Données projet'!$A$88&gt;35,BD134+BC135-BL134,IF(A135&lt;'Données projet'!$A$88,$BA$205^A135,IF(A135='Données projet'!$A$88,'Données projet'!$B$88,BD134+BC135-BL134)))</f>
        <v>449.59999999999974</v>
      </c>
      <c r="BE135" s="14">
        <f>BD135*VLOOKUP('Données projet'!$B$11,Paramètres!$A$1:$I$89,3,0)*VLOOKUP('Données projet'!$B$11,Paramètres!$A$1:$I$89,5,0)</f>
        <v>385.75679999999983</v>
      </c>
      <c r="BF135" s="14">
        <f t="shared" si="145"/>
        <v>88.883009980379001</v>
      </c>
      <c r="BG135" s="22">
        <f t="shared" si="115"/>
        <v>826.66433571582638</v>
      </c>
      <c r="BH135" s="60">
        <f t="shared" si="116"/>
        <v>1119.9976690491596</v>
      </c>
      <c r="BI135" s="60">
        <f ca="1">AVERAGE(OFFSET($BH$3,0,0,'Données projet'!$E$11+1,1))-AVERAGE(OFFSET($H$3,0,0,'Données projet'!$E$11+1,1))</f>
        <v>556.75475431848258</v>
      </c>
      <c r="BJ135" s="60">
        <f t="shared" si="146"/>
        <v>256.77417912163997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3.4106051316484809E-13</v>
      </c>
      <c r="BZ135" s="14">
        <f>BY135*VLOOKUP('Données projet'!$B$12,Paramètres!$A$1:$I$89,3,0)*VLOOKUP('Données projet'!$B$12,Paramètres!$A$1:$I$89,5,0)</f>
        <v>2.5006556825246659E-13</v>
      </c>
      <c r="CA135" s="14">
        <f t="shared" si="147"/>
        <v>3.3765445850268018E-12</v>
      </c>
      <c r="CB135" s="22">
        <f t="shared" si="118"/>
        <v>6.3163460169613921E-12</v>
      </c>
      <c r="CC135" s="60">
        <f t="shared" si="119"/>
        <v>293.33333333333962</v>
      </c>
      <c r="CD135" s="60">
        <f ca="1">AVERAGE(OFFSET($CC$3,0,0,'Données projet'!$E$12+1,1))-AVERAGE(OFFSET($H$3,0,0,'Données projet'!$E$12+1,1))</f>
        <v>290.68086183422963</v>
      </c>
      <c r="CE135" s="60">
        <f t="shared" si="148"/>
        <v>317.88330630101785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1.9895196601282805E-13</v>
      </c>
      <c r="CU135" s="18">
        <f>CT135*VLOOKUP('Données projet'!$B$13,Paramètres!$A$1:$I$89,3,0)*VLOOKUP('Données projet'!$B$13,Paramètres!$A$1:$I$89,5,0)</f>
        <v>1.3035332813160495E-13</v>
      </c>
      <c r="CV135" s="14">
        <f t="shared" si="149"/>
        <v>1.8987770485018903E-12</v>
      </c>
      <c r="CW135" s="22">
        <f t="shared" si="121"/>
        <v>3.5340687393033375E-12</v>
      </c>
      <c r="CX135" s="60">
        <f t="shared" si="122"/>
        <v>293.33333333333684</v>
      </c>
      <c r="CY135" s="60">
        <f ca="1">AVERAGE(OFFSET($CX$3,0,0,'Données projet'!$E$13+1,1))-AVERAGE(OFFSET($H$3,0,0,'Données projet'!$E$13+1,1))</f>
        <v>243.04319555814601</v>
      </c>
      <c r="CZ135" s="60">
        <f t="shared" si="150"/>
        <v>235.68746142880792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201.4732637505823</v>
      </c>
      <c r="DU135" s="60">
        <f t="shared" si="152"/>
        <v>342.06887933351783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0.87625078801264344</v>
      </c>
      <c r="EB135" s="23">
        <f>EXP(-LN(2)/25)*EB134+(1-EXP(-LN(2)/25))/(LN(2)/25)*Calculateur!DW135*Calculateur!DY135*VLOOKUP('Données projet'!$B$14,Paramètres!$A$1:$I$89,3,0)*0.475*44/12</f>
        <v>1.563475556631158</v>
      </c>
      <c r="EC135" s="23">
        <f>EXP(-LN(2)/2)*EC134+(1-EXP(-LN(2)/2))/(LN(2)/2)*DW135*DZ135*VLOOKUP('Données projet'!$B$14,Paramètres!$A$1:$I$89,3,0)*0.475*44/12</f>
        <v>5.9495328863476905E-15</v>
      </c>
      <c r="ED135" s="24">
        <f t="shared" si="126"/>
        <v>2.4397263446438071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-2.0395418687257919E-13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260.01925143568263</v>
      </c>
      <c r="EP135" s="60">
        <f t="shared" si="154"/>
        <v>269.95358755269427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1.8851705534838947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1.8851705534838947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-9.2222762759774927E-14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256.19915261735281</v>
      </c>
      <c r="FK135" s="60">
        <f t="shared" si="156"/>
        <v>297.47246687305056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2.8421709430404007E-14</v>
      </c>
      <c r="GA135" s="18">
        <f>FZ135*VLOOKUP('Données projet'!$B$17,Paramètres!$A$1:$I$89,3,0)*VLOOKUP('Données projet'!$B$17,Paramètres!$A$1:$I$89,5,0)</f>
        <v>1.6257217794191094E-14</v>
      </c>
      <c r="GB135" s="14">
        <f t="shared" si="157"/>
        <v>3.0173973759155586E-13</v>
      </c>
      <c r="GC135" s="22">
        <f t="shared" si="133"/>
        <v>5.538446972968425E-13</v>
      </c>
      <c r="GD135" s="60">
        <f t="shared" si="134"/>
        <v>293.33333333333388</v>
      </c>
      <c r="GE135" s="60">
        <f ca="1">AVERAGE(OFFSET($GD$3,0,0,'Données projet'!$E$17+1,1))-AVERAGE(OFFSET($H$3,0,0,'Données projet'!$E$17+1,1))</f>
        <v>268.71641789629319</v>
      </c>
      <c r="GF135" s="60">
        <f t="shared" si="158"/>
        <v>199.94048514486104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0.12415801871884967</v>
      </c>
      <c r="GN135" s="23">
        <f>EXP(-LN(2)/2)*GN134+(1-EXP(-LN(2)/2))/(LN(2)/2)*GH135*GK135*VLOOKUP('Données projet'!$B$17,Paramètres!$A$1:$I$89,3,0)*0.475*44/12</f>
        <v>3.0978398823889693E-15</v>
      </c>
      <c r="GO135" s="23">
        <f t="shared" si="135"/>
        <v>0.12415801871885276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-2.8421709430404007E-13</v>
      </c>
      <c r="GV135" s="18">
        <f>GU135*VLOOKUP('Données projet'!$B$18,Paramètres!$A$1:$I$89,3,0)*VLOOKUP('Données projet'!$B$18,Paramètres!$A$1:$I$89,5,0)</f>
        <v>-1.69961822393816E-13</v>
      </c>
      <c r="GW135" s="14" t="e">
        <f t="shared" si="159"/>
        <v>#NUM!</v>
      </c>
      <c r="GX135" s="22" t="e">
        <f t="shared" si="136"/>
        <v>#NUM!</v>
      </c>
      <c r="GY135" s="60" t="e">
        <f t="shared" si="137"/>
        <v>#NUM!</v>
      </c>
      <c r="GZ135" s="60">
        <f ca="1">AVERAGE(OFFSET($GY$3,0,0,'Données projet'!$E$18+1,1))-AVERAGE(OFFSET($H$3,0,0,'Données projet'!$E$18+1,1))</f>
        <v>289.12367833861299</v>
      </c>
      <c r="HA135" s="60">
        <f t="shared" si="160"/>
        <v>229.06617320689003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1.8415647131788446E-15</v>
      </c>
      <c r="HJ135" s="24">
        <f t="shared" si="138"/>
        <v>1.8415647131788446E-15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264.20159999999953</v>
      </c>
      <c r="P136" s="14">
        <f t="shared" si="141"/>
        <v>63.617151975096654</v>
      </c>
      <c r="Q136" s="22">
        <f t="shared" si="108"/>
        <v>570.95099302329243</v>
      </c>
      <c r="R136" s="60">
        <f t="shared" si="109"/>
        <v>864.2843263566258</v>
      </c>
      <c r="S136" s="60">
        <f ca="1">AVERAGE(OFFSET($R$3,0,0,'Données projet'!$E$9+1,1))-AVERAGE(OFFSET($H$3,0,0,'Données projet'!$E$9+1,1))</f>
        <v>430.11660085503223</v>
      </c>
      <c r="T136" s="60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1.2710188457276673E-13</v>
      </c>
      <c r="AK136" s="14">
        <f t="shared" si="143"/>
        <v>1.856866851063998E-12</v>
      </c>
      <c r="AL136" s="22">
        <f t="shared" si="112"/>
        <v>3.4554122145673649E-12</v>
      </c>
      <c r="AM136" s="60">
        <f t="shared" si="113"/>
        <v>293.33333333333678</v>
      </c>
      <c r="AN136" s="60">
        <f ca="1">AVERAGE(OFFSET($AM$3,0,0,'Données projet'!$E$10+1,1))-AVERAGE(OFFSET($H$3,0,0,'Données projet'!$E$10+1,1))</f>
        <v>323.98185264074681</v>
      </c>
      <c r="AO136" s="60">
        <f t="shared" si="144"/>
        <v>301.22207291854005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0.5803266802427548</v>
      </c>
      <c r="AV136" s="23">
        <f>EXP(-LN(2)/25)*AV135+(1-EXP(-LN(2)/25))/(LN(2)/25)*Calculateur!AQ136*Calculateur!AS136*VLOOKUP('Données projet'!$B$10,Paramètres!$A$1:$I$89,3,0)*0.475*44/12</f>
        <v>0.47431645504539965</v>
      </c>
      <c r="AW136" s="23">
        <f>EXP(-LN(2)/2)*AW135+(1-EXP(-LN(2)/2))/(LN(2)/2)*AQ136*AT136*VLOOKUP('Données projet'!$B$10,Paramètres!$A$1:$I$89,3,0)*0.475*44/12</f>
        <v>1.9116840285278392E-15</v>
      </c>
      <c r="AX136" s="23">
        <f t="shared" si="114"/>
        <v>1.0546431352881565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4.8</v>
      </c>
      <c r="BD136" s="13">
        <f>IF('Données projet'!$A$88&gt;35,BD135+BC136-BL135,IF(A136&lt;'Données projet'!$A$88,$BA$205^A136,IF(A136='Données projet'!$A$88,'Données projet'!$B$88,BD135+BC136-BL135)))</f>
        <v>454.39999999999975</v>
      </c>
      <c r="BE136" s="14">
        <f>BD136*VLOOKUP('Données projet'!$B$11,Paramètres!$A$1:$I$89,3,0)*VLOOKUP('Données projet'!$B$11,Paramètres!$A$1:$I$89,5,0)</f>
        <v>389.87519999999984</v>
      </c>
      <c r="BF136" s="14">
        <f t="shared" si="145"/>
        <v>89.720964655579479</v>
      </c>
      <c r="BG136" s="22">
        <f t="shared" si="115"/>
        <v>835.29665344180057</v>
      </c>
      <c r="BH136" s="60">
        <f t="shared" si="116"/>
        <v>1128.6299867751338</v>
      </c>
      <c r="BI136" s="60">
        <f ca="1">AVERAGE(OFFSET($BH$3,0,0,'Données projet'!$E$11+1,1))-AVERAGE(OFFSET($H$3,0,0,'Données projet'!$E$11+1,1))</f>
        <v>556.75475431848258</v>
      </c>
      <c r="BJ136" s="60">
        <f t="shared" si="146"/>
        <v>256.77417912163997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3.4106051316484809E-13</v>
      </c>
      <c r="BZ136" s="14">
        <f>BY136*VLOOKUP('Données projet'!$B$12,Paramètres!$A$1:$I$89,3,0)*VLOOKUP('Données projet'!$B$12,Paramètres!$A$1:$I$89,5,0)</f>
        <v>2.5006556825246659E-13</v>
      </c>
      <c r="CA136" s="14">
        <f t="shared" si="147"/>
        <v>3.3765445850268018E-12</v>
      </c>
      <c r="CB136" s="22">
        <f t="shared" si="118"/>
        <v>6.3163460169613921E-12</v>
      </c>
      <c r="CC136" s="60">
        <f t="shared" si="119"/>
        <v>293.33333333333962</v>
      </c>
      <c r="CD136" s="60">
        <f ca="1">AVERAGE(OFFSET($CC$3,0,0,'Données projet'!$E$12+1,1))-AVERAGE(OFFSET($H$3,0,0,'Données projet'!$E$12+1,1))</f>
        <v>290.68086183422963</v>
      </c>
      <c r="CE136" s="60">
        <f t="shared" si="148"/>
        <v>317.88330630101785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1.9895196601282805E-13</v>
      </c>
      <c r="CU136" s="18">
        <f>CT136*VLOOKUP('Données projet'!$B$13,Paramètres!$A$1:$I$89,3,0)*VLOOKUP('Données projet'!$B$13,Paramètres!$A$1:$I$89,5,0)</f>
        <v>1.3035332813160495E-13</v>
      </c>
      <c r="CV136" s="14">
        <f t="shared" si="149"/>
        <v>1.8987770485018903E-12</v>
      </c>
      <c r="CW136" s="22">
        <f t="shared" si="121"/>
        <v>3.5340687393033375E-12</v>
      </c>
      <c r="CX136" s="60">
        <f t="shared" si="122"/>
        <v>293.33333333333684</v>
      </c>
      <c r="CY136" s="60">
        <f ca="1">AVERAGE(OFFSET($CX$3,0,0,'Données projet'!$E$13+1,1))-AVERAGE(OFFSET($H$3,0,0,'Données projet'!$E$13+1,1))</f>
        <v>243.04319555814601</v>
      </c>
      <c r="CZ136" s="60">
        <f t="shared" si="150"/>
        <v>235.68746142880792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201.4732637505823</v>
      </c>
      <c r="DU136" s="60">
        <f t="shared" si="152"/>
        <v>342.06887933351783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0.85906804451992258</v>
      </c>
      <c r="EB136" s="23">
        <f>EXP(-LN(2)/25)*EB135+(1-EXP(-LN(2)/25))/(LN(2)/25)*Calculateur!DW136*Calculateur!DY136*VLOOKUP('Données projet'!$B$14,Paramètres!$A$1:$I$89,3,0)*0.475*44/12</f>
        <v>1.5207222353154728</v>
      </c>
      <c r="EC136" s="23">
        <f>EXP(-LN(2)/2)*EC135+(1-EXP(-LN(2)/2))/(LN(2)/2)*DW136*DZ136*VLOOKUP('Données projet'!$B$14,Paramètres!$A$1:$I$89,3,0)*0.475*44/12</f>
        <v>4.2069550488288249E-15</v>
      </c>
      <c r="ED136" s="24">
        <f t="shared" si="126"/>
        <v>2.3797902798353996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-2.0395418687257919E-13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260.01925143568263</v>
      </c>
      <c r="EP136" s="60">
        <f t="shared" si="154"/>
        <v>269.95358755269427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1.8482035087705759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1.8482035087705759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-9.2222762759774927E-14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256.19915261735281</v>
      </c>
      <c r="FK136" s="60">
        <f t="shared" si="156"/>
        <v>297.47246687305056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2.8421709430404007E-14</v>
      </c>
      <c r="GA136" s="18">
        <f>FZ136*VLOOKUP('Données projet'!$B$17,Paramètres!$A$1:$I$89,3,0)*VLOOKUP('Données projet'!$B$17,Paramètres!$A$1:$I$89,5,0)</f>
        <v>1.6257217794191094E-14</v>
      </c>
      <c r="GB136" s="14">
        <f t="shared" si="157"/>
        <v>3.0173973759155586E-13</v>
      </c>
      <c r="GC136" s="22">
        <f t="shared" si="133"/>
        <v>5.538446972968425E-13</v>
      </c>
      <c r="GD136" s="60">
        <f t="shared" si="134"/>
        <v>293.33333333333388</v>
      </c>
      <c r="GE136" s="60">
        <f ca="1">AVERAGE(OFFSET($GD$3,0,0,'Données projet'!$E$17+1,1))-AVERAGE(OFFSET($H$3,0,0,'Données projet'!$E$17+1,1))</f>
        <v>268.71641789629319</v>
      </c>
      <c r="GF136" s="60">
        <f t="shared" si="158"/>
        <v>199.94048514486104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0.12076291116779629</v>
      </c>
      <c r="GN136" s="23">
        <f>EXP(-LN(2)/2)*GN135+(1-EXP(-LN(2)/2))/(LN(2)/2)*GH136*GK136*VLOOKUP('Données projet'!$B$17,Paramètres!$A$1:$I$89,3,0)*0.475*44/12</f>
        <v>2.190503587867377E-15</v>
      </c>
      <c r="GO136" s="23">
        <f t="shared" si="135"/>
        <v>0.12076291116779848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-2.8421709430404007E-13</v>
      </c>
      <c r="GV136" s="18">
        <f>GU136*VLOOKUP('Données projet'!$B$18,Paramètres!$A$1:$I$89,3,0)*VLOOKUP('Données projet'!$B$18,Paramètres!$A$1:$I$89,5,0)</f>
        <v>-1.69961822393816E-13</v>
      </c>
      <c r="GW136" s="14" t="e">
        <f t="shared" si="159"/>
        <v>#NUM!</v>
      </c>
      <c r="GX136" s="22" t="e">
        <f t="shared" si="136"/>
        <v>#NUM!</v>
      </c>
      <c r="GY136" s="60" t="e">
        <f t="shared" si="137"/>
        <v>#NUM!</v>
      </c>
      <c r="GZ136" s="60">
        <f ca="1">AVERAGE(OFFSET($GY$3,0,0,'Données projet'!$E$18+1,1))-AVERAGE(OFFSET($H$3,0,0,'Données projet'!$E$18+1,1))</f>
        <v>289.12367833861299</v>
      </c>
      <c r="HA136" s="60">
        <f t="shared" si="160"/>
        <v>229.06617320689003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1.3021828966826205E-15</v>
      </c>
      <c r="HJ136" s="24">
        <f t="shared" si="138"/>
        <v>1.3021828966826205E-15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266.91599999999949</v>
      </c>
      <c r="P137" s="14">
        <f t="shared" si="141"/>
        <v>64.194329696332062</v>
      </c>
      <c r="Q137" s="22">
        <f t="shared" si="108"/>
        <v>576.68382422111074</v>
      </c>
      <c r="R137" s="60">
        <f t="shared" si="109"/>
        <v>870.01715755444411</v>
      </c>
      <c r="S137" s="60">
        <f ca="1">AVERAGE(OFFSET($R$3,0,0,'Données projet'!$E$9+1,1))-AVERAGE(OFFSET($H$3,0,0,'Données projet'!$E$9+1,1))</f>
        <v>430.11660085503223</v>
      </c>
      <c r="T137" s="60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1.2710188457276673E-13</v>
      </c>
      <c r="AK137" s="14">
        <f t="shared" si="143"/>
        <v>1.856866851063998E-12</v>
      </c>
      <c r="AL137" s="22">
        <f t="shared" si="112"/>
        <v>3.4554122145673649E-12</v>
      </c>
      <c r="AM137" s="60">
        <f t="shared" si="113"/>
        <v>293.33333333333678</v>
      </c>
      <c r="AN137" s="60">
        <f ca="1">AVERAGE(OFFSET($AM$3,0,0,'Données projet'!$E$10+1,1))-AVERAGE(OFFSET($H$3,0,0,'Données projet'!$E$10+1,1))</f>
        <v>323.98185264074681</v>
      </c>
      <c r="AO137" s="60">
        <f t="shared" si="144"/>
        <v>301.22207291854005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0.56894682800751828</v>
      </c>
      <c r="AV137" s="23">
        <f>EXP(-LN(2)/25)*AV136+(1-EXP(-LN(2)/25))/(LN(2)/25)*Calculateur!AQ137*Calculateur!AS137*VLOOKUP('Données projet'!$B$10,Paramètres!$A$1:$I$89,3,0)*0.475*44/12</f>
        <v>0.4613462466389649</v>
      </c>
      <c r="AW137" s="23">
        <f>EXP(-LN(2)/2)*AW136+(1-EXP(-LN(2)/2))/(LN(2)/2)*AQ137*AT137*VLOOKUP('Données projet'!$B$10,Paramètres!$A$1:$I$89,3,0)*0.475*44/12</f>
        <v>1.3517647400580525E-15</v>
      </c>
      <c r="AX137" s="23">
        <f t="shared" si="114"/>
        <v>1.0302930746464845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4.8</v>
      </c>
      <c r="BD137" s="13">
        <f>IF('Données projet'!$A$88&gt;35,BD136+BC137-BL136,IF(A137&lt;'Données projet'!$A$88,$BA$205^A137,IF(A137='Données projet'!$A$88,'Données projet'!$B$88,BD136+BC137-BL136)))</f>
        <v>459.19999999999976</v>
      </c>
      <c r="BE137" s="14">
        <f>BD137*VLOOKUP('Données projet'!$B$11,Paramètres!$A$1:$I$89,3,0)*VLOOKUP('Données projet'!$B$11,Paramètres!$A$1:$I$89,5,0)</f>
        <v>393.99359999999984</v>
      </c>
      <c r="BF137" s="14">
        <f t="shared" si="145"/>
        <v>90.557889613517858</v>
      </c>
      <c r="BG137" s="22">
        <f t="shared" si="115"/>
        <v>843.92717774354321</v>
      </c>
      <c r="BH137" s="60">
        <f t="shared" si="116"/>
        <v>1137.2605110768766</v>
      </c>
      <c r="BI137" s="60">
        <f ca="1">AVERAGE(OFFSET($BH$3,0,0,'Données projet'!$E$11+1,1))-AVERAGE(OFFSET($H$3,0,0,'Données projet'!$E$11+1,1))</f>
        <v>556.75475431848258</v>
      </c>
      <c r="BJ137" s="60">
        <f t="shared" si="146"/>
        <v>256.77417912163997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3.4106051316484809E-13</v>
      </c>
      <c r="BZ137" s="14">
        <f>BY137*VLOOKUP('Données projet'!$B$12,Paramètres!$A$1:$I$89,3,0)*VLOOKUP('Données projet'!$B$12,Paramètres!$A$1:$I$89,5,0)</f>
        <v>2.5006556825246659E-13</v>
      </c>
      <c r="CA137" s="14">
        <f t="shared" si="147"/>
        <v>3.3765445850268018E-12</v>
      </c>
      <c r="CB137" s="22">
        <f t="shared" si="118"/>
        <v>6.3163460169613921E-12</v>
      </c>
      <c r="CC137" s="60">
        <f t="shared" si="119"/>
        <v>293.33333333333962</v>
      </c>
      <c r="CD137" s="60">
        <f ca="1">AVERAGE(OFFSET($CC$3,0,0,'Données projet'!$E$12+1,1))-AVERAGE(OFFSET($H$3,0,0,'Données projet'!$E$12+1,1))</f>
        <v>290.68086183422963</v>
      </c>
      <c r="CE137" s="60">
        <f t="shared" si="148"/>
        <v>317.88330630101785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1.9895196601282805E-13</v>
      </c>
      <c r="CU137" s="18">
        <f>CT137*VLOOKUP('Données projet'!$B$13,Paramètres!$A$1:$I$89,3,0)*VLOOKUP('Données projet'!$B$13,Paramètres!$A$1:$I$89,5,0)</f>
        <v>1.3035332813160495E-13</v>
      </c>
      <c r="CV137" s="14">
        <f t="shared" si="149"/>
        <v>1.8987770485018903E-12</v>
      </c>
      <c r="CW137" s="22">
        <f t="shared" si="121"/>
        <v>3.5340687393033375E-12</v>
      </c>
      <c r="CX137" s="60">
        <f t="shared" si="122"/>
        <v>293.33333333333684</v>
      </c>
      <c r="CY137" s="60">
        <f ca="1">AVERAGE(OFFSET($CX$3,0,0,'Données projet'!$E$13+1,1))-AVERAGE(OFFSET($H$3,0,0,'Données projet'!$E$13+1,1))</f>
        <v>243.04319555814601</v>
      </c>
      <c r="CZ137" s="60">
        <f t="shared" si="150"/>
        <v>235.68746142880792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201.4732637505823</v>
      </c>
      <c r="DU137" s="60">
        <f t="shared" si="152"/>
        <v>342.06887933351783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0.84222224414665536</v>
      </c>
      <c r="EB137" s="23">
        <f>EXP(-LN(2)/25)*EB136+(1-EXP(-LN(2)/25))/(LN(2)/25)*Calculateur!DW137*Calculateur!DY137*VLOOKUP('Données projet'!$B$14,Paramètres!$A$1:$I$89,3,0)*0.475*44/12</f>
        <v>1.4791380058194645</v>
      </c>
      <c r="EC137" s="23">
        <f>EXP(-LN(2)/2)*EC136+(1-EXP(-LN(2)/2))/(LN(2)/2)*DW137*DZ137*VLOOKUP('Données projet'!$B$14,Paramètres!$A$1:$I$89,3,0)*0.475*44/12</f>
        <v>2.9747664431738452E-15</v>
      </c>
      <c r="ED137" s="24">
        <f t="shared" si="126"/>
        <v>2.3213602499661232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-2.0395418687257919E-13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260.01925143568263</v>
      </c>
      <c r="EP137" s="60">
        <f t="shared" si="154"/>
        <v>269.95358755269427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1.8119613652564144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1.8119613652564144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-9.2222762759774927E-14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256.19915261735281</v>
      </c>
      <c r="FK137" s="60">
        <f t="shared" si="156"/>
        <v>297.47246687305056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2.8421709430404007E-14</v>
      </c>
      <c r="GA137" s="18">
        <f>FZ137*VLOOKUP('Données projet'!$B$17,Paramètres!$A$1:$I$89,3,0)*VLOOKUP('Données projet'!$B$17,Paramètres!$A$1:$I$89,5,0)</f>
        <v>1.6257217794191094E-14</v>
      </c>
      <c r="GB137" s="14">
        <f t="shared" si="157"/>
        <v>3.0173973759155586E-13</v>
      </c>
      <c r="GC137" s="22">
        <f t="shared" si="133"/>
        <v>5.538446972968425E-13</v>
      </c>
      <c r="GD137" s="60">
        <f t="shared" si="134"/>
        <v>293.33333333333388</v>
      </c>
      <c r="GE137" s="60">
        <f ca="1">AVERAGE(OFFSET($GD$3,0,0,'Données projet'!$E$17+1,1))-AVERAGE(OFFSET($H$3,0,0,'Données projet'!$E$17+1,1))</f>
        <v>268.71641789629319</v>
      </c>
      <c r="GF137" s="60">
        <f t="shared" si="158"/>
        <v>199.94048514486104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0.11746064301126741</v>
      </c>
      <c r="GN137" s="23">
        <f>EXP(-LN(2)/2)*GN136+(1-EXP(-LN(2)/2))/(LN(2)/2)*GH137*GK137*VLOOKUP('Données projet'!$B$17,Paramètres!$A$1:$I$89,3,0)*0.475*44/12</f>
        <v>1.5489199411944846E-15</v>
      </c>
      <c r="GO137" s="23">
        <f t="shared" si="135"/>
        <v>0.11746064301126896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-2.8421709430404007E-13</v>
      </c>
      <c r="GV137" s="18">
        <f>GU137*VLOOKUP('Données projet'!$B$18,Paramètres!$A$1:$I$89,3,0)*VLOOKUP('Données projet'!$B$18,Paramètres!$A$1:$I$89,5,0)</f>
        <v>-1.69961822393816E-13</v>
      </c>
      <c r="GW137" s="14" t="e">
        <f t="shared" si="159"/>
        <v>#NUM!</v>
      </c>
      <c r="GX137" s="22" t="e">
        <f t="shared" si="136"/>
        <v>#NUM!</v>
      </c>
      <c r="GY137" s="60" t="e">
        <f t="shared" si="137"/>
        <v>#NUM!</v>
      </c>
      <c r="GZ137" s="60">
        <f ca="1">AVERAGE(OFFSET($GY$3,0,0,'Données projet'!$E$18+1,1))-AVERAGE(OFFSET($H$3,0,0,'Données projet'!$E$18+1,1))</f>
        <v>289.12367833861299</v>
      </c>
      <c r="HA137" s="60">
        <f t="shared" si="160"/>
        <v>229.06617320689003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9.2078235658942231E-16</v>
      </c>
      <c r="HJ137" s="24">
        <f t="shared" si="138"/>
        <v>9.2078235658942231E-16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269.63039999999955</v>
      </c>
      <c r="P138" s="14">
        <f t="shared" si="141"/>
        <v>64.770824587436024</v>
      </c>
      <c r="Q138" s="22">
        <f t="shared" si="108"/>
        <v>582.41546615645018</v>
      </c>
      <c r="R138" s="60">
        <f t="shared" si="109"/>
        <v>875.74879948978355</v>
      </c>
      <c r="S138" s="60">
        <f ca="1">AVERAGE(OFFSET($R$3,0,0,'Données projet'!$E$9+1,1))-AVERAGE(OFFSET($H$3,0,0,'Données projet'!$E$9+1,1))</f>
        <v>430.11660085503223</v>
      </c>
      <c r="T138" s="60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1.2710188457276673E-13</v>
      </c>
      <c r="AK138" s="14">
        <f t="shared" si="143"/>
        <v>1.856866851063998E-12</v>
      </c>
      <c r="AL138" s="22">
        <f t="shared" si="112"/>
        <v>3.4554122145673649E-12</v>
      </c>
      <c r="AM138" s="60">
        <f t="shared" si="113"/>
        <v>293.33333333333678</v>
      </c>
      <c r="AN138" s="60">
        <f ca="1">AVERAGE(OFFSET($AM$3,0,0,'Données projet'!$E$10+1,1))-AVERAGE(OFFSET($H$3,0,0,'Données projet'!$E$10+1,1))</f>
        <v>323.98185264074681</v>
      </c>
      <c r="AO138" s="60">
        <f t="shared" si="144"/>
        <v>301.22207291854005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0.55779012773359027</v>
      </c>
      <c r="AV138" s="23">
        <f>EXP(-LN(2)/25)*AV137+(1-EXP(-LN(2)/25))/(LN(2)/25)*Calculateur!AQ138*Calculateur!AS138*VLOOKUP('Données projet'!$B$10,Paramètres!$A$1:$I$89,3,0)*0.475*44/12</f>
        <v>0.44873070926347769</v>
      </c>
      <c r="AW138" s="23">
        <f>EXP(-LN(2)/2)*AW137+(1-EXP(-LN(2)/2))/(LN(2)/2)*AQ138*AT138*VLOOKUP('Données projet'!$B$10,Paramètres!$A$1:$I$89,3,0)*0.475*44/12</f>
        <v>9.5584201426391961E-16</v>
      </c>
      <c r="AX138" s="23">
        <f t="shared" si="114"/>
        <v>1.0065208369970688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464</v>
      </c>
      <c r="BB138" s="13">
        <f>VLOOKUP(A138,'Données projet'!$A$87:$I$107,9,0)</f>
        <v>4.8</v>
      </c>
      <c r="BC138" s="13">
        <f t="array" ref="BC138">INDEX(BB:BB,MIN(IF(ISNUMBER(BB138:BB334),ROW(BB138:BB334),"")))</f>
        <v>4.8</v>
      </c>
      <c r="BD138" s="13">
        <f>IF('Données projet'!$A$88&gt;35,BD137+BC138-BL137,IF(A138&lt;'Données projet'!$A$88,$BA$205^A138,IF(A138='Données projet'!$A$88,'Données projet'!$B$88,BD137+BC138-BL137)))</f>
        <v>463.99999999999977</v>
      </c>
      <c r="BE138" s="14">
        <f>BD138*VLOOKUP('Données projet'!$B$11,Paramètres!$A$1:$I$89,3,0)*VLOOKUP('Données projet'!$B$11,Paramètres!$A$1:$I$89,5,0)</f>
        <v>398.11199999999985</v>
      </c>
      <c r="BF138" s="14">
        <f t="shared" si="145"/>
        <v>91.393796863803715</v>
      </c>
      <c r="BG138" s="22">
        <f t="shared" si="115"/>
        <v>852.55592953779114</v>
      </c>
      <c r="BH138" s="60">
        <f t="shared" si="116"/>
        <v>1145.8892628711244</v>
      </c>
      <c r="BI138" s="60">
        <f ca="1">AVERAGE(OFFSET($BH$3,0,0,'Données projet'!$E$11+1,1))-AVERAGE(OFFSET($H$3,0,0,'Données projet'!$E$11+1,1))</f>
        <v>556.75475431848258</v>
      </c>
      <c r="BJ138" s="60">
        <f t="shared" si="146"/>
        <v>256.77417912163997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40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3.4106051316484809E-13</v>
      </c>
      <c r="BZ138" s="14">
        <f>BY138*VLOOKUP('Données projet'!$B$12,Paramètres!$A$1:$I$89,3,0)*VLOOKUP('Données projet'!$B$12,Paramètres!$A$1:$I$89,5,0)</f>
        <v>2.5006556825246659E-13</v>
      </c>
      <c r="CA138" s="14">
        <f t="shared" si="147"/>
        <v>3.3765445850268018E-12</v>
      </c>
      <c r="CB138" s="22">
        <f t="shared" si="118"/>
        <v>6.3163460169613921E-12</v>
      </c>
      <c r="CC138" s="60">
        <f t="shared" si="119"/>
        <v>293.33333333333962</v>
      </c>
      <c r="CD138" s="60">
        <f ca="1">AVERAGE(OFFSET($CC$3,0,0,'Données projet'!$E$12+1,1))-AVERAGE(OFFSET($H$3,0,0,'Données projet'!$E$12+1,1))</f>
        <v>290.68086183422963</v>
      </c>
      <c r="CE138" s="60">
        <f t="shared" si="148"/>
        <v>317.88330630101785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1.9895196601282805E-13</v>
      </c>
      <c r="CU138" s="18">
        <f>CT138*VLOOKUP('Données projet'!$B$13,Paramètres!$A$1:$I$89,3,0)*VLOOKUP('Données projet'!$B$13,Paramètres!$A$1:$I$89,5,0)</f>
        <v>1.3035332813160495E-13</v>
      </c>
      <c r="CV138" s="14">
        <f t="shared" si="149"/>
        <v>1.8987770485018903E-12</v>
      </c>
      <c r="CW138" s="22">
        <f t="shared" si="121"/>
        <v>3.5340687393033375E-12</v>
      </c>
      <c r="CX138" s="60">
        <f t="shared" si="122"/>
        <v>293.33333333333684</v>
      </c>
      <c r="CY138" s="60">
        <f ca="1">AVERAGE(OFFSET($CX$3,0,0,'Données projet'!$E$13+1,1))-AVERAGE(OFFSET($H$3,0,0,'Données projet'!$E$13+1,1))</f>
        <v>243.04319555814601</v>
      </c>
      <c r="CZ138" s="60">
        <f t="shared" si="150"/>
        <v>235.68746142880792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201.4732637505823</v>
      </c>
      <c r="DU138" s="60">
        <f t="shared" si="152"/>
        <v>342.06887933351783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0.82570677964378425</v>
      </c>
      <c r="EB138" s="23">
        <f>EXP(-LN(2)/25)*EB137+(1-EXP(-LN(2)/25))/(LN(2)/25)*Calculateur!DW138*Calculateur!DY138*VLOOKUP('Données projet'!$B$14,Paramètres!$A$1:$I$89,3,0)*0.475*44/12</f>
        <v>1.4386908992658443</v>
      </c>
      <c r="EC138" s="23">
        <f>EXP(-LN(2)/2)*EC137+(1-EXP(-LN(2)/2))/(LN(2)/2)*DW138*DZ138*VLOOKUP('Données projet'!$B$14,Paramètres!$A$1:$I$89,3,0)*0.475*44/12</f>
        <v>2.1034775244144124E-15</v>
      </c>
      <c r="ED138" s="24">
        <f t="shared" si="126"/>
        <v>2.264397678909631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-2.0395418687257919E-13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260.01925143568263</v>
      </c>
      <c r="EP138" s="60">
        <f t="shared" si="154"/>
        <v>269.95358755269427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1.7764299080710406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1.7764299080710406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-9.2222762759774927E-14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256.19915261735281</v>
      </c>
      <c r="FK138" s="60">
        <f t="shared" si="156"/>
        <v>297.47246687305056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2.8421709430404007E-14</v>
      </c>
      <c r="GA138" s="18">
        <f>FZ138*VLOOKUP('Données projet'!$B$17,Paramètres!$A$1:$I$89,3,0)*VLOOKUP('Données projet'!$B$17,Paramètres!$A$1:$I$89,5,0)</f>
        <v>1.6257217794191094E-14</v>
      </c>
      <c r="GB138" s="14">
        <f t="shared" si="157"/>
        <v>3.0173973759155586E-13</v>
      </c>
      <c r="GC138" s="22">
        <f t="shared" si="133"/>
        <v>5.538446972968425E-13</v>
      </c>
      <c r="GD138" s="60">
        <f t="shared" si="134"/>
        <v>293.33333333333388</v>
      </c>
      <c r="GE138" s="60">
        <f ca="1">AVERAGE(OFFSET($GD$3,0,0,'Données projet'!$E$17+1,1))-AVERAGE(OFFSET($H$3,0,0,'Données projet'!$E$17+1,1))</f>
        <v>268.71641789629319</v>
      </c>
      <c r="GF138" s="60">
        <f t="shared" si="158"/>
        <v>199.94048514486104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0.11424867555113755</v>
      </c>
      <c r="GN138" s="23">
        <f>EXP(-LN(2)/2)*GN137+(1-EXP(-LN(2)/2))/(LN(2)/2)*GH138*GK138*VLOOKUP('Données projet'!$B$17,Paramètres!$A$1:$I$89,3,0)*0.475*44/12</f>
        <v>1.0952517939336885E-15</v>
      </c>
      <c r="GO138" s="23">
        <f t="shared" si="135"/>
        <v>0.11424867555113864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-2.8421709430404007E-13</v>
      </c>
      <c r="GV138" s="18">
        <f>GU138*VLOOKUP('Données projet'!$B$18,Paramètres!$A$1:$I$89,3,0)*VLOOKUP('Données projet'!$B$18,Paramètres!$A$1:$I$89,5,0)</f>
        <v>-1.69961822393816E-13</v>
      </c>
      <c r="GW138" s="14" t="e">
        <f t="shared" si="159"/>
        <v>#NUM!</v>
      </c>
      <c r="GX138" s="22" t="e">
        <f t="shared" si="136"/>
        <v>#NUM!</v>
      </c>
      <c r="GY138" s="60" t="e">
        <f t="shared" si="137"/>
        <v>#NUM!</v>
      </c>
      <c r="GZ138" s="60">
        <f ca="1">AVERAGE(OFFSET($GY$3,0,0,'Données projet'!$E$18+1,1))-AVERAGE(OFFSET($H$3,0,0,'Données projet'!$E$18+1,1))</f>
        <v>289.12367833861299</v>
      </c>
      <c r="HA138" s="60">
        <f t="shared" si="160"/>
        <v>229.06617320689003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6.5109144834131023E-16</v>
      </c>
      <c r="HJ138" s="24">
        <f t="shared" si="138"/>
        <v>6.5109144834131023E-16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245.62303999999949</v>
      </c>
      <c r="P139" s="14">
        <f t="shared" si="141"/>
        <v>59.647719436846927</v>
      </c>
      <c r="Q139" s="22">
        <f t="shared" si="108"/>
        <v>531.67990601917427</v>
      </c>
      <c r="R139" s="60">
        <f t="shared" si="109"/>
        <v>825.01323935250753</v>
      </c>
      <c r="S139" s="60">
        <f ca="1">AVERAGE(OFFSET($R$3,0,0,'Données projet'!$E$9+1,1))-AVERAGE(OFFSET($H$3,0,0,'Données projet'!$E$9+1,1))</f>
        <v>430.11660085503223</v>
      </c>
      <c r="T139" s="60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1.2710188457276673E-13</v>
      </c>
      <c r="AK139" s="14">
        <f t="shared" si="143"/>
        <v>1.856866851063998E-12</v>
      </c>
      <c r="AL139" s="22">
        <f t="shared" si="112"/>
        <v>3.4554122145673649E-12</v>
      </c>
      <c r="AM139" s="60">
        <f t="shared" si="113"/>
        <v>293.33333333333678</v>
      </c>
      <c r="AN139" s="60">
        <f ca="1">AVERAGE(OFFSET($AM$3,0,0,'Données projet'!$E$10+1,1))-AVERAGE(OFFSET($H$3,0,0,'Données projet'!$E$10+1,1))</f>
        <v>323.98185264074681</v>
      </c>
      <c r="AO139" s="60">
        <f t="shared" si="144"/>
        <v>301.22207291854005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0.54685220354711872</v>
      </c>
      <c r="AV139" s="23">
        <f>EXP(-LN(2)/25)*AV138+(1-EXP(-LN(2)/25))/(LN(2)/25)*Calculateur!AQ139*Calculateur!AS139*VLOOKUP('Données projet'!$B$10,Paramètres!$A$1:$I$89,3,0)*0.475*44/12</f>
        <v>0.4364601444209455</v>
      </c>
      <c r="AW139" s="23">
        <f>EXP(-LN(2)/2)*AW138+(1-EXP(-LN(2)/2))/(LN(2)/2)*AQ139*AT139*VLOOKUP('Données projet'!$B$10,Paramètres!$A$1:$I$89,3,0)*0.475*44/12</f>
        <v>6.7588237002902625E-16</v>
      </c>
      <c r="AX139" s="23">
        <f t="shared" si="114"/>
        <v>0.98331234796806488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4.1333333333333337</v>
      </c>
      <c r="BD139" s="13">
        <f>IF('Données projet'!$A$88&gt;35,BD138+BC139-BL138,IF(A139&lt;'Données projet'!$A$88,$BA$205^A139,IF(A139='Données projet'!$A$88,'Données projet'!$B$88,BD138+BC139-BL138)))</f>
        <v>428.1333333333331</v>
      </c>
      <c r="BE139" s="14">
        <f>BD139*VLOOKUP('Données projet'!$B$11,Paramètres!$A$1:$I$89,3,0)*VLOOKUP('Données projet'!$B$11,Paramètres!$A$1:$I$89,5,0)</f>
        <v>367.33839999999981</v>
      </c>
      <c r="BF139" s="14">
        <f t="shared" si="145"/>
        <v>85.122559575769742</v>
      </c>
      <c r="BG139" s="22">
        <f t="shared" si="115"/>
        <v>788.03617126113193</v>
      </c>
      <c r="BH139" s="60">
        <f t="shared" si="116"/>
        <v>1081.3695045944653</v>
      </c>
      <c r="BI139" s="60">
        <f ca="1">AVERAGE(OFFSET($BH$3,0,0,'Données projet'!$E$11+1,1))-AVERAGE(OFFSET($H$3,0,0,'Données projet'!$E$11+1,1))</f>
        <v>556.75475431848258</v>
      </c>
      <c r="BJ139" s="60">
        <f t="shared" si="146"/>
        <v>256.77417912163997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3.4106051316484809E-13</v>
      </c>
      <c r="BZ139" s="14">
        <f>BY139*VLOOKUP('Données projet'!$B$12,Paramètres!$A$1:$I$89,3,0)*VLOOKUP('Données projet'!$B$12,Paramètres!$A$1:$I$89,5,0)</f>
        <v>2.5006556825246659E-13</v>
      </c>
      <c r="CA139" s="14">
        <f t="shared" si="147"/>
        <v>3.3765445850268018E-12</v>
      </c>
      <c r="CB139" s="22">
        <f t="shared" si="118"/>
        <v>6.3163460169613921E-12</v>
      </c>
      <c r="CC139" s="60">
        <f t="shared" si="119"/>
        <v>293.33333333333962</v>
      </c>
      <c r="CD139" s="60">
        <f ca="1">AVERAGE(OFFSET($CC$3,0,0,'Données projet'!$E$12+1,1))-AVERAGE(OFFSET($H$3,0,0,'Données projet'!$E$12+1,1))</f>
        <v>290.68086183422963</v>
      </c>
      <c r="CE139" s="60">
        <f t="shared" si="148"/>
        <v>317.88330630101785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1.9895196601282805E-13</v>
      </c>
      <c r="CU139" s="18">
        <f>CT139*VLOOKUP('Données projet'!$B$13,Paramètres!$A$1:$I$89,3,0)*VLOOKUP('Données projet'!$B$13,Paramètres!$A$1:$I$89,5,0)</f>
        <v>1.3035332813160495E-13</v>
      </c>
      <c r="CV139" s="14">
        <f t="shared" si="149"/>
        <v>1.8987770485018903E-12</v>
      </c>
      <c r="CW139" s="22">
        <f t="shared" si="121"/>
        <v>3.5340687393033375E-12</v>
      </c>
      <c r="CX139" s="60">
        <f t="shared" si="122"/>
        <v>293.33333333333684</v>
      </c>
      <c r="CY139" s="60">
        <f ca="1">AVERAGE(OFFSET($CX$3,0,0,'Données projet'!$E$13+1,1))-AVERAGE(OFFSET($H$3,0,0,'Données projet'!$E$13+1,1))</f>
        <v>243.04319555814601</v>
      </c>
      <c r="CZ139" s="60">
        <f t="shared" si="150"/>
        <v>235.68746142880792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201.4732637505823</v>
      </c>
      <c r="DU139" s="60">
        <f t="shared" si="152"/>
        <v>342.06887933351783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0.80951517332637579</v>
      </c>
      <c r="EB139" s="23">
        <f>EXP(-LN(2)/25)*EB138+(1-EXP(-LN(2)/25))/(LN(2)/25)*Calculateur!DW139*Calculateur!DY139*VLOOKUP('Données projet'!$B$14,Paramètres!$A$1:$I$89,3,0)*0.475*44/12</f>
        <v>1.3993498209679536</v>
      </c>
      <c r="EC139" s="23">
        <f>EXP(-LN(2)/2)*EC138+(1-EXP(-LN(2)/2))/(LN(2)/2)*DW139*DZ139*VLOOKUP('Données projet'!$B$14,Paramètres!$A$1:$I$89,3,0)*0.475*44/12</f>
        <v>1.4873832215869226E-15</v>
      </c>
      <c r="ED139" s="24">
        <f t="shared" si="126"/>
        <v>2.2088649942943306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-2.0395418687257919E-13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260.01925143568263</v>
      </c>
      <c r="EP139" s="60">
        <f t="shared" si="154"/>
        <v>269.95358755269427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1.7415952010890232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1.7415952010890232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-9.2222762759774927E-14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256.19915261735281</v>
      </c>
      <c r="FK139" s="60">
        <f t="shared" si="156"/>
        <v>297.47246687305056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2.8421709430404007E-14</v>
      </c>
      <c r="GA139" s="18">
        <f>FZ139*VLOOKUP('Données projet'!$B$17,Paramètres!$A$1:$I$89,3,0)*VLOOKUP('Données projet'!$B$17,Paramètres!$A$1:$I$89,5,0)</f>
        <v>1.6257217794191094E-14</v>
      </c>
      <c r="GB139" s="14">
        <f t="shared" si="157"/>
        <v>3.0173973759155586E-13</v>
      </c>
      <c r="GC139" s="22">
        <f t="shared" si="133"/>
        <v>5.538446972968425E-13</v>
      </c>
      <c r="GD139" s="60">
        <f t="shared" si="134"/>
        <v>293.33333333333388</v>
      </c>
      <c r="GE139" s="60">
        <f ca="1">AVERAGE(OFFSET($GD$3,0,0,'Données projet'!$E$17+1,1))-AVERAGE(OFFSET($H$3,0,0,'Données projet'!$E$17+1,1))</f>
        <v>268.71641789629319</v>
      </c>
      <c r="GF139" s="60">
        <f t="shared" si="158"/>
        <v>199.94048514486104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0.11112453951011496</v>
      </c>
      <c r="GN139" s="23">
        <f>EXP(-LN(2)/2)*GN138+(1-EXP(-LN(2)/2))/(LN(2)/2)*GH139*GK139*VLOOKUP('Données projet'!$B$17,Paramètres!$A$1:$I$89,3,0)*0.475*44/12</f>
        <v>7.7445997059724232E-16</v>
      </c>
      <c r="GO139" s="23">
        <f t="shared" si="135"/>
        <v>0.11112453951011574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-2.8421709430404007E-13</v>
      </c>
      <c r="GV139" s="18">
        <f>GU139*VLOOKUP('Données projet'!$B$18,Paramètres!$A$1:$I$89,3,0)*VLOOKUP('Données projet'!$B$18,Paramètres!$A$1:$I$89,5,0)</f>
        <v>-1.69961822393816E-13</v>
      </c>
      <c r="GW139" s="14" t="e">
        <f t="shared" si="159"/>
        <v>#NUM!</v>
      </c>
      <c r="GX139" s="22" t="e">
        <f t="shared" si="136"/>
        <v>#NUM!</v>
      </c>
      <c r="GY139" s="60" t="e">
        <f t="shared" si="137"/>
        <v>#NUM!</v>
      </c>
      <c r="GZ139" s="60">
        <f ca="1">AVERAGE(OFFSET($GY$3,0,0,'Données projet'!$E$18+1,1))-AVERAGE(OFFSET($H$3,0,0,'Données projet'!$E$18+1,1))</f>
        <v>289.12367833861299</v>
      </c>
      <c r="HA139" s="60">
        <f t="shared" si="160"/>
        <v>229.06617320689003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4.6039117829471115E-16</v>
      </c>
      <c r="HJ139" s="24">
        <f t="shared" si="138"/>
        <v>4.6039117829471115E-16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247.8548799999995</v>
      </c>
      <c r="P140" s="14">
        <f t="shared" si="141"/>
        <v>60.126365564399748</v>
      </c>
      <c r="Q140" s="22">
        <f t="shared" si="108"/>
        <v>536.40066935799541</v>
      </c>
      <c r="R140" s="60">
        <f t="shared" si="109"/>
        <v>829.73400269132867</v>
      </c>
      <c r="S140" s="60">
        <f ca="1">AVERAGE(OFFSET($R$3,0,0,'Données projet'!$E$9+1,1))-AVERAGE(OFFSET($H$3,0,0,'Données projet'!$E$9+1,1))</f>
        <v>430.11660085503223</v>
      </c>
      <c r="T140" s="60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1.2710188457276673E-13</v>
      </c>
      <c r="AK140" s="14">
        <f t="shared" si="143"/>
        <v>1.856866851063998E-12</v>
      </c>
      <c r="AL140" s="22">
        <f t="shared" si="112"/>
        <v>3.4554122145673649E-12</v>
      </c>
      <c r="AM140" s="60">
        <f t="shared" si="113"/>
        <v>293.33333333333678</v>
      </c>
      <c r="AN140" s="60">
        <f ca="1">AVERAGE(OFFSET($AM$3,0,0,'Données projet'!$E$10+1,1))-AVERAGE(OFFSET($H$3,0,0,'Données projet'!$E$10+1,1))</f>
        <v>323.98185264074681</v>
      </c>
      <c r="AO140" s="60">
        <f t="shared" si="144"/>
        <v>301.22207291854005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0.5361287653824689</v>
      </c>
      <c r="AV140" s="23">
        <f>EXP(-LN(2)/25)*AV139+(1-EXP(-LN(2)/25))/(LN(2)/25)*Calculateur!AQ140*Calculateur!AS140*VLOOKUP('Données projet'!$B$10,Paramètres!$A$1:$I$89,3,0)*0.475*44/12</f>
        <v>0.42452511881931326</v>
      </c>
      <c r="AW140" s="23">
        <f>EXP(-LN(2)/2)*AW139+(1-EXP(-LN(2)/2))/(LN(2)/2)*AQ140*AT140*VLOOKUP('Données projet'!$B$10,Paramètres!$A$1:$I$89,3,0)*0.475*44/12</f>
        <v>4.779210071319598E-16</v>
      </c>
      <c r="AX140" s="23">
        <f t="shared" si="114"/>
        <v>0.96065388420178266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4.1333333333333337</v>
      </c>
      <c r="BD140" s="13">
        <f>IF('Données projet'!$A$88&gt;35,BD139+BC140-BL139,IF(A140&lt;'Données projet'!$A$88,$BA$205^A140,IF(A140='Données projet'!$A$88,'Données projet'!$B$88,BD139+BC140-BL139)))</f>
        <v>432.26666666666642</v>
      </c>
      <c r="BE140" s="14">
        <f>BD140*VLOOKUP('Données projet'!$B$11,Paramètres!$A$1:$I$89,3,0)*VLOOKUP('Données projet'!$B$11,Paramètres!$A$1:$I$89,5,0)</f>
        <v>370.88479999999981</v>
      </c>
      <c r="BF140" s="14">
        <f t="shared" si="145"/>
        <v>85.848295383850129</v>
      </c>
      <c r="BG140" s="22">
        <f t="shared" si="115"/>
        <v>795.47680779353868</v>
      </c>
      <c r="BH140" s="60">
        <f t="shared" si="116"/>
        <v>1088.8101411268719</v>
      </c>
      <c r="BI140" s="60">
        <f ca="1">AVERAGE(OFFSET($BH$3,0,0,'Données projet'!$E$11+1,1))-AVERAGE(OFFSET($H$3,0,0,'Données projet'!$E$11+1,1))</f>
        <v>556.75475431848258</v>
      </c>
      <c r="BJ140" s="60">
        <f t="shared" si="146"/>
        <v>256.77417912163997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3.4106051316484809E-13</v>
      </c>
      <c r="BZ140" s="14">
        <f>BY140*VLOOKUP('Données projet'!$B$12,Paramètres!$A$1:$I$89,3,0)*VLOOKUP('Données projet'!$B$12,Paramètres!$A$1:$I$89,5,0)</f>
        <v>2.5006556825246659E-13</v>
      </c>
      <c r="CA140" s="14">
        <f t="shared" si="147"/>
        <v>3.3765445850268018E-12</v>
      </c>
      <c r="CB140" s="22">
        <f t="shared" si="118"/>
        <v>6.3163460169613921E-12</v>
      </c>
      <c r="CC140" s="60">
        <f t="shared" si="119"/>
        <v>293.33333333333962</v>
      </c>
      <c r="CD140" s="60">
        <f ca="1">AVERAGE(OFFSET($CC$3,0,0,'Données projet'!$E$12+1,1))-AVERAGE(OFFSET($H$3,0,0,'Données projet'!$E$12+1,1))</f>
        <v>290.68086183422963</v>
      </c>
      <c r="CE140" s="60">
        <f t="shared" si="148"/>
        <v>317.88330630101785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1.9895196601282805E-13</v>
      </c>
      <c r="CU140" s="18">
        <f>CT140*VLOOKUP('Données projet'!$B$13,Paramètres!$A$1:$I$89,3,0)*VLOOKUP('Données projet'!$B$13,Paramètres!$A$1:$I$89,5,0)</f>
        <v>1.3035332813160495E-13</v>
      </c>
      <c r="CV140" s="14">
        <f t="shared" si="149"/>
        <v>1.8987770485018903E-12</v>
      </c>
      <c r="CW140" s="22">
        <f t="shared" si="121"/>
        <v>3.5340687393033375E-12</v>
      </c>
      <c r="CX140" s="60">
        <f t="shared" si="122"/>
        <v>293.33333333333684</v>
      </c>
      <c r="CY140" s="60">
        <f ca="1">AVERAGE(OFFSET($CX$3,0,0,'Données projet'!$E$13+1,1))-AVERAGE(OFFSET($H$3,0,0,'Données projet'!$E$13+1,1))</f>
        <v>243.04319555814601</v>
      </c>
      <c r="CZ140" s="60">
        <f t="shared" si="150"/>
        <v>235.68746142880792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201.4732637505823</v>
      </c>
      <c r="DU140" s="60">
        <f t="shared" si="152"/>
        <v>342.06887933351783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0.79364107453294697</v>
      </c>
      <c r="EB140" s="23">
        <f>EXP(-LN(2)/25)*EB139+(1-EXP(-LN(2)/25))/(LN(2)/25)*Calculateur!DW140*Calculateur!DY140*VLOOKUP('Données projet'!$B$14,Paramètres!$A$1:$I$89,3,0)*0.475*44/12</f>
        <v>1.361084526524976</v>
      </c>
      <c r="EC140" s="23">
        <f>EXP(-LN(2)/2)*EC139+(1-EXP(-LN(2)/2))/(LN(2)/2)*DW140*DZ140*VLOOKUP('Données projet'!$B$14,Paramètres!$A$1:$I$89,3,0)*0.475*44/12</f>
        <v>1.0517387622072062E-15</v>
      </c>
      <c r="ED140" s="24">
        <f t="shared" si="126"/>
        <v>2.1547256010579239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-2.0395418687257919E-13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260.01925143568263</v>
      </c>
      <c r="EP140" s="60">
        <f t="shared" si="154"/>
        <v>269.95358755269427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1.7074435814638498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1.7074435814638498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-9.2222762759774927E-14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256.19915261735281</v>
      </c>
      <c r="FK140" s="60">
        <f t="shared" si="156"/>
        <v>297.47246687305056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2.8421709430404007E-14</v>
      </c>
      <c r="GA140" s="18">
        <f>FZ140*VLOOKUP('Données projet'!$B$17,Paramètres!$A$1:$I$89,3,0)*VLOOKUP('Données projet'!$B$17,Paramètres!$A$1:$I$89,5,0)</f>
        <v>1.6257217794191094E-14</v>
      </c>
      <c r="GB140" s="14">
        <f t="shared" si="157"/>
        <v>3.0173973759155586E-13</v>
      </c>
      <c r="GC140" s="22">
        <f t="shared" si="133"/>
        <v>5.538446972968425E-13</v>
      </c>
      <c r="GD140" s="60">
        <f t="shared" si="134"/>
        <v>293.33333333333388</v>
      </c>
      <c r="GE140" s="60">
        <f ca="1">AVERAGE(OFFSET($GD$3,0,0,'Données projet'!$E$17+1,1))-AVERAGE(OFFSET($H$3,0,0,'Données projet'!$E$17+1,1))</f>
        <v>268.71641789629319</v>
      </c>
      <c r="GF140" s="60">
        <f t="shared" si="158"/>
        <v>199.94048514486104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0.1080858331334253</v>
      </c>
      <c r="GN140" s="23">
        <f>EXP(-LN(2)/2)*GN139+(1-EXP(-LN(2)/2))/(LN(2)/2)*GH140*GK140*VLOOKUP('Données projet'!$B$17,Paramètres!$A$1:$I$89,3,0)*0.475*44/12</f>
        <v>5.4762589696684425E-16</v>
      </c>
      <c r="GO140" s="23">
        <f t="shared" si="135"/>
        <v>0.10808583313342585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-2.8421709430404007E-13</v>
      </c>
      <c r="GV140" s="18">
        <f>GU140*VLOOKUP('Données projet'!$B$18,Paramètres!$A$1:$I$89,3,0)*VLOOKUP('Données projet'!$B$18,Paramètres!$A$1:$I$89,5,0)</f>
        <v>-1.69961822393816E-13</v>
      </c>
      <c r="GW140" s="14" t="e">
        <f t="shared" si="159"/>
        <v>#NUM!</v>
      </c>
      <c r="GX140" s="22" t="e">
        <f t="shared" si="136"/>
        <v>#NUM!</v>
      </c>
      <c r="GY140" s="60" t="e">
        <f t="shared" si="137"/>
        <v>#NUM!</v>
      </c>
      <c r="GZ140" s="60">
        <f ca="1">AVERAGE(OFFSET($GY$3,0,0,'Données projet'!$E$18+1,1))-AVERAGE(OFFSET($H$3,0,0,'Données projet'!$E$18+1,1))</f>
        <v>289.12367833861299</v>
      </c>
      <c r="HA140" s="60">
        <f t="shared" si="160"/>
        <v>229.06617320689003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3.2554572417065511E-16</v>
      </c>
      <c r="HJ140" s="24">
        <f t="shared" si="138"/>
        <v>3.2554572417065511E-16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250.08671999999945</v>
      </c>
      <c r="P141" s="14">
        <f t="shared" si="141"/>
        <v>60.604510260305993</v>
      </c>
      <c r="Q141" s="22">
        <f t="shared" si="108"/>
        <v>541.12055937003197</v>
      </c>
      <c r="R141" s="60">
        <f t="shared" si="109"/>
        <v>834.45389270336523</v>
      </c>
      <c r="S141" s="60">
        <f ca="1">AVERAGE(OFFSET($R$3,0,0,'Données projet'!$E$9+1,1))-AVERAGE(OFFSET($H$3,0,0,'Données projet'!$E$9+1,1))</f>
        <v>430.11660085503223</v>
      </c>
      <c r="T141" s="60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1.2710188457276673E-13</v>
      </c>
      <c r="AK141" s="14">
        <f t="shared" si="143"/>
        <v>1.856866851063998E-12</v>
      </c>
      <c r="AL141" s="22">
        <f t="shared" si="112"/>
        <v>3.4554122145673649E-12</v>
      </c>
      <c r="AM141" s="60">
        <f t="shared" si="113"/>
        <v>293.33333333333678</v>
      </c>
      <c r="AN141" s="60">
        <f ca="1">AVERAGE(OFFSET($AM$3,0,0,'Données projet'!$E$10+1,1))-AVERAGE(OFFSET($H$3,0,0,'Données projet'!$E$10+1,1))</f>
        <v>323.98185264074681</v>
      </c>
      <c r="AO141" s="60">
        <f t="shared" si="144"/>
        <v>301.22207291854005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0.52561560729957635</v>
      </c>
      <c r="AV141" s="23">
        <f>EXP(-LN(2)/25)*AV140+(1-EXP(-LN(2)/25))/(LN(2)/25)*Calculateur!AQ141*Calculateur!AS141*VLOOKUP('Données projet'!$B$10,Paramètres!$A$1:$I$89,3,0)*0.475*44/12</f>
        <v>0.41291645712039343</v>
      </c>
      <c r="AW141" s="23">
        <f>EXP(-LN(2)/2)*AW140+(1-EXP(-LN(2)/2))/(LN(2)/2)*AQ141*AT141*VLOOKUP('Données projet'!$B$10,Paramètres!$A$1:$I$89,3,0)*0.475*44/12</f>
        <v>3.3794118501451313E-16</v>
      </c>
      <c r="AX141" s="23">
        <f t="shared" si="114"/>
        <v>0.93853206441997006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4.1333333333333337</v>
      </c>
      <c r="BD141" s="13">
        <f>IF('Données projet'!$A$88&gt;35,BD140+BC141-BL140,IF(A141&lt;'Données projet'!$A$88,$BA$205^A141,IF(A141='Données projet'!$A$88,'Données projet'!$B$88,BD140+BC141-BL140)))</f>
        <v>436.39999999999975</v>
      </c>
      <c r="BE141" s="14">
        <f>BD141*VLOOKUP('Données projet'!$B$11,Paramètres!$A$1:$I$89,3,0)*VLOOKUP('Données projet'!$B$11,Paramètres!$A$1:$I$89,5,0)</f>
        <v>374.43119999999982</v>
      </c>
      <c r="BF141" s="14">
        <f t="shared" si="145"/>
        <v>86.573223872232774</v>
      </c>
      <c r="BG141" s="22">
        <f t="shared" si="115"/>
        <v>802.91603824413835</v>
      </c>
      <c r="BH141" s="60">
        <f t="shared" si="116"/>
        <v>1096.2493715774717</v>
      </c>
      <c r="BI141" s="60">
        <f ca="1">AVERAGE(OFFSET($BH$3,0,0,'Données projet'!$E$11+1,1))-AVERAGE(OFFSET($H$3,0,0,'Données projet'!$E$11+1,1))</f>
        <v>556.75475431848258</v>
      </c>
      <c r="BJ141" s="60">
        <f t="shared" si="146"/>
        <v>256.77417912163997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3.4106051316484809E-13</v>
      </c>
      <c r="BZ141" s="14">
        <f>BY141*VLOOKUP('Données projet'!$B$12,Paramètres!$A$1:$I$89,3,0)*VLOOKUP('Données projet'!$B$12,Paramètres!$A$1:$I$89,5,0)</f>
        <v>2.5006556825246659E-13</v>
      </c>
      <c r="CA141" s="14">
        <f t="shared" si="147"/>
        <v>3.3765445850268018E-12</v>
      </c>
      <c r="CB141" s="22">
        <f t="shared" si="118"/>
        <v>6.3163460169613921E-12</v>
      </c>
      <c r="CC141" s="60">
        <f t="shared" si="119"/>
        <v>293.33333333333962</v>
      </c>
      <c r="CD141" s="60">
        <f ca="1">AVERAGE(OFFSET($CC$3,0,0,'Données projet'!$E$12+1,1))-AVERAGE(OFFSET($H$3,0,0,'Données projet'!$E$12+1,1))</f>
        <v>290.68086183422963</v>
      </c>
      <c r="CE141" s="60">
        <f t="shared" si="148"/>
        <v>317.88330630101785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1.9895196601282805E-13</v>
      </c>
      <c r="CU141" s="18">
        <f>CT141*VLOOKUP('Données projet'!$B$13,Paramètres!$A$1:$I$89,3,0)*VLOOKUP('Données projet'!$B$13,Paramètres!$A$1:$I$89,5,0)</f>
        <v>1.3035332813160495E-13</v>
      </c>
      <c r="CV141" s="14">
        <f t="shared" si="149"/>
        <v>1.8987770485018903E-12</v>
      </c>
      <c r="CW141" s="22">
        <f t="shared" si="121"/>
        <v>3.5340687393033375E-12</v>
      </c>
      <c r="CX141" s="60">
        <f t="shared" si="122"/>
        <v>293.33333333333684</v>
      </c>
      <c r="CY141" s="60">
        <f ca="1">AVERAGE(OFFSET($CX$3,0,0,'Données projet'!$E$13+1,1))-AVERAGE(OFFSET($H$3,0,0,'Données projet'!$E$13+1,1))</f>
        <v>243.04319555814601</v>
      </c>
      <c r="CZ141" s="60">
        <f t="shared" si="150"/>
        <v>235.68746142880792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201.4732637505823</v>
      </c>
      <c r="DU141" s="60">
        <f t="shared" si="152"/>
        <v>342.06887933351783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0.77807825713461309</v>
      </c>
      <c r="EB141" s="23">
        <f>EXP(-LN(2)/25)*EB140+(1-EXP(-LN(2)/25))/(LN(2)/25)*Calculateur!DW141*Calculateur!DY141*VLOOKUP('Données projet'!$B$14,Paramètres!$A$1:$I$89,3,0)*0.475*44/12</f>
        <v>1.3238655985708261</v>
      </c>
      <c r="EC141" s="23">
        <f>EXP(-LN(2)/2)*EC140+(1-EXP(-LN(2)/2))/(LN(2)/2)*DW141*DZ141*VLOOKUP('Données projet'!$B$14,Paramètres!$A$1:$I$89,3,0)*0.475*44/12</f>
        <v>7.4369161079346131E-16</v>
      </c>
      <c r="ED141" s="24">
        <f t="shared" si="126"/>
        <v>2.1019438557054402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-2.0395418687257919E-13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260.01925143568263</v>
      </c>
      <c r="EP141" s="60">
        <f t="shared" si="154"/>
        <v>269.95358755269427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1.6739616542690949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1.6739616542690949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-9.2222762759774927E-14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256.19915261735281</v>
      </c>
      <c r="FK141" s="60">
        <f t="shared" si="156"/>
        <v>297.47246687305056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2.8421709430404007E-14</v>
      </c>
      <c r="GA141" s="18">
        <f>FZ141*VLOOKUP('Données projet'!$B$17,Paramètres!$A$1:$I$89,3,0)*VLOOKUP('Données projet'!$B$17,Paramètres!$A$1:$I$89,5,0)</f>
        <v>1.6257217794191094E-14</v>
      </c>
      <c r="GB141" s="14">
        <f t="shared" si="157"/>
        <v>3.0173973759155586E-13</v>
      </c>
      <c r="GC141" s="22">
        <f t="shared" si="133"/>
        <v>5.538446972968425E-13</v>
      </c>
      <c r="GD141" s="60">
        <f t="shared" si="134"/>
        <v>293.33333333333388</v>
      </c>
      <c r="GE141" s="60">
        <f ca="1">AVERAGE(OFFSET($GD$3,0,0,'Données projet'!$E$17+1,1))-AVERAGE(OFFSET($H$3,0,0,'Données projet'!$E$17+1,1))</f>
        <v>268.71641789629319</v>
      </c>
      <c r="GF141" s="60">
        <f t="shared" si="158"/>
        <v>199.94048514486104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0.10513022034240486</v>
      </c>
      <c r="GN141" s="23">
        <f>EXP(-LN(2)/2)*GN140+(1-EXP(-LN(2)/2))/(LN(2)/2)*GH141*GK141*VLOOKUP('Données projet'!$B$17,Paramètres!$A$1:$I$89,3,0)*0.475*44/12</f>
        <v>3.8722998529862116E-16</v>
      </c>
      <c r="GO141" s="23">
        <f t="shared" si="135"/>
        <v>0.10513022034240525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-2.8421709430404007E-13</v>
      </c>
      <c r="GV141" s="18">
        <f>GU141*VLOOKUP('Données projet'!$B$18,Paramètres!$A$1:$I$89,3,0)*VLOOKUP('Données projet'!$B$18,Paramètres!$A$1:$I$89,5,0)</f>
        <v>-1.69961822393816E-13</v>
      </c>
      <c r="GW141" s="14" t="e">
        <f t="shared" si="159"/>
        <v>#NUM!</v>
      </c>
      <c r="GX141" s="22" t="e">
        <f t="shared" si="136"/>
        <v>#NUM!</v>
      </c>
      <c r="GY141" s="60" t="e">
        <f t="shared" si="137"/>
        <v>#NUM!</v>
      </c>
      <c r="GZ141" s="60">
        <f ca="1">AVERAGE(OFFSET($GY$3,0,0,'Données projet'!$E$18+1,1))-AVERAGE(OFFSET($H$3,0,0,'Données projet'!$E$18+1,1))</f>
        <v>289.12367833861299</v>
      </c>
      <c r="HA141" s="60">
        <f t="shared" si="160"/>
        <v>229.06617320689003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2.3019558914735558E-16</v>
      </c>
      <c r="HJ141" s="24">
        <f t="shared" si="138"/>
        <v>2.3019558914735558E-16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252.31855999999945</v>
      </c>
      <c r="P142" s="14">
        <f t="shared" si="141"/>
        <v>61.082158517893006</v>
      </c>
      <c r="Q142" s="22">
        <f t="shared" si="108"/>
        <v>545.83958475199609</v>
      </c>
      <c r="R142" s="60">
        <f t="shared" si="109"/>
        <v>839.17291808532946</v>
      </c>
      <c r="S142" s="60">
        <f ca="1">AVERAGE(OFFSET($R$3,0,0,'Données projet'!$E$9+1,1))-AVERAGE(OFFSET($H$3,0,0,'Données projet'!$E$9+1,1))</f>
        <v>430.11660085503223</v>
      </c>
      <c r="T142" s="60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1.2710188457276673E-13</v>
      </c>
      <c r="AK142" s="14">
        <f t="shared" si="143"/>
        <v>1.856866851063998E-12</v>
      </c>
      <c r="AL142" s="22">
        <f t="shared" si="112"/>
        <v>3.4554122145673649E-12</v>
      </c>
      <c r="AM142" s="60">
        <f t="shared" si="113"/>
        <v>293.33333333333678</v>
      </c>
      <c r="AN142" s="60">
        <f ca="1">AVERAGE(OFFSET($AM$3,0,0,'Données projet'!$E$10+1,1))-AVERAGE(OFFSET($H$3,0,0,'Données projet'!$E$10+1,1))</f>
        <v>323.98185264074681</v>
      </c>
      <c r="AO142" s="60">
        <f t="shared" si="144"/>
        <v>301.22207291854005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0.51530860583429605</v>
      </c>
      <c r="AV142" s="23">
        <f>EXP(-LN(2)/25)*AV141+(1-EXP(-LN(2)/25))/(LN(2)/25)*Calculateur!AQ142*Calculateur!AS142*VLOOKUP('Données projet'!$B$10,Paramètres!$A$1:$I$89,3,0)*0.475*44/12</f>
        <v>0.40162523488610352</v>
      </c>
      <c r="AW142" s="23">
        <f>EXP(-LN(2)/2)*AW141+(1-EXP(-LN(2)/2))/(LN(2)/2)*AQ142*AT142*VLOOKUP('Données projet'!$B$10,Paramètres!$A$1:$I$89,3,0)*0.475*44/12</f>
        <v>2.389605035659799E-16</v>
      </c>
      <c r="AX142" s="23">
        <f t="shared" si="114"/>
        <v>0.91693384072039974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4.1333333333333337</v>
      </c>
      <c r="BD142" s="13">
        <f>IF('Données projet'!$A$88&gt;35,BD141+BC142-BL141,IF(A142&lt;'Données projet'!$A$88,$BA$205^A142,IF(A142='Données projet'!$A$88,'Données projet'!$B$88,BD141+BC142-BL141)))</f>
        <v>440.53333333333308</v>
      </c>
      <c r="BE142" s="14">
        <f>BD142*VLOOKUP('Données projet'!$B$11,Paramètres!$A$1:$I$89,3,0)*VLOOKUP('Données projet'!$B$11,Paramètres!$A$1:$I$89,5,0)</f>
        <v>377.97759999999982</v>
      </c>
      <c r="BF142" s="14">
        <f t="shared" si="145"/>
        <v>87.297353572993984</v>
      </c>
      <c r="BG142" s="22">
        <f t="shared" si="115"/>
        <v>810.35387747296409</v>
      </c>
      <c r="BH142" s="60">
        <f t="shared" si="116"/>
        <v>1103.6872108062973</v>
      </c>
      <c r="BI142" s="60">
        <f ca="1">AVERAGE(OFFSET($BH$3,0,0,'Données projet'!$E$11+1,1))-AVERAGE(OFFSET($H$3,0,0,'Données projet'!$E$11+1,1))</f>
        <v>556.75475431848258</v>
      </c>
      <c r="BJ142" s="60">
        <f t="shared" si="146"/>
        <v>256.77417912163997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3.4106051316484809E-13</v>
      </c>
      <c r="BZ142" s="14">
        <f>BY142*VLOOKUP('Données projet'!$B$12,Paramètres!$A$1:$I$89,3,0)*VLOOKUP('Données projet'!$B$12,Paramètres!$A$1:$I$89,5,0)</f>
        <v>2.5006556825246659E-13</v>
      </c>
      <c r="CA142" s="14">
        <f t="shared" si="147"/>
        <v>3.3765445850268018E-12</v>
      </c>
      <c r="CB142" s="22">
        <f t="shared" si="118"/>
        <v>6.3163460169613921E-12</v>
      </c>
      <c r="CC142" s="60">
        <f t="shared" si="119"/>
        <v>293.33333333333962</v>
      </c>
      <c r="CD142" s="60">
        <f ca="1">AVERAGE(OFFSET($CC$3,0,0,'Données projet'!$E$12+1,1))-AVERAGE(OFFSET($H$3,0,0,'Données projet'!$E$12+1,1))</f>
        <v>290.68086183422963</v>
      </c>
      <c r="CE142" s="60">
        <f t="shared" si="148"/>
        <v>317.88330630101785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1.9895196601282805E-13</v>
      </c>
      <c r="CU142" s="18">
        <f>CT142*VLOOKUP('Données projet'!$B$13,Paramètres!$A$1:$I$89,3,0)*VLOOKUP('Données projet'!$B$13,Paramètres!$A$1:$I$89,5,0)</f>
        <v>1.3035332813160495E-13</v>
      </c>
      <c r="CV142" s="14">
        <f t="shared" si="149"/>
        <v>1.8987770485018903E-12</v>
      </c>
      <c r="CW142" s="22">
        <f t="shared" si="121"/>
        <v>3.5340687393033375E-12</v>
      </c>
      <c r="CX142" s="60">
        <f t="shared" si="122"/>
        <v>293.33333333333684</v>
      </c>
      <c r="CY142" s="60">
        <f ca="1">AVERAGE(OFFSET($CX$3,0,0,'Données projet'!$E$13+1,1))-AVERAGE(OFFSET($H$3,0,0,'Données projet'!$E$13+1,1))</f>
        <v>243.04319555814601</v>
      </c>
      <c r="CZ142" s="60">
        <f t="shared" si="150"/>
        <v>235.68746142880792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201.4732637505823</v>
      </c>
      <c r="DU142" s="60">
        <f t="shared" si="152"/>
        <v>342.06887933351783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0.76282061709307925</v>
      </c>
      <c r="EB142" s="23">
        <f>EXP(-LN(2)/25)*EB141+(1-EXP(-LN(2)/25))/(LN(2)/25)*Calculateur!DW142*Calculateur!DY142*VLOOKUP('Données projet'!$B$14,Paramètres!$A$1:$I$89,3,0)*0.475*44/12</f>
        <v>1.2876644241588409</v>
      </c>
      <c r="EC142" s="23">
        <f>EXP(-LN(2)/2)*EC141+(1-EXP(-LN(2)/2))/(LN(2)/2)*DW142*DZ142*VLOOKUP('Données projet'!$B$14,Paramètres!$A$1:$I$89,3,0)*0.475*44/12</f>
        <v>5.2586938110360311E-16</v>
      </c>
      <c r="ED142" s="24">
        <f t="shared" si="126"/>
        <v>2.0504850412519207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-2.0395418687257919E-13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260.01925143568263</v>
      </c>
      <c r="EP142" s="60">
        <f t="shared" si="154"/>
        <v>269.95358755269427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1.6411362872446702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1.6411362872446702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-9.2222762759774927E-14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256.19915261735281</v>
      </c>
      <c r="FK142" s="60">
        <f t="shared" si="156"/>
        <v>297.47246687305056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2.8421709430404007E-14</v>
      </c>
      <c r="GA142" s="18">
        <f>FZ142*VLOOKUP('Données projet'!$B$17,Paramètres!$A$1:$I$89,3,0)*VLOOKUP('Données projet'!$B$17,Paramètres!$A$1:$I$89,5,0)</f>
        <v>1.6257217794191094E-14</v>
      </c>
      <c r="GB142" s="14">
        <f t="shared" si="157"/>
        <v>3.0173973759155586E-13</v>
      </c>
      <c r="GC142" s="22">
        <f t="shared" si="133"/>
        <v>5.538446972968425E-13</v>
      </c>
      <c r="GD142" s="60">
        <f t="shared" si="134"/>
        <v>293.33333333333388</v>
      </c>
      <c r="GE142" s="60">
        <f ca="1">AVERAGE(OFFSET($GD$3,0,0,'Données projet'!$E$17+1,1))-AVERAGE(OFFSET($H$3,0,0,'Données projet'!$E$17+1,1))</f>
        <v>268.71641789629319</v>
      </c>
      <c r="GF142" s="60">
        <f t="shared" si="158"/>
        <v>199.94048514486104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0.10225542893858379</v>
      </c>
      <c r="GN142" s="23">
        <f>EXP(-LN(2)/2)*GN141+(1-EXP(-LN(2)/2))/(LN(2)/2)*GH142*GK142*VLOOKUP('Données projet'!$B$17,Paramètres!$A$1:$I$89,3,0)*0.475*44/12</f>
        <v>2.7381294848342213E-16</v>
      </c>
      <c r="GO142" s="23">
        <f t="shared" si="135"/>
        <v>0.10225542893858407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-2.8421709430404007E-13</v>
      </c>
      <c r="GV142" s="18">
        <f>GU142*VLOOKUP('Données projet'!$B$18,Paramètres!$A$1:$I$89,3,0)*VLOOKUP('Données projet'!$B$18,Paramètres!$A$1:$I$89,5,0)</f>
        <v>-1.69961822393816E-13</v>
      </c>
      <c r="GW142" s="14" t="e">
        <f t="shared" si="159"/>
        <v>#NUM!</v>
      </c>
      <c r="GX142" s="22" t="e">
        <f t="shared" si="136"/>
        <v>#NUM!</v>
      </c>
      <c r="GY142" s="60" t="e">
        <f t="shared" si="137"/>
        <v>#NUM!</v>
      </c>
      <c r="GZ142" s="60">
        <f ca="1">AVERAGE(OFFSET($GY$3,0,0,'Données projet'!$E$18+1,1))-AVERAGE(OFFSET($H$3,0,0,'Données projet'!$E$18+1,1))</f>
        <v>289.12367833861299</v>
      </c>
      <c r="HA142" s="60">
        <f t="shared" si="160"/>
        <v>229.06617320689003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1.6277286208532756E-16</v>
      </c>
      <c r="HJ142" s="24">
        <f t="shared" si="138"/>
        <v>1.6277286208532756E-16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254.5503999999994</v>
      </c>
      <c r="P143" s="14">
        <f t="shared" si="141"/>
        <v>61.559315237055863</v>
      </c>
      <c r="Q143" s="22">
        <f t="shared" si="108"/>
        <v>550.55775403787118</v>
      </c>
      <c r="R143" s="60">
        <f t="shared" si="109"/>
        <v>843.89108737120455</v>
      </c>
      <c r="S143" s="60">
        <f ca="1">AVERAGE(OFFSET($R$3,0,0,'Données projet'!$E$9+1,1))-AVERAGE(OFFSET($H$3,0,0,'Données projet'!$E$9+1,1))</f>
        <v>430.11660085503223</v>
      </c>
      <c r="T143" s="60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1.2710188457276673E-13</v>
      </c>
      <c r="AK143" s="14">
        <f t="shared" si="143"/>
        <v>1.856866851063998E-12</v>
      </c>
      <c r="AL143" s="22">
        <f t="shared" si="112"/>
        <v>3.4554122145673649E-12</v>
      </c>
      <c r="AM143" s="60">
        <f t="shared" si="113"/>
        <v>293.33333333333678</v>
      </c>
      <c r="AN143" s="60">
        <f ca="1">AVERAGE(OFFSET($AM$3,0,0,'Données projet'!$E$10+1,1))-AVERAGE(OFFSET($H$3,0,0,'Données projet'!$E$10+1,1))</f>
        <v>323.98185264074681</v>
      </c>
      <c r="AO143" s="60">
        <f t="shared" si="144"/>
        <v>301.22207291854005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0.50520371838109979</v>
      </c>
      <c r="AV143" s="23">
        <f>EXP(-LN(2)/25)*AV142+(1-EXP(-LN(2)/25))/(LN(2)/25)*Calculateur!AQ143*Calculateur!AS143*VLOOKUP('Données projet'!$B$10,Paramètres!$A$1:$I$89,3,0)*0.475*44/12</f>
        <v>0.39064277171758982</v>
      </c>
      <c r="AW143" s="23">
        <f>EXP(-LN(2)/2)*AW142+(1-EXP(-LN(2)/2))/(LN(2)/2)*AQ143*AT143*VLOOKUP('Données projet'!$B$10,Paramètres!$A$1:$I$89,3,0)*0.475*44/12</f>
        <v>1.6897059250725656E-16</v>
      </c>
      <c r="AX143" s="23">
        <f t="shared" si="114"/>
        <v>0.89584649009868977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4.1333333333333337</v>
      </c>
      <c r="BD143" s="13">
        <f>IF('Données projet'!$A$88&gt;35,BD142+BC143-BL142,IF(A143&lt;'Données projet'!$A$88,$BA$205^A143,IF(A143='Données projet'!$A$88,'Données projet'!$B$88,BD142+BC143-BL142)))</f>
        <v>444.6666666666664</v>
      </c>
      <c r="BE143" s="14">
        <f>BD143*VLOOKUP('Données projet'!$B$11,Paramètres!$A$1:$I$89,3,0)*VLOOKUP('Données projet'!$B$11,Paramètres!$A$1:$I$89,5,0)</f>
        <v>381.52399999999983</v>
      </c>
      <c r="BF143" s="14">
        <f t="shared" si="145"/>
        <v>88.020692848871292</v>
      </c>
      <c r="BG143" s="22">
        <f t="shared" si="115"/>
        <v>817.7903400451172</v>
      </c>
      <c r="BH143" s="60">
        <f t="shared" si="116"/>
        <v>1111.1236733784506</v>
      </c>
      <c r="BI143" s="60">
        <f ca="1">AVERAGE(OFFSET($BH$3,0,0,'Données projet'!$E$11+1,1))-AVERAGE(OFFSET($H$3,0,0,'Données projet'!$E$11+1,1))</f>
        <v>556.75475431848258</v>
      </c>
      <c r="BJ143" s="60">
        <f t="shared" si="146"/>
        <v>256.77417912163997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3.4106051316484809E-13</v>
      </c>
      <c r="BZ143" s="14">
        <f>BY143*VLOOKUP('Données projet'!$B$12,Paramètres!$A$1:$I$89,3,0)*VLOOKUP('Données projet'!$B$12,Paramètres!$A$1:$I$89,5,0)</f>
        <v>2.5006556825246659E-13</v>
      </c>
      <c r="CA143" s="14">
        <f t="shared" si="147"/>
        <v>3.3765445850268018E-12</v>
      </c>
      <c r="CB143" s="22">
        <f t="shared" si="118"/>
        <v>6.3163460169613921E-12</v>
      </c>
      <c r="CC143" s="60">
        <f t="shared" si="119"/>
        <v>293.33333333333962</v>
      </c>
      <c r="CD143" s="60">
        <f ca="1">AVERAGE(OFFSET($CC$3,0,0,'Données projet'!$E$12+1,1))-AVERAGE(OFFSET($H$3,0,0,'Données projet'!$E$12+1,1))</f>
        <v>290.68086183422963</v>
      </c>
      <c r="CE143" s="60">
        <f t="shared" si="148"/>
        <v>317.88330630101785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1.9895196601282805E-13</v>
      </c>
      <c r="CU143" s="18">
        <f>CT143*VLOOKUP('Données projet'!$B$13,Paramètres!$A$1:$I$89,3,0)*VLOOKUP('Données projet'!$B$13,Paramètres!$A$1:$I$89,5,0)</f>
        <v>1.3035332813160495E-13</v>
      </c>
      <c r="CV143" s="14">
        <f t="shared" si="149"/>
        <v>1.8987770485018903E-12</v>
      </c>
      <c r="CW143" s="22">
        <f t="shared" si="121"/>
        <v>3.5340687393033375E-12</v>
      </c>
      <c r="CX143" s="60">
        <f t="shared" si="122"/>
        <v>293.33333333333684</v>
      </c>
      <c r="CY143" s="60">
        <f ca="1">AVERAGE(OFFSET($CX$3,0,0,'Données projet'!$E$13+1,1))-AVERAGE(OFFSET($H$3,0,0,'Données projet'!$E$13+1,1))</f>
        <v>243.04319555814601</v>
      </c>
      <c r="CZ143" s="60">
        <f t="shared" si="150"/>
        <v>235.68746142880792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201.4732637505823</v>
      </c>
      <c r="DU143" s="60">
        <f t="shared" si="152"/>
        <v>342.06887933351783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0.74786217006651834</v>
      </c>
      <c r="EB143" s="23">
        <f>EXP(-LN(2)/25)*EB142+(1-EXP(-LN(2)/25))/(LN(2)/25)*Calculateur!DW143*Calculateur!DY143*VLOOKUP('Données projet'!$B$14,Paramètres!$A$1:$I$89,3,0)*0.475*44/12</f>
        <v>1.2524531727648882</v>
      </c>
      <c r="EC143" s="23">
        <f>EXP(-LN(2)/2)*EC142+(1-EXP(-LN(2)/2))/(LN(2)/2)*DW143*DZ143*VLOOKUP('Données projet'!$B$14,Paramètres!$A$1:$I$89,3,0)*0.475*44/12</f>
        <v>3.7184580539673066E-16</v>
      </c>
      <c r="ED143" s="24">
        <f t="shared" si="126"/>
        <v>2.0003153428314069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-2.0395418687257919E-13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260.01925143568263</v>
      </c>
      <c r="EP143" s="60">
        <f t="shared" si="154"/>
        <v>269.95358755269427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1.6089546056460975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1.6089546056460975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-9.2222762759774927E-14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256.19915261735281</v>
      </c>
      <c r="FK143" s="60">
        <f t="shared" si="156"/>
        <v>297.47246687305056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2.8421709430404007E-14</v>
      </c>
      <c r="GA143" s="18">
        <f>FZ143*VLOOKUP('Données projet'!$B$17,Paramètres!$A$1:$I$89,3,0)*VLOOKUP('Données projet'!$B$17,Paramètres!$A$1:$I$89,5,0)</f>
        <v>1.6257217794191094E-14</v>
      </c>
      <c r="GB143" s="14">
        <f t="shared" si="157"/>
        <v>3.0173973759155586E-13</v>
      </c>
      <c r="GC143" s="22">
        <f t="shared" si="133"/>
        <v>5.538446972968425E-13</v>
      </c>
      <c r="GD143" s="60">
        <f t="shared" si="134"/>
        <v>293.33333333333388</v>
      </c>
      <c r="GE143" s="60">
        <f ca="1">AVERAGE(OFFSET($GD$3,0,0,'Données projet'!$E$17+1,1))-AVERAGE(OFFSET($H$3,0,0,'Données projet'!$E$17+1,1))</f>
        <v>268.71641789629319</v>
      </c>
      <c r="GF143" s="60">
        <f t="shared" si="158"/>
        <v>199.94048514486104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9.9459248856878915E-2</v>
      </c>
      <c r="GN143" s="23">
        <f>EXP(-LN(2)/2)*GN142+(1-EXP(-LN(2)/2))/(LN(2)/2)*GH143*GK143*VLOOKUP('Données projet'!$B$17,Paramètres!$A$1:$I$89,3,0)*0.475*44/12</f>
        <v>1.9361499264931058E-16</v>
      </c>
      <c r="GO143" s="23">
        <f t="shared" si="135"/>
        <v>9.9459248856879109E-2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-2.8421709430404007E-13</v>
      </c>
      <c r="GV143" s="18">
        <f>GU143*VLOOKUP('Données projet'!$B$18,Paramètres!$A$1:$I$89,3,0)*VLOOKUP('Données projet'!$B$18,Paramètres!$A$1:$I$89,5,0)</f>
        <v>-1.69961822393816E-13</v>
      </c>
      <c r="GW143" s="14" t="e">
        <f t="shared" si="159"/>
        <v>#NUM!</v>
      </c>
      <c r="GX143" s="22" t="e">
        <f t="shared" si="136"/>
        <v>#NUM!</v>
      </c>
      <c r="GY143" s="60" t="e">
        <f t="shared" si="137"/>
        <v>#NUM!</v>
      </c>
      <c r="GZ143" s="60">
        <f ca="1">AVERAGE(OFFSET($GY$3,0,0,'Données projet'!$E$18+1,1))-AVERAGE(OFFSET($H$3,0,0,'Données projet'!$E$18+1,1))</f>
        <v>289.12367833861299</v>
      </c>
      <c r="HA143" s="60">
        <f t="shared" si="160"/>
        <v>229.06617320689003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1.1509779457367779E-16</v>
      </c>
      <c r="HJ143" s="24">
        <f t="shared" si="138"/>
        <v>1.1509779457367779E-16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256.78223999999938</v>
      </c>
      <c r="P144" s="14">
        <f t="shared" si="141"/>
        <v>62.035985226809906</v>
      </c>
      <c r="Q144" s="22">
        <f t="shared" si="108"/>
        <v>555.27507560335937</v>
      </c>
      <c r="R144" s="60">
        <f t="shared" si="109"/>
        <v>848.60840893669274</v>
      </c>
      <c r="S144" s="60">
        <f ca="1">AVERAGE(OFFSET($R$3,0,0,'Données projet'!$E$9+1,1))-AVERAGE(OFFSET($H$3,0,0,'Données projet'!$E$9+1,1))</f>
        <v>430.11660085503223</v>
      </c>
      <c r="T144" s="60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1.2710188457276673E-13</v>
      </c>
      <c r="AK144" s="14">
        <f t="shared" si="143"/>
        <v>1.856866851063998E-12</v>
      </c>
      <c r="AL144" s="22">
        <f t="shared" si="112"/>
        <v>3.4554122145673649E-12</v>
      </c>
      <c r="AM144" s="60">
        <f t="shared" si="113"/>
        <v>293.33333333333678</v>
      </c>
      <c r="AN144" s="60">
        <f ca="1">AVERAGE(OFFSET($AM$3,0,0,'Données projet'!$E$10+1,1))-AVERAGE(OFFSET($H$3,0,0,'Données projet'!$E$10+1,1))</f>
        <v>323.98185264074681</v>
      </c>
      <c r="AO144" s="60">
        <f t="shared" si="144"/>
        <v>301.22207291854005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0.49529698160748797</v>
      </c>
      <c r="AV144" s="23">
        <f>EXP(-LN(2)/25)*AV143+(1-EXP(-LN(2)/25))/(LN(2)/25)*Calculateur!AQ144*Calculateur!AS144*VLOOKUP('Données projet'!$B$10,Paramètres!$A$1:$I$89,3,0)*0.475*44/12</f>
        <v>0.37996062458196178</v>
      </c>
      <c r="AW144" s="23">
        <f>EXP(-LN(2)/2)*AW143+(1-EXP(-LN(2)/2))/(LN(2)/2)*AQ144*AT144*VLOOKUP('Données projet'!$B$10,Paramètres!$A$1:$I$89,3,0)*0.475*44/12</f>
        <v>1.1948025178298995E-16</v>
      </c>
      <c r="AX144" s="23">
        <f t="shared" si="114"/>
        <v>0.87525760618944981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4.1333333333333337</v>
      </c>
      <c r="BD144" s="13">
        <f>IF('Données projet'!$A$88&gt;35,BD143+BC144-BL143,IF(A144&lt;'Données projet'!$A$88,$BA$205^A144,IF(A144='Données projet'!$A$88,'Données projet'!$B$88,BD143+BC144-BL143)))</f>
        <v>448.79999999999973</v>
      </c>
      <c r="BE144" s="14">
        <f>BD144*VLOOKUP('Données projet'!$B$11,Paramètres!$A$1:$I$89,3,0)*VLOOKUP('Données projet'!$B$11,Paramètres!$A$1:$I$89,5,0)</f>
        <v>385.07039999999978</v>
      </c>
      <c r="BF144" s="14">
        <f t="shared" si="145"/>
        <v>88.743249898166994</v>
      </c>
      <c r="BG144" s="22">
        <f t="shared" si="115"/>
        <v>825.2254402393072</v>
      </c>
      <c r="BH144" s="60">
        <f t="shared" si="116"/>
        <v>1118.5587735726406</v>
      </c>
      <c r="BI144" s="60">
        <f ca="1">AVERAGE(OFFSET($BH$3,0,0,'Données projet'!$E$11+1,1))-AVERAGE(OFFSET($H$3,0,0,'Données projet'!$E$11+1,1))</f>
        <v>556.75475431848258</v>
      </c>
      <c r="BJ144" s="60">
        <f t="shared" si="146"/>
        <v>256.77417912163997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3.4106051316484809E-13</v>
      </c>
      <c r="BZ144" s="14">
        <f>BY144*VLOOKUP('Données projet'!$B$12,Paramètres!$A$1:$I$89,3,0)*VLOOKUP('Données projet'!$B$12,Paramètres!$A$1:$I$89,5,0)</f>
        <v>2.5006556825246659E-13</v>
      </c>
      <c r="CA144" s="14">
        <f t="shared" si="147"/>
        <v>3.3765445850268018E-12</v>
      </c>
      <c r="CB144" s="22">
        <f t="shared" si="118"/>
        <v>6.3163460169613921E-12</v>
      </c>
      <c r="CC144" s="60">
        <f t="shared" si="119"/>
        <v>293.33333333333962</v>
      </c>
      <c r="CD144" s="60">
        <f ca="1">AVERAGE(OFFSET($CC$3,0,0,'Données projet'!$E$12+1,1))-AVERAGE(OFFSET($H$3,0,0,'Données projet'!$E$12+1,1))</f>
        <v>290.68086183422963</v>
      </c>
      <c r="CE144" s="60">
        <f t="shared" si="148"/>
        <v>317.88330630101785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1.9895196601282805E-13</v>
      </c>
      <c r="CU144" s="18">
        <f>CT144*VLOOKUP('Données projet'!$B$13,Paramètres!$A$1:$I$89,3,0)*VLOOKUP('Données projet'!$B$13,Paramètres!$A$1:$I$89,5,0)</f>
        <v>1.3035332813160495E-13</v>
      </c>
      <c r="CV144" s="14">
        <f t="shared" si="149"/>
        <v>1.8987770485018903E-12</v>
      </c>
      <c r="CW144" s="22">
        <f t="shared" si="121"/>
        <v>3.5340687393033375E-12</v>
      </c>
      <c r="CX144" s="60">
        <f t="shared" si="122"/>
        <v>293.33333333333684</v>
      </c>
      <c r="CY144" s="60">
        <f ca="1">AVERAGE(OFFSET($CX$3,0,0,'Données projet'!$E$13+1,1))-AVERAGE(OFFSET($H$3,0,0,'Données projet'!$E$13+1,1))</f>
        <v>243.04319555814601</v>
      </c>
      <c r="CZ144" s="60">
        <f t="shared" si="150"/>
        <v>235.68746142880792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201.4732637505823</v>
      </c>
      <c r="DU144" s="60">
        <f t="shared" si="152"/>
        <v>342.06887933351783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0.73319704906239647</v>
      </c>
      <c r="EB144" s="23">
        <f>EXP(-LN(2)/25)*EB143+(1-EXP(-LN(2)/25))/(LN(2)/25)*Calculateur!DW144*Calculateur!DY144*VLOOKUP('Données projet'!$B$14,Paramètres!$A$1:$I$89,3,0)*0.475*44/12</f>
        <v>1.2182047748919824</v>
      </c>
      <c r="EC144" s="23">
        <f>EXP(-LN(2)/2)*EC143+(1-EXP(-LN(2)/2))/(LN(2)/2)*DW144*DZ144*VLOOKUP('Données projet'!$B$14,Paramètres!$A$1:$I$89,3,0)*0.475*44/12</f>
        <v>2.6293469055180156E-16</v>
      </c>
      <c r="ED144" s="24">
        <f t="shared" si="126"/>
        <v>1.9514018239543791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-2.0395418687257919E-13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260.01925143568263</v>
      </c>
      <c r="EP144" s="60">
        <f t="shared" si="154"/>
        <v>269.95358755269427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1.5774039871947851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1.5774039871947851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-9.2222762759774927E-14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256.19915261735281</v>
      </c>
      <c r="FK144" s="60">
        <f t="shared" si="156"/>
        <v>297.47246687305056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2.8421709430404007E-14</v>
      </c>
      <c r="GA144" s="18">
        <f>FZ144*VLOOKUP('Données projet'!$B$17,Paramètres!$A$1:$I$89,3,0)*VLOOKUP('Données projet'!$B$17,Paramètres!$A$1:$I$89,5,0)</f>
        <v>1.6257217794191094E-14</v>
      </c>
      <c r="GB144" s="14">
        <f t="shared" si="157"/>
        <v>3.0173973759155586E-13</v>
      </c>
      <c r="GC144" s="22">
        <f t="shared" si="133"/>
        <v>5.538446972968425E-13</v>
      </c>
      <c r="GD144" s="60">
        <f t="shared" si="134"/>
        <v>293.33333333333388</v>
      </c>
      <c r="GE144" s="60">
        <f ca="1">AVERAGE(OFFSET($GD$3,0,0,'Données projet'!$E$17+1,1))-AVERAGE(OFFSET($H$3,0,0,'Données projet'!$E$17+1,1))</f>
        <v>268.71641789629319</v>
      </c>
      <c r="GF144" s="60">
        <f t="shared" si="158"/>
        <v>199.94048514486104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9.6739530466552981E-2</v>
      </c>
      <c r="GN144" s="23">
        <f>EXP(-LN(2)/2)*GN143+(1-EXP(-LN(2)/2))/(LN(2)/2)*GH144*GK144*VLOOKUP('Données projet'!$B$17,Paramètres!$A$1:$I$89,3,0)*0.475*44/12</f>
        <v>1.3690647424171106E-16</v>
      </c>
      <c r="GO144" s="23">
        <f t="shared" si="135"/>
        <v>9.673953046655312E-2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-2.8421709430404007E-13</v>
      </c>
      <c r="GV144" s="18">
        <f>GU144*VLOOKUP('Données projet'!$B$18,Paramètres!$A$1:$I$89,3,0)*VLOOKUP('Données projet'!$B$18,Paramètres!$A$1:$I$89,5,0)</f>
        <v>-1.69961822393816E-13</v>
      </c>
      <c r="GW144" s="14" t="e">
        <f t="shared" si="159"/>
        <v>#NUM!</v>
      </c>
      <c r="GX144" s="22" t="e">
        <f t="shared" si="136"/>
        <v>#NUM!</v>
      </c>
      <c r="GY144" s="60" t="e">
        <f t="shared" si="137"/>
        <v>#NUM!</v>
      </c>
      <c r="GZ144" s="60">
        <f ca="1">AVERAGE(OFFSET($GY$3,0,0,'Données projet'!$E$18+1,1))-AVERAGE(OFFSET($H$3,0,0,'Données projet'!$E$18+1,1))</f>
        <v>289.12367833861299</v>
      </c>
      <c r="HA144" s="60">
        <f t="shared" si="160"/>
        <v>229.06617320689003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8.1386431042663778E-17</v>
      </c>
      <c r="HJ144" s="24">
        <f t="shared" si="138"/>
        <v>8.1386431042663778E-17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259.01407999999935</v>
      </c>
      <c r="P145" s="14">
        <f t="shared" si="141"/>
        <v>62.51217320775072</v>
      </c>
      <c r="Q145" s="22">
        <f t="shared" si="108"/>
        <v>559.99155767016464</v>
      </c>
      <c r="R145" s="60">
        <f t="shared" si="109"/>
        <v>853.3248910034979</v>
      </c>
      <c r="S145" s="60">
        <f ca="1">AVERAGE(OFFSET($R$3,0,0,'Données projet'!$E$9+1,1))-AVERAGE(OFFSET($H$3,0,0,'Données projet'!$E$9+1,1))</f>
        <v>430.11660085503223</v>
      </c>
      <c r="T145" s="60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1.2710188457276673E-13</v>
      </c>
      <c r="AK145" s="14">
        <f t="shared" si="143"/>
        <v>1.856866851063998E-12</v>
      </c>
      <c r="AL145" s="22">
        <f t="shared" si="112"/>
        <v>3.4554122145673649E-12</v>
      </c>
      <c r="AM145" s="60">
        <f t="shared" si="113"/>
        <v>293.33333333333678</v>
      </c>
      <c r="AN145" s="60">
        <f ca="1">AVERAGE(OFFSET($AM$3,0,0,'Données projet'!$E$10+1,1))-AVERAGE(OFFSET($H$3,0,0,'Données projet'!$E$10+1,1))</f>
        <v>323.98185264074681</v>
      </c>
      <c r="AO145" s="60">
        <f t="shared" si="144"/>
        <v>301.22207291854005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0.48558450989949387</v>
      </c>
      <c r="AV145" s="23">
        <f>EXP(-LN(2)/25)*AV144+(1-EXP(-LN(2)/25))/(LN(2)/25)*Calculateur!AQ145*Calculateur!AS145*VLOOKUP('Données projet'!$B$10,Paramètres!$A$1:$I$89,3,0)*0.475*44/12</f>
        <v>0.36957058132150722</v>
      </c>
      <c r="AW145" s="23">
        <f>EXP(-LN(2)/2)*AW144+(1-EXP(-LN(2)/2))/(LN(2)/2)*AQ145*AT145*VLOOKUP('Données projet'!$B$10,Paramètres!$A$1:$I$89,3,0)*0.475*44/12</f>
        <v>8.4485296253628282E-17</v>
      </c>
      <c r="AX145" s="23">
        <f t="shared" si="114"/>
        <v>0.8551550912210012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4.1333333333333337</v>
      </c>
      <c r="BD145" s="13">
        <f>IF('Données projet'!$A$88&gt;35,BD144+BC145-BL144,IF(A145&lt;'Données projet'!$A$88,$BA$205^A145,IF(A145='Données projet'!$A$88,'Données projet'!$B$88,BD144+BC145-BL144)))</f>
        <v>452.93333333333305</v>
      </c>
      <c r="BE145" s="14">
        <f>BD145*VLOOKUP('Données projet'!$B$11,Paramètres!$A$1:$I$89,3,0)*VLOOKUP('Données projet'!$B$11,Paramètres!$A$1:$I$89,5,0)</f>
        <v>388.61679999999978</v>
      </c>
      <c r="BF145" s="14">
        <f t="shared" si="145"/>
        <v>89.465032759464833</v>
      </c>
      <c r="BG145" s="22">
        <f t="shared" si="115"/>
        <v>832.65919205606758</v>
      </c>
      <c r="BH145" s="60">
        <f t="shared" si="116"/>
        <v>1125.992525389401</v>
      </c>
      <c r="BI145" s="60">
        <f ca="1">AVERAGE(OFFSET($BH$3,0,0,'Données projet'!$E$11+1,1))-AVERAGE(OFFSET($H$3,0,0,'Données projet'!$E$11+1,1))</f>
        <v>556.75475431848258</v>
      </c>
      <c r="BJ145" s="60">
        <f t="shared" si="146"/>
        <v>256.77417912163997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3.4106051316484809E-13</v>
      </c>
      <c r="BZ145" s="14">
        <f>BY145*VLOOKUP('Données projet'!$B$12,Paramètres!$A$1:$I$89,3,0)*VLOOKUP('Données projet'!$B$12,Paramètres!$A$1:$I$89,5,0)</f>
        <v>2.5006556825246659E-13</v>
      </c>
      <c r="CA145" s="14">
        <f t="shared" si="147"/>
        <v>3.3765445850268018E-12</v>
      </c>
      <c r="CB145" s="22">
        <f t="shared" si="118"/>
        <v>6.3163460169613921E-12</v>
      </c>
      <c r="CC145" s="60">
        <f t="shared" si="119"/>
        <v>293.33333333333962</v>
      </c>
      <c r="CD145" s="60">
        <f ca="1">AVERAGE(OFFSET($CC$3,0,0,'Données projet'!$E$12+1,1))-AVERAGE(OFFSET($H$3,0,0,'Données projet'!$E$12+1,1))</f>
        <v>290.68086183422963</v>
      </c>
      <c r="CE145" s="60">
        <f t="shared" si="148"/>
        <v>317.88330630101785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1.9895196601282805E-13</v>
      </c>
      <c r="CU145" s="18">
        <f>CT145*VLOOKUP('Données projet'!$B$13,Paramètres!$A$1:$I$89,3,0)*VLOOKUP('Données projet'!$B$13,Paramètres!$A$1:$I$89,5,0)</f>
        <v>1.3035332813160495E-13</v>
      </c>
      <c r="CV145" s="14">
        <f t="shared" si="149"/>
        <v>1.8987770485018903E-12</v>
      </c>
      <c r="CW145" s="22">
        <f t="shared" si="121"/>
        <v>3.5340687393033375E-12</v>
      </c>
      <c r="CX145" s="60">
        <f t="shared" si="122"/>
        <v>293.33333333333684</v>
      </c>
      <c r="CY145" s="60">
        <f ca="1">AVERAGE(OFFSET($CX$3,0,0,'Données projet'!$E$13+1,1))-AVERAGE(OFFSET($H$3,0,0,'Données projet'!$E$13+1,1))</f>
        <v>243.04319555814601</v>
      </c>
      <c r="CZ145" s="60">
        <f t="shared" si="150"/>
        <v>235.68746142880792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201.4732637505823</v>
      </c>
      <c r="DU145" s="60">
        <f t="shared" si="152"/>
        <v>342.06887933351783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0.71881950213632484</v>
      </c>
      <c r="EB145" s="23">
        <f>EXP(-LN(2)/25)*EB144+(1-EXP(-LN(2)/25))/(LN(2)/25)*Calculateur!DW145*Calculateur!DY145*VLOOKUP('Données projet'!$B$14,Paramètres!$A$1:$I$89,3,0)*0.475*44/12</f>
        <v>1.1848929012599563</v>
      </c>
      <c r="EC145" s="23">
        <f>EXP(-LN(2)/2)*EC144+(1-EXP(-LN(2)/2))/(LN(2)/2)*DW145*DZ145*VLOOKUP('Données projet'!$B$14,Paramètres!$A$1:$I$89,3,0)*0.475*44/12</f>
        <v>1.8592290269836533E-16</v>
      </c>
      <c r="ED145" s="24">
        <f t="shared" si="126"/>
        <v>1.9037124033962813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-2.0395418687257919E-13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260.01925143568263</v>
      </c>
      <c r="EP145" s="60">
        <f t="shared" si="154"/>
        <v>269.95358755269427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1.546472057127326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1.546472057127326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-9.2222762759774927E-14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256.19915261735281</v>
      </c>
      <c r="FK145" s="60">
        <f t="shared" si="156"/>
        <v>297.47246687305056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2.8421709430404007E-14</v>
      </c>
      <c r="GA145" s="18">
        <f>FZ145*VLOOKUP('Données projet'!$B$17,Paramètres!$A$1:$I$89,3,0)*VLOOKUP('Données projet'!$B$17,Paramètres!$A$1:$I$89,5,0)</f>
        <v>1.6257217794191094E-14</v>
      </c>
      <c r="GB145" s="14">
        <f t="shared" si="157"/>
        <v>3.0173973759155586E-13</v>
      </c>
      <c r="GC145" s="22">
        <f t="shared" si="133"/>
        <v>5.538446972968425E-13</v>
      </c>
      <c r="GD145" s="60">
        <f t="shared" si="134"/>
        <v>293.33333333333388</v>
      </c>
      <c r="GE145" s="60">
        <f ca="1">AVERAGE(OFFSET($GD$3,0,0,'Données projet'!$E$17+1,1))-AVERAGE(OFFSET($H$3,0,0,'Données projet'!$E$17+1,1))</f>
        <v>268.71641789629319</v>
      </c>
      <c r="GF145" s="60">
        <f t="shared" si="158"/>
        <v>199.94048514486104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9.4094182918634278E-2</v>
      </c>
      <c r="GN145" s="23">
        <f>EXP(-LN(2)/2)*GN144+(1-EXP(-LN(2)/2))/(LN(2)/2)*GH145*GK145*VLOOKUP('Données projet'!$B$17,Paramètres!$A$1:$I$89,3,0)*0.475*44/12</f>
        <v>9.680749632465529E-17</v>
      </c>
      <c r="GO145" s="23">
        <f t="shared" si="135"/>
        <v>9.4094182918634375E-2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-2.8421709430404007E-13</v>
      </c>
      <c r="GV145" s="18">
        <f>GU145*VLOOKUP('Données projet'!$B$18,Paramètres!$A$1:$I$89,3,0)*VLOOKUP('Données projet'!$B$18,Paramètres!$A$1:$I$89,5,0)</f>
        <v>-1.69961822393816E-13</v>
      </c>
      <c r="GW145" s="14" t="e">
        <f t="shared" si="159"/>
        <v>#NUM!</v>
      </c>
      <c r="GX145" s="22" t="e">
        <f t="shared" si="136"/>
        <v>#NUM!</v>
      </c>
      <c r="GY145" s="60" t="e">
        <f t="shared" si="137"/>
        <v>#NUM!</v>
      </c>
      <c r="GZ145" s="60">
        <f ca="1">AVERAGE(OFFSET($GY$3,0,0,'Données projet'!$E$18+1,1))-AVERAGE(OFFSET($H$3,0,0,'Données projet'!$E$18+1,1))</f>
        <v>289.12367833861299</v>
      </c>
      <c r="HA145" s="60">
        <f t="shared" si="160"/>
        <v>229.06617320689003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5.7548897286838894E-17</v>
      </c>
      <c r="HJ145" s="24">
        <f t="shared" si="138"/>
        <v>5.7548897286838894E-17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261.24591999999933</v>
      </c>
      <c r="P146" s="14">
        <f t="shared" si="141"/>
        <v>62.987883814427661</v>
      </c>
      <c r="Q146" s="22">
        <f t="shared" si="108"/>
        <v>564.70720831012704</v>
      </c>
      <c r="R146" s="60">
        <f t="shared" si="109"/>
        <v>858.0405416434603</v>
      </c>
      <c r="S146" s="60">
        <f ca="1">AVERAGE(OFFSET($R$3,0,0,'Données projet'!$E$9+1,1))-AVERAGE(OFFSET($H$3,0,0,'Données projet'!$E$9+1,1))</f>
        <v>430.11660085503223</v>
      </c>
      <c r="T146" s="60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1.2710188457276673E-13</v>
      </c>
      <c r="AK146" s="14">
        <f t="shared" si="143"/>
        <v>1.856866851063998E-12</v>
      </c>
      <c r="AL146" s="22">
        <f t="shared" si="112"/>
        <v>3.4554122145673649E-12</v>
      </c>
      <c r="AM146" s="60">
        <f t="shared" si="113"/>
        <v>293.33333333333678</v>
      </c>
      <c r="AN146" s="60">
        <f ca="1">AVERAGE(OFFSET($AM$3,0,0,'Données projet'!$E$10+1,1))-AVERAGE(OFFSET($H$3,0,0,'Données projet'!$E$10+1,1))</f>
        <v>323.98185264074681</v>
      </c>
      <c r="AO146" s="60">
        <f t="shared" si="144"/>
        <v>301.22207291854005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0.47606249383767074</v>
      </c>
      <c r="AV146" s="23">
        <f>EXP(-LN(2)/25)*AV145+(1-EXP(-LN(2)/25))/(LN(2)/25)*Calculateur!AQ146*Calculateur!AS146*VLOOKUP('Données projet'!$B$10,Paramètres!$A$1:$I$89,3,0)*0.475*44/12</f>
        <v>0.35946465434039837</v>
      </c>
      <c r="AW146" s="23">
        <f>EXP(-LN(2)/2)*AW145+(1-EXP(-LN(2)/2))/(LN(2)/2)*AQ146*AT146*VLOOKUP('Données projet'!$B$10,Paramètres!$A$1:$I$89,3,0)*0.475*44/12</f>
        <v>5.9740125891494975E-17</v>
      </c>
      <c r="AX146" s="23">
        <f t="shared" si="114"/>
        <v>0.83552714817806917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4.1333333333333337</v>
      </c>
      <c r="BD146" s="13">
        <f>IF('Données projet'!$A$88&gt;35,BD145+BC146-BL145,IF(A146&lt;'Données projet'!$A$88,$BA$205^A146,IF(A146='Données projet'!$A$88,'Données projet'!$B$88,BD145+BC146-BL145)))</f>
        <v>457.06666666666638</v>
      </c>
      <c r="BE146" s="14">
        <f>BD146*VLOOKUP('Données projet'!$B$11,Paramètres!$A$1:$I$89,3,0)*VLOOKUP('Données projet'!$B$11,Paramètres!$A$1:$I$89,5,0)</f>
        <v>392.16319999999985</v>
      </c>
      <c r="BF146" s="14">
        <f t="shared" si="145"/>
        <v>90.186049316170553</v>
      </c>
      <c r="BG146" s="22">
        <f t="shared" si="115"/>
        <v>840.09160922566343</v>
      </c>
      <c r="BH146" s="60">
        <f t="shared" si="116"/>
        <v>1133.4249425589967</v>
      </c>
      <c r="BI146" s="60">
        <f ca="1">AVERAGE(OFFSET($BH$3,0,0,'Données projet'!$E$11+1,1))-AVERAGE(OFFSET($H$3,0,0,'Données projet'!$E$11+1,1))</f>
        <v>556.75475431848258</v>
      </c>
      <c r="BJ146" s="60">
        <f t="shared" si="146"/>
        <v>256.77417912163997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3.4106051316484809E-13</v>
      </c>
      <c r="BZ146" s="14">
        <f>BY146*VLOOKUP('Données projet'!$B$12,Paramètres!$A$1:$I$89,3,0)*VLOOKUP('Données projet'!$B$12,Paramètres!$A$1:$I$89,5,0)</f>
        <v>2.5006556825246659E-13</v>
      </c>
      <c r="CA146" s="14">
        <f t="shared" si="147"/>
        <v>3.3765445850268018E-12</v>
      </c>
      <c r="CB146" s="22">
        <f t="shared" si="118"/>
        <v>6.3163460169613921E-12</v>
      </c>
      <c r="CC146" s="60">
        <f t="shared" si="119"/>
        <v>293.33333333333962</v>
      </c>
      <c r="CD146" s="60">
        <f ca="1">AVERAGE(OFFSET($CC$3,0,0,'Données projet'!$E$12+1,1))-AVERAGE(OFFSET($H$3,0,0,'Données projet'!$E$12+1,1))</f>
        <v>290.68086183422963</v>
      </c>
      <c r="CE146" s="60">
        <f t="shared" si="148"/>
        <v>317.88330630101785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1.9895196601282805E-13</v>
      </c>
      <c r="CU146" s="18">
        <f>CT146*VLOOKUP('Données projet'!$B$13,Paramètres!$A$1:$I$89,3,0)*VLOOKUP('Données projet'!$B$13,Paramètres!$A$1:$I$89,5,0)</f>
        <v>1.3035332813160495E-13</v>
      </c>
      <c r="CV146" s="14">
        <f t="shared" si="149"/>
        <v>1.8987770485018903E-12</v>
      </c>
      <c r="CW146" s="22">
        <f t="shared" si="121"/>
        <v>3.5340687393033375E-12</v>
      </c>
      <c r="CX146" s="60">
        <f t="shared" si="122"/>
        <v>293.33333333333684</v>
      </c>
      <c r="CY146" s="60">
        <f ca="1">AVERAGE(OFFSET($CX$3,0,0,'Données projet'!$E$13+1,1))-AVERAGE(OFFSET($H$3,0,0,'Données projet'!$E$13+1,1))</f>
        <v>243.04319555814601</v>
      </c>
      <c r="CZ146" s="60">
        <f t="shared" si="150"/>
        <v>235.68746142880792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201.4732637505823</v>
      </c>
      <c r="DU146" s="60">
        <f t="shared" si="152"/>
        <v>342.06887933351783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0.70472389013603576</v>
      </c>
      <c r="EB146" s="23">
        <f>EXP(-LN(2)/25)*EB145+(1-EXP(-LN(2)/25))/(LN(2)/25)*Calculateur!DW146*Calculateur!DY146*VLOOKUP('Données projet'!$B$14,Paramètres!$A$1:$I$89,3,0)*0.475*44/12</f>
        <v>1.1524919425641933</v>
      </c>
      <c r="EC146" s="23">
        <f>EXP(-LN(2)/2)*EC145+(1-EXP(-LN(2)/2))/(LN(2)/2)*DW146*DZ146*VLOOKUP('Données projet'!$B$14,Paramètres!$A$1:$I$89,3,0)*0.475*44/12</f>
        <v>1.3146734527590078E-16</v>
      </c>
      <c r="ED146" s="24">
        <f t="shared" si="126"/>
        <v>1.8572158327002293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-2.0395418687257919E-13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260.01925143568263</v>
      </c>
      <c r="EP146" s="60">
        <f t="shared" si="154"/>
        <v>269.95358755269427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1.5161466833418753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1.5161466833418753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-9.2222762759774927E-14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256.19915261735281</v>
      </c>
      <c r="FK146" s="60">
        <f t="shared" si="156"/>
        <v>297.47246687305056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2.8421709430404007E-14</v>
      </c>
      <c r="GA146" s="18">
        <f>FZ146*VLOOKUP('Données projet'!$B$17,Paramètres!$A$1:$I$89,3,0)*VLOOKUP('Données projet'!$B$17,Paramètres!$A$1:$I$89,5,0)</f>
        <v>1.6257217794191094E-14</v>
      </c>
      <c r="GB146" s="14">
        <f t="shared" si="157"/>
        <v>3.0173973759155586E-13</v>
      </c>
      <c r="GC146" s="22">
        <f t="shared" si="133"/>
        <v>5.538446972968425E-13</v>
      </c>
      <c r="GD146" s="60">
        <f t="shared" si="134"/>
        <v>293.33333333333388</v>
      </c>
      <c r="GE146" s="60">
        <f ca="1">AVERAGE(OFFSET($GD$3,0,0,'Données projet'!$E$17+1,1))-AVERAGE(OFFSET($H$3,0,0,'Données projet'!$E$17+1,1))</f>
        <v>268.71641789629319</v>
      </c>
      <c r="GF146" s="60">
        <f t="shared" si="158"/>
        <v>199.94048514486104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9.1521172538526194E-2</v>
      </c>
      <c r="GN146" s="23">
        <f>EXP(-LN(2)/2)*GN145+(1-EXP(-LN(2)/2))/(LN(2)/2)*GH146*GK146*VLOOKUP('Données projet'!$B$17,Paramètres!$A$1:$I$89,3,0)*0.475*44/12</f>
        <v>6.8453237120855531E-17</v>
      </c>
      <c r="GO146" s="23">
        <f t="shared" si="135"/>
        <v>9.1521172538526263E-2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-2.8421709430404007E-13</v>
      </c>
      <c r="GV146" s="18">
        <f>GU146*VLOOKUP('Données projet'!$B$18,Paramètres!$A$1:$I$89,3,0)*VLOOKUP('Données projet'!$B$18,Paramètres!$A$1:$I$89,5,0)</f>
        <v>-1.69961822393816E-13</v>
      </c>
      <c r="GW146" s="14" t="e">
        <f t="shared" si="159"/>
        <v>#NUM!</v>
      </c>
      <c r="GX146" s="22" t="e">
        <f t="shared" si="136"/>
        <v>#NUM!</v>
      </c>
      <c r="GY146" s="60" t="e">
        <f t="shared" si="137"/>
        <v>#NUM!</v>
      </c>
      <c r="GZ146" s="60">
        <f ca="1">AVERAGE(OFFSET($GY$3,0,0,'Données projet'!$E$18+1,1))-AVERAGE(OFFSET($H$3,0,0,'Données projet'!$E$18+1,1))</f>
        <v>289.12367833861299</v>
      </c>
      <c r="HA146" s="60">
        <f t="shared" si="160"/>
        <v>229.06617320689003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4.0693215521331889E-17</v>
      </c>
      <c r="HJ146" s="24">
        <f t="shared" si="138"/>
        <v>4.0693215521331889E-17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263.47775999999931</v>
      </c>
      <c r="P147" s="14">
        <f t="shared" si="141"/>
        <v>63.463121597633346</v>
      </c>
      <c r="Q147" s="22">
        <f t="shared" si="108"/>
        <v>569.42203544921017</v>
      </c>
      <c r="R147" s="60">
        <f t="shared" si="109"/>
        <v>862.75536878254343</v>
      </c>
      <c r="S147" s="60">
        <f ca="1">AVERAGE(OFFSET($R$3,0,0,'Données projet'!$E$9+1,1))-AVERAGE(OFFSET($H$3,0,0,'Données projet'!$E$9+1,1))</f>
        <v>430.11660085503223</v>
      </c>
      <c r="T147" s="60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1.2710188457276673E-13</v>
      </c>
      <c r="AK147" s="14">
        <f t="shared" si="143"/>
        <v>1.856866851063998E-12</v>
      </c>
      <c r="AL147" s="22">
        <f t="shared" si="112"/>
        <v>3.4554122145673649E-12</v>
      </c>
      <c r="AM147" s="60">
        <f t="shared" si="113"/>
        <v>293.33333333333678</v>
      </c>
      <c r="AN147" s="60">
        <f ca="1">AVERAGE(OFFSET($AM$3,0,0,'Données projet'!$E$10+1,1))-AVERAGE(OFFSET($H$3,0,0,'Données projet'!$E$10+1,1))</f>
        <v>323.98185264074681</v>
      </c>
      <c r="AO147" s="60">
        <f t="shared" si="144"/>
        <v>301.22207291854005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0.46672719870296364</v>
      </c>
      <c r="AV147" s="23">
        <f>EXP(-LN(2)/25)*AV146+(1-EXP(-LN(2)/25))/(LN(2)/25)*Calculateur!AQ147*Calculateur!AS147*VLOOKUP('Données projet'!$B$10,Paramètres!$A$1:$I$89,3,0)*0.475*44/12</f>
        <v>0.34963507446403558</v>
      </c>
      <c r="AW147" s="23">
        <f>EXP(-LN(2)/2)*AW146+(1-EXP(-LN(2)/2))/(LN(2)/2)*AQ147*AT147*VLOOKUP('Données projet'!$B$10,Paramètres!$A$1:$I$89,3,0)*0.475*44/12</f>
        <v>4.2242648126814141E-17</v>
      </c>
      <c r="AX147" s="23">
        <f t="shared" si="114"/>
        <v>0.81636227316699927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4.1333333333333337</v>
      </c>
      <c r="BD147" s="13">
        <f>IF('Données projet'!$A$88&gt;35,BD146+BC147-BL146,IF(A147&lt;'Données projet'!$A$88,$BA$205^A147,IF(A147='Données projet'!$A$88,'Données projet'!$B$88,BD146+BC147-BL146)))</f>
        <v>461.1999999999997</v>
      </c>
      <c r="BE147" s="14">
        <f>BD147*VLOOKUP('Données projet'!$B$11,Paramètres!$A$1:$I$89,3,0)*VLOOKUP('Données projet'!$B$11,Paramètres!$A$1:$I$89,5,0)</f>
        <v>395.7095999999998</v>
      </c>
      <c r="BF147" s="14">
        <f t="shared" si="145"/>
        <v>90.906307300882716</v>
      </c>
      <c r="BG147" s="22">
        <f t="shared" si="115"/>
        <v>847.5227052157037</v>
      </c>
      <c r="BH147" s="60">
        <f t="shared" si="116"/>
        <v>1140.8560385490371</v>
      </c>
      <c r="BI147" s="60">
        <f ca="1">AVERAGE(OFFSET($BH$3,0,0,'Données projet'!$E$11+1,1))-AVERAGE(OFFSET($H$3,0,0,'Données projet'!$E$11+1,1))</f>
        <v>556.75475431848258</v>
      </c>
      <c r="BJ147" s="60">
        <f t="shared" si="146"/>
        <v>256.77417912163997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3.4106051316484809E-13</v>
      </c>
      <c r="BZ147" s="14">
        <f>BY147*VLOOKUP('Données projet'!$B$12,Paramètres!$A$1:$I$89,3,0)*VLOOKUP('Données projet'!$B$12,Paramètres!$A$1:$I$89,5,0)</f>
        <v>2.5006556825246659E-13</v>
      </c>
      <c r="CA147" s="14">
        <f t="shared" si="147"/>
        <v>3.3765445850268018E-12</v>
      </c>
      <c r="CB147" s="22">
        <f t="shared" si="118"/>
        <v>6.3163460169613921E-12</v>
      </c>
      <c r="CC147" s="60">
        <f t="shared" si="119"/>
        <v>293.33333333333962</v>
      </c>
      <c r="CD147" s="60">
        <f ca="1">AVERAGE(OFFSET($CC$3,0,0,'Données projet'!$E$12+1,1))-AVERAGE(OFFSET($H$3,0,0,'Données projet'!$E$12+1,1))</f>
        <v>290.68086183422963</v>
      </c>
      <c r="CE147" s="60">
        <f t="shared" si="148"/>
        <v>317.88330630101785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1.9895196601282805E-13</v>
      </c>
      <c r="CU147" s="18">
        <f>CT147*VLOOKUP('Données projet'!$B$13,Paramètres!$A$1:$I$89,3,0)*VLOOKUP('Données projet'!$B$13,Paramètres!$A$1:$I$89,5,0)</f>
        <v>1.3035332813160495E-13</v>
      </c>
      <c r="CV147" s="14">
        <f t="shared" si="149"/>
        <v>1.8987770485018903E-12</v>
      </c>
      <c r="CW147" s="22">
        <f t="shared" si="121"/>
        <v>3.5340687393033375E-12</v>
      </c>
      <c r="CX147" s="60">
        <f t="shared" si="122"/>
        <v>293.33333333333684</v>
      </c>
      <c r="CY147" s="60">
        <f ca="1">AVERAGE(OFFSET($CX$3,0,0,'Données projet'!$E$13+1,1))-AVERAGE(OFFSET($H$3,0,0,'Données projet'!$E$13+1,1))</f>
        <v>243.04319555814601</v>
      </c>
      <c r="CZ147" s="60">
        <f t="shared" si="150"/>
        <v>235.68746142880792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201.4732637505823</v>
      </c>
      <c r="DU147" s="60">
        <f t="shared" si="152"/>
        <v>342.06887933351783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0.69090468448959796</v>
      </c>
      <c r="EB147" s="23">
        <f>EXP(-LN(2)/25)*EB146+(1-EXP(-LN(2)/25))/(LN(2)/25)*Calculateur!DW147*Calculateur!DY147*VLOOKUP('Données projet'!$B$14,Paramètres!$A$1:$I$89,3,0)*0.475*44/12</f>
        <v>1.1209769897878583</v>
      </c>
      <c r="EC147" s="23">
        <f>EXP(-LN(2)/2)*EC146+(1-EXP(-LN(2)/2))/(LN(2)/2)*DW147*DZ147*VLOOKUP('Données projet'!$B$14,Paramètres!$A$1:$I$89,3,0)*0.475*44/12</f>
        <v>9.2961451349182664E-17</v>
      </c>
      <c r="ED147" s="24">
        <f t="shared" si="126"/>
        <v>1.8118816742774562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-2.0395418687257919E-13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260.01925143568263</v>
      </c>
      <c r="EP147" s="60">
        <f t="shared" si="154"/>
        <v>269.95358755269427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1.4864159716397056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1.4864159716397056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-9.2222762759774927E-14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256.19915261735281</v>
      </c>
      <c r="FK147" s="60">
        <f t="shared" si="156"/>
        <v>297.47246687305056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2.8421709430404007E-14</v>
      </c>
      <c r="GA147" s="18">
        <f>FZ147*VLOOKUP('Données projet'!$B$17,Paramètres!$A$1:$I$89,3,0)*VLOOKUP('Données projet'!$B$17,Paramètres!$A$1:$I$89,5,0)</f>
        <v>1.6257217794191094E-14</v>
      </c>
      <c r="GB147" s="14">
        <f t="shared" si="157"/>
        <v>3.0173973759155586E-13</v>
      </c>
      <c r="GC147" s="22">
        <f t="shared" si="133"/>
        <v>5.538446972968425E-13</v>
      </c>
      <c r="GD147" s="60">
        <f t="shared" si="134"/>
        <v>293.33333333333388</v>
      </c>
      <c r="GE147" s="60">
        <f ca="1">AVERAGE(OFFSET($GD$3,0,0,'Données projet'!$E$17+1,1))-AVERAGE(OFFSET($H$3,0,0,'Données projet'!$E$17+1,1))</f>
        <v>268.71641789629319</v>
      </c>
      <c r="GF147" s="60">
        <f t="shared" si="158"/>
        <v>199.94048514486104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8.9018521262570899E-2</v>
      </c>
      <c r="GN147" s="23">
        <f>EXP(-LN(2)/2)*GN146+(1-EXP(-LN(2)/2))/(LN(2)/2)*GH147*GK147*VLOOKUP('Données projet'!$B$17,Paramètres!$A$1:$I$89,3,0)*0.475*44/12</f>
        <v>4.8403748162327645E-17</v>
      </c>
      <c r="GO147" s="23">
        <f t="shared" si="135"/>
        <v>8.901852126257094E-2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-2.8421709430404007E-13</v>
      </c>
      <c r="GV147" s="18">
        <f>GU147*VLOOKUP('Données projet'!$B$18,Paramètres!$A$1:$I$89,3,0)*VLOOKUP('Données projet'!$B$18,Paramètres!$A$1:$I$89,5,0)</f>
        <v>-1.69961822393816E-13</v>
      </c>
      <c r="GW147" s="14" t="e">
        <f t="shared" si="159"/>
        <v>#NUM!</v>
      </c>
      <c r="GX147" s="22" t="e">
        <f t="shared" si="136"/>
        <v>#NUM!</v>
      </c>
      <c r="GY147" s="60" t="e">
        <f t="shared" si="137"/>
        <v>#NUM!</v>
      </c>
      <c r="GZ147" s="60">
        <f ca="1">AVERAGE(OFFSET($GY$3,0,0,'Données projet'!$E$18+1,1))-AVERAGE(OFFSET($H$3,0,0,'Données projet'!$E$18+1,1))</f>
        <v>289.12367833861299</v>
      </c>
      <c r="HA147" s="60">
        <f t="shared" si="160"/>
        <v>229.06617320689003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2.8774448643419447E-17</v>
      </c>
      <c r="HJ147" s="24">
        <f t="shared" si="138"/>
        <v>2.8774448643419447E-17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265.70959999999928</v>
      </c>
      <c r="P148" s="14">
        <f t="shared" si="141"/>
        <v>63.937891026614238</v>
      </c>
      <c r="Q148" s="22">
        <f t="shared" si="108"/>
        <v>574.13604687135182</v>
      </c>
      <c r="R148" s="60">
        <f t="shared" si="109"/>
        <v>867.46938020468519</v>
      </c>
      <c r="S148" s="60">
        <f ca="1">AVERAGE(OFFSET($R$3,0,0,'Données projet'!$E$9+1,1))-AVERAGE(OFFSET($H$3,0,0,'Données projet'!$E$9+1,1))</f>
        <v>430.11660085503223</v>
      </c>
      <c r="T148" s="60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1.2710188457276673E-13</v>
      </c>
      <c r="AK148" s="14">
        <f t="shared" si="143"/>
        <v>1.856866851063998E-12</v>
      </c>
      <c r="AL148" s="22">
        <f t="shared" si="112"/>
        <v>3.4554122145673649E-12</v>
      </c>
      <c r="AM148" s="60">
        <f t="shared" si="113"/>
        <v>293.33333333333678</v>
      </c>
      <c r="AN148" s="60">
        <f ca="1">AVERAGE(OFFSET($AM$3,0,0,'Données projet'!$E$10+1,1))-AVERAGE(OFFSET($H$3,0,0,'Données projet'!$E$10+1,1))</f>
        <v>323.98185264074681</v>
      </c>
      <c r="AO148" s="60">
        <f t="shared" si="144"/>
        <v>301.22207291854005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0.45757496301188039</v>
      </c>
      <c r="AV148" s="23">
        <f>EXP(-LN(2)/25)*AV147+(1-EXP(-LN(2)/25))/(LN(2)/25)*Calculateur!AQ148*Calculateur!AS148*VLOOKUP('Données projet'!$B$10,Paramètres!$A$1:$I$89,3,0)*0.475*44/12</f>
        <v>0.34007428496630704</v>
      </c>
      <c r="AW148" s="23">
        <f>EXP(-LN(2)/2)*AW147+(1-EXP(-LN(2)/2))/(LN(2)/2)*AQ148*AT148*VLOOKUP('Données projet'!$B$10,Paramètres!$A$1:$I$89,3,0)*0.475*44/12</f>
        <v>2.9870062945747488E-17</v>
      </c>
      <c r="AX148" s="23">
        <f t="shared" si="114"/>
        <v>0.79764924797818737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4.1333333333333337</v>
      </c>
      <c r="BD148" s="13">
        <f>IF('Données projet'!$A$88&gt;35,BD147+BC148-BL147,IF(A148&lt;'Données projet'!$A$88,$BA$205^A148,IF(A148='Données projet'!$A$88,'Données projet'!$B$88,BD147+BC148-BL147)))</f>
        <v>465.33333333333303</v>
      </c>
      <c r="BE148" s="14">
        <f>BD148*VLOOKUP('Données projet'!$B$11,Paramètres!$A$1:$I$89,3,0)*VLOOKUP('Données projet'!$B$11,Paramètres!$A$1:$I$89,5,0)</f>
        <v>399.2559999999998</v>
      </c>
      <c r="BF148" s="14">
        <f t="shared" si="145"/>
        <v>91.625814299602908</v>
      </c>
      <c r="BG148" s="22">
        <f t="shared" si="115"/>
        <v>854.95249323847474</v>
      </c>
      <c r="BH148" s="60">
        <f t="shared" si="116"/>
        <v>1148.285826571808</v>
      </c>
      <c r="BI148" s="60">
        <f ca="1">AVERAGE(OFFSET($BH$3,0,0,'Données projet'!$E$11+1,1))-AVERAGE(OFFSET($H$3,0,0,'Données projet'!$E$11+1,1))</f>
        <v>556.75475431848258</v>
      </c>
      <c r="BJ148" s="60">
        <f t="shared" si="146"/>
        <v>256.77417912163997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3.4106051316484809E-13</v>
      </c>
      <c r="BZ148" s="14">
        <f>BY148*VLOOKUP('Données projet'!$B$12,Paramètres!$A$1:$I$89,3,0)*VLOOKUP('Données projet'!$B$12,Paramètres!$A$1:$I$89,5,0)</f>
        <v>2.5006556825246659E-13</v>
      </c>
      <c r="CA148" s="14">
        <f t="shared" si="147"/>
        <v>3.3765445850268018E-12</v>
      </c>
      <c r="CB148" s="22">
        <f t="shared" si="118"/>
        <v>6.3163460169613921E-12</v>
      </c>
      <c r="CC148" s="60">
        <f t="shared" si="119"/>
        <v>293.33333333333962</v>
      </c>
      <c r="CD148" s="60">
        <f ca="1">AVERAGE(OFFSET($CC$3,0,0,'Données projet'!$E$12+1,1))-AVERAGE(OFFSET($H$3,0,0,'Données projet'!$E$12+1,1))</f>
        <v>290.68086183422963</v>
      </c>
      <c r="CE148" s="60">
        <f t="shared" si="148"/>
        <v>317.88330630101785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1.9895196601282805E-13</v>
      </c>
      <c r="CU148" s="18">
        <f>CT148*VLOOKUP('Données projet'!$B$13,Paramètres!$A$1:$I$89,3,0)*VLOOKUP('Données projet'!$B$13,Paramètres!$A$1:$I$89,5,0)</f>
        <v>1.3035332813160495E-13</v>
      </c>
      <c r="CV148" s="14">
        <f t="shared" si="149"/>
        <v>1.8987770485018903E-12</v>
      </c>
      <c r="CW148" s="22">
        <f t="shared" si="121"/>
        <v>3.5340687393033375E-12</v>
      </c>
      <c r="CX148" s="60">
        <f t="shared" si="122"/>
        <v>293.33333333333684</v>
      </c>
      <c r="CY148" s="60">
        <f ca="1">AVERAGE(OFFSET($CX$3,0,0,'Données projet'!$E$13+1,1))-AVERAGE(OFFSET($H$3,0,0,'Données projet'!$E$13+1,1))</f>
        <v>243.04319555814601</v>
      </c>
      <c r="CZ148" s="60">
        <f t="shared" si="150"/>
        <v>235.68746142880792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201.4732637505823</v>
      </c>
      <c r="DU148" s="60">
        <f t="shared" si="152"/>
        <v>342.06887933351783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0.67735646503700364</v>
      </c>
      <c r="EB148" s="23">
        <f>EXP(-LN(2)/25)*EB147+(1-EXP(-LN(2)/25))/(LN(2)/25)*Calculateur!DW148*Calculateur!DY148*VLOOKUP('Données projet'!$B$14,Paramètres!$A$1:$I$89,3,0)*0.475*44/12</f>
        <v>1.0903238150524914</v>
      </c>
      <c r="EC148" s="23">
        <f>EXP(-LN(2)/2)*EC147+(1-EXP(-LN(2)/2))/(LN(2)/2)*DW148*DZ148*VLOOKUP('Données projet'!$B$14,Paramètres!$A$1:$I$89,3,0)*0.475*44/12</f>
        <v>6.5733672637950389E-17</v>
      </c>
      <c r="ED148" s="24">
        <f t="shared" si="126"/>
        <v>1.7676802800894951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-2.0395418687257919E-13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260.01925143568263</v>
      </c>
      <c r="EP148" s="60">
        <f t="shared" si="154"/>
        <v>269.95358755269427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1.457268261060072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1.457268261060072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-9.2222762759774927E-14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256.19915261735281</v>
      </c>
      <c r="FK148" s="60">
        <f t="shared" si="156"/>
        <v>297.47246687305056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2.8421709430404007E-14</v>
      </c>
      <c r="GA148" s="18">
        <f>FZ148*VLOOKUP('Données projet'!$B$17,Paramètres!$A$1:$I$89,3,0)*VLOOKUP('Données projet'!$B$17,Paramètres!$A$1:$I$89,5,0)</f>
        <v>1.6257217794191094E-14</v>
      </c>
      <c r="GB148" s="14">
        <f t="shared" si="157"/>
        <v>3.0173973759155586E-13</v>
      </c>
      <c r="GC148" s="22">
        <f t="shared" si="133"/>
        <v>5.538446972968425E-13</v>
      </c>
      <c r="GD148" s="60">
        <f t="shared" si="134"/>
        <v>293.33333333333388</v>
      </c>
      <c r="GE148" s="60">
        <f ca="1">AVERAGE(OFFSET($GD$3,0,0,'Données projet'!$E$17+1,1))-AVERAGE(OFFSET($H$3,0,0,'Données projet'!$E$17+1,1))</f>
        <v>268.71641789629319</v>
      </c>
      <c r="GF148" s="60">
        <f t="shared" si="158"/>
        <v>199.94048514486104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8.6584305117365312E-2</v>
      </c>
      <c r="GN148" s="23">
        <f>EXP(-LN(2)/2)*GN147+(1-EXP(-LN(2)/2))/(LN(2)/2)*GH148*GK148*VLOOKUP('Données projet'!$B$17,Paramètres!$A$1:$I$89,3,0)*0.475*44/12</f>
        <v>3.4226618560427766E-17</v>
      </c>
      <c r="GO148" s="23">
        <f t="shared" si="135"/>
        <v>8.658430511736534E-2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-2.8421709430404007E-13</v>
      </c>
      <c r="GV148" s="18">
        <f>GU148*VLOOKUP('Données projet'!$B$18,Paramètres!$A$1:$I$89,3,0)*VLOOKUP('Données projet'!$B$18,Paramètres!$A$1:$I$89,5,0)</f>
        <v>-1.69961822393816E-13</v>
      </c>
      <c r="GW148" s="14" t="e">
        <f t="shared" si="159"/>
        <v>#NUM!</v>
      </c>
      <c r="GX148" s="22" t="e">
        <f t="shared" si="136"/>
        <v>#NUM!</v>
      </c>
      <c r="GY148" s="60" t="e">
        <f t="shared" si="137"/>
        <v>#NUM!</v>
      </c>
      <c r="GZ148" s="60">
        <f ca="1">AVERAGE(OFFSET($GY$3,0,0,'Données projet'!$E$18+1,1))-AVERAGE(OFFSET($H$3,0,0,'Données projet'!$E$18+1,1))</f>
        <v>289.12367833861299</v>
      </c>
      <c r="HA148" s="60">
        <f t="shared" si="160"/>
        <v>229.06617320689003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2.0346607760665945E-17</v>
      </c>
      <c r="HJ148" s="24">
        <f t="shared" si="138"/>
        <v>2.0346607760665945E-17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267.94143999999926</v>
      </c>
      <c r="P149" s="14">
        <f t="shared" si="141"/>
        <v>64.412196491203645</v>
      </c>
      <c r="Q149" s="22">
        <f t="shared" si="108"/>
        <v>578.84925022217828</v>
      </c>
      <c r="R149" s="60">
        <f t="shared" si="109"/>
        <v>872.18258355551166</v>
      </c>
      <c r="S149" s="60">
        <f ca="1">AVERAGE(OFFSET($R$3,0,0,'Données projet'!$E$9+1,1))-AVERAGE(OFFSET($H$3,0,0,'Données projet'!$E$9+1,1))</f>
        <v>430.11660085503223</v>
      </c>
      <c r="T149" s="60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1.2710188457276673E-13</v>
      </c>
      <c r="AK149" s="14">
        <f t="shared" si="143"/>
        <v>1.856866851063998E-12</v>
      </c>
      <c r="AL149" s="22">
        <f t="shared" si="112"/>
        <v>3.4554122145673649E-12</v>
      </c>
      <c r="AM149" s="60">
        <f t="shared" si="113"/>
        <v>293.33333333333678</v>
      </c>
      <c r="AN149" s="60">
        <f ca="1">AVERAGE(OFFSET($AM$3,0,0,'Données projet'!$E$10+1,1))-AVERAGE(OFFSET($H$3,0,0,'Données projet'!$E$10+1,1))</f>
        <v>323.98185264074681</v>
      </c>
      <c r="AO149" s="60">
        <f t="shared" si="144"/>
        <v>301.22207291854005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0.44860219708038668</v>
      </c>
      <c r="AV149" s="23">
        <f>EXP(-LN(2)/25)*AV148+(1-EXP(-LN(2)/25))/(LN(2)/25)*Calculateur!AQ149*Calculateur!AS149*VLOOKUP('Données projet'!$B$10,Paramètres!$A$1:$I$89,3,0)*0.475*44/12</f>
        <v>0.33077493576017397</v>
      </c>
      <c r="AW149" s="23">
        <f>EXP(-LN(2)/2)*AW148+(1-EXP(-LN(2)/2))/(LN(2)/2)*AQ149*AT149*VLOOKUP('Données projet'!$B$10,Paramètres!$A$1:$I$89,3,0)*0.475*44/12</f>
        <v>2.112132406340707E-17</v>
      </c>
      <c r="AX149" s="23">
        <f t="shared" si="114"/>
        <v>0.77937713284056065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4.1333333333333337</v>
      </c>
      <c r="BD149" s="13">
        <f>IF('Données projet'!$A$88&gt;35,BD148+BC149-BL148,IF(A149&lt;'Données projet'!$A$88,$BA$205^A149,IF(A149='Données projet'!$A$88,'Données projet'!$B$88,BD148+BC149-BL148)))</f>
        <v>469.46666666666636</v>
      </c>
      <c r="BE149" s="14">
        <f>BD149*VLOOKUP('Données projet'!$B$11,Paramètres!$A$1:$I$89,3,0)*VLOOKUP('Données projet'!$B$11,Paramètres!$A$1:$I$89,5,0)</f>
        <v>402.80239999999981</v>
      </c>
      <c r="BF149" s="14">
        <f t="shared" si="145"/>
        <v>92.344577755792059</v>
      </c>
      <c r="BG149" s="22">
        <f t="shared" si="115"/>
        <v>862.38098625800421</v>
      </c>
      <c r="BH149" s="60">
        <f t="shared" si="116"/>
        <v>1155.7143195913375</v>
      </c>
      <c r="BI149" s="60">
        <f ca="1">AVERAGE(OFFSET($BH$3,0,0,'Données projet'!$E$11+1,1))-AVERAGE(OFFSET($H$3,0,0,'Données projet'!$E$11+1,1))</f>
        <v>556.75475431848258</v>
      </c>
      <c r="BJ149" s="60">
        <f t="shared" si="146"/>
        <v>256.77417912163997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3.4106051316484809E-13</v>
      </c>
      <c r="BZ149" s="14">
        <f>BY149*VLOOKUP('Données projet'!$B$12,Paramètres!$A$1:$I$89,3,0)*VLOOKUP('Données projet'!$B$12,Paramètres!$A$1:$I$89,5,0)</f>
        <v>2.5006556825246659E-13</v>
      </c>
      <c r="CA149" s="14">
        <f t="shared" si="147"/>
        <v>3.3765445850268018E-12</v>
      </c>
      <c r="CB149" s="22">
        <f t="shared" si="118"/>
        <v>6.3163460169613921E-12</v>
      </c>
      <c r="CC149" s="60">
        <f t="shared" si="119"/>
        <v>293.33333333333962</v>
      </c>
      <c r="CD149" s="60">
        <f ca="1">AVERAGE(OFFSET($CC$3,0,0,'Données projet'!$E$12+1,1))-AVERAGE(OFFSET($H$3,0,0,'Données projet'!$E$12+1,1))</f>
        <v>290.68086183422963</v>
      </c>
      <c r="CE149" s="60">
        <f t="shared" si="148"/>
        <v>317.88330630101785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1.9895196601282805E-13</v>
      </c>
      <c r="CU149" s="18">
        <f>CT149*VLOOKUP('Données projet'!$B$13,Paramètres!$A$1:$I$89,3,0)*VLOOKUP('Données projet'!$B$13,Paramètres!$A$1:$I$89,5,0)</f>
        <v>1.3035332813160495E-13</v>
      </c>
      <c r="CV149" s="14">
        <f t="shared" si="149"/>
        <v>1.8987770485018903E-12</v>
      </c>
      <c r="CW149" s="22">
        <f t="shared" si="121"/>
        <v>3.5340687393033375E-12</v>
      </c>
      <c r="CX149" s="60">
        <f t="shared" si="122"/>
        <v>293.33333333333684</v>
      </c>
      <c r="CY149" s="60">
        <f ca="1">AVERAGE(OFFSET($CX$3,0,0,'Données projet'!$E$13+1,1))-AVERAGE(OFFSET($H$3,0,0,'Données projet'!$E$13+1,1))</f>
        <v>243.04319555814601</v>
      </c>
      <c r="CZ149" s="60">
        <f t="shared" si="150"/>
        <v>235.68746142880792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201.4732637505823</v>
      </c>
      <c r="DU149" s="60">
        <f t="shared" si="152"/>
        <v>342.06887933351783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0.66407391790427683</v>
      </c>
      <c r="EB149" s="23">
        <f>EXP(-LN(2)/25)*EB148+(1-EXP(-LN(2)/25))/(LN(2)/25)*Calculateur!DW149*Calculateur!DY149*VLOOKUP('Données projet'!$B$14,Paramètres!$A$1:$I$89,3,0)*0.475*44/12</f>
        <v>1.0605088529922435</v>
      </c>
      <c r="EC149" s="23">
        <f>EXP(-LN(2)/2)*EC148+(1-EXP(-LN(2)/2))/(LN(2)/2)*DW149*DZ149*VLOOKUP('Données projet'!$B$14,Paramètres!$A$1:$I$89,3,0)*0.475*44/12</f>
        <v>4.6480725674591332E-17</v>
      </c>
      <c r="ED149" s="24">
        <f t="shared" si="126"/>
        <v>1.7245827708965202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-2.0395418687257919E-13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260.01925143568263</v>
      </c>
      <c r="EP149" s="60">
        <f t="shared" si="154"/>
        <v>269.95358755269427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1.4286921193065569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1.4286921193065569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-9.2222762759774927E-14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256.19915261735281</v>
      </c>
      <c r="FK149" s="60">
        <f t="shared" si="156"/>
        <v>297.47246687305056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2.8421709430404007E-14</v>
      </c>
      <c r="GA149" s="18">
        <f>FZ149*VLOOKUP('Données projet'!$B$17,Paramètres!$A$1:$I$89,3,0)*VLOOKUP('Données projet'!$B$17,Paramètres!$A$1:$I$89,5,0)</f>
        <v>1.6257217794191094E-14</v>
      </c>
      <c r="GB149" s="14">
        <f t="shared" si="157"/>
        <v>3.0173973759155586E-13</v>
      </c>
      <c r="GC149" s="22">
        <f t="shared" si="133"/>
        <v>5.538446972968425E-13</v>
      </c>
      <c r="GD149" s="60">
        <f t="shared" si="134"/>
        <v>293.33333333333388</v>
      </c>
      <c r="GE149" s="60">
        <f ca="1">AVERAGE(OFFSET($GD$3,0,0,'Données projet'!$E$17+1,1))-AVERAGE(OFFSET($H$3,0,0,'Données projet'!$E$17+1,1))</f>
        <v>268.71641789629319</v>
      </c>
      <c r="GF149" s="60">
        <f t="shared" si="158"/>
        <v>199.94048514486104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8.4216652740660244E-2</v>
      </c>
      <c r="GN149" s="23">
        <f>EXP(-LN(2)/2)*GN148+(1-EXP(-LN(2)/2))/(LN(2)/2)*GH149*GK149*VLOOKUP('Données projet'!$B$17,Paramètres!$A$1:$I$89,3,0)*0.475*44/12</f>
        <v>2.4201874081163823E-17</v>
      </c>
      <c r="GO149" s="23">
        <f t="shared" si="135"/>
        <v>8.4216652740660272E-2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-2.8421709430404007E-13</v>
      </c>
      <c r="GV149" s="18">
        <f>GU149*VLOOKUP('Données projet'!$B$18,Paramètres!$A$1:$I$89,3,0)*VLOOKUP('Données projet'!$B$18,Paramètres!$A$1:$I$89,5,0)</f>
        <v>-1.69961822393816E-13</v>
      </c>
      <c r="GW149" s="14" t="e">
        <f t="shared" si="159"/>
        <v>#NUM!</v>
      </c>
      <c r="GX149" s="22" t="e">
        <f t="shared" si="136"/>
        <v>#NUM!</v>
      </c>
      <c r="GY149" s="60" t="e">
        <f t="shared" si="137"/>
        <v>#NUM!</v>
      </c>
      <c r="GZ149" s="60">
        <f ca="1">AVERAGE(OFFSET($GY$3,0,0,'Données projet'!$E$18+1,1))-AVERAGE(OFFSET($H$3,0,0,'Données projet'!$E$18+1,1))</f>
        <v>289.12367833861299</v>
      </c>
      <c r="HA149" s="60">
        <f t="shared" si="160"/>
        <v>229.06617320689003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1.4387224321709724E-17</v>
      </c>
      <c r="HJ149" s="24">
        <f t="shared" si="138"/>
        <v>1.4387224321709724E-17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270.17327999999924</v>
      </c>
      <c r="P150" s="14">
        <f t="shared" si="141"/>
        <v>64.886042303882803</v>
      </c>
      <c r="Q150" s="22">
        <f t="shared" si="108"/>
        <v>583.56165301259455</v>
      </c>
      <c r="R150" s="60">
        <f t="shared" si="109"/>
        <v>876.89498634592792</v>
      </c>
      <c r="S150" s="60">
        <f ca="1">AVERAGE(OFFSET($R$3,0,0,'Données projet'!$E$9+1,1))-AVERAGE(OFFSET($H$3,0,0,'Données projet'!$E$9+1,1))</f>
        <v>430.11660085503223</v>
      </c>
      <c r="T150" s="60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1.2710188457276673E-13</v>
      </c>
      <c r="AK150" s="14">
        <f t="shared" si="143"/>
        <v>1.856866851063998E-12</v>
      </c>
      <c r="AL150" s="22">
        <f t="shared" si="112"/>
        <v>3.4554122145673649E-12</v>
      </c>
      <c r="AM150" s="60">
        <f t="shared" si="113"/>
        <v>293.33333333333678</v>
      </c>
      <c r="AN150" s="60">
        <f ca="1">AVERAGE(OFFSET($AM$3,0,0,'Données projet'!$E$10+1,1))-AVERAGE(OFFSET($H$3,0,0,'Données projet'!$E$10+1,1))</f>
        <v>323.98185264074681</v>
      </c>
      <c r="AO150" s="60">
        <f t="shared" si="144"/>
        <v>301.22207291854005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0.43980538161596278</v>
      </c>
      <c r="AV150" s="23">
        <f>EXP(-LN(2)/25)*AV149+(1-EXP(-LN(2)/25))/(LN(2)/25)*Calculateur!AQ150*Calculateur!AS150*VLOOKUP('Données projet'!$B$10,Paramètres!$A$1:$I$89,3,0)*0.475*44/12</f>
        <v>0.32172987774711415</v>
      </c>
      <c r="AW150" s="23">
        <f>EXP(-LN(2)/2)*AW149+(1-EXP(-LN(2)/2))/(LN(2)/2)*AQ150*AT150*VLOOKUP('Données projet'!$B$10,Paramètres!$A$1:$I$89,3,0)*0.475*44/12</f>
        <v>1.4935031472873744E-17</v>
      </c>
      <c r="AX150" s="23">
        <f t="shared" si="114"/>
        <v>0.76153525936307687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4.1333333333333337</v>
      </c>
      <c r="BD150" s="13">
        <f>IF('Données projet'!$A$88&gt;35,BD149+BC150-BL149,IF(A150&lt;'Données projet'!$A$88,$BA$205^A150,IF(A150='Données projet'!$A$88,'Données projet'!$B$88,BD149+BC150-BL149)))</f>
        <v>473.59999999999968</v>
      </c>
      <c r="BE150" s="14">
        <f>BD150*VLOOKUP('Données projet'!$B$11,Paramètres!$A$1:$I$89,3,0)*VLOOKUP('Données projet'!$B$11,Paramètres!$A$1:$I$89,5,0)</f>
        <v>406.34879999999976</v>
      </c>
      <c r="BF150" s="14">
        <f t="shared" si="145"/>
        <v>93.062604974279168</v>
      </c>
      <c r="BG150" s="22">
        <f t="shared" si="115"/>
        <v>869.80819699686901</v>
      </c>
      <c r="BH150" s="60">
        <f t="shared" si="116"/>
        <v>1163.1415303302024</v>
      </c>
      <c r="BI150" s="60">
        <f ca="1">AVERAGE(OFFSET($BH$3,0,0,'Données projet'!$E$11+1,1))-AVERAGE(OFFSET($H$3,0,0,'Données projet'!$E$11+1,1))</f>
        <v>556.75475431848258</v>
      </c>
      <c r="BJ150" s="60">
        <f t="shared" si="146"/>
        <v>256.77417912163997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3.4106051316484809E-13</v>
      </c>
      <c r="BZ150" s="14">
        <f>BY150*VLOOKUP('Données projet'!$B$12,Paramètres!$A$1:$I$89,3,0)*VLOOKUP('Données projet'!$B$12,Paramètres!$A$1:$I$89,5,0)</f>
        <v>2.5006556825246659E-13</v>
      </c>
      <c r="CA150" s="14">
        <f t="shared" si="147"/>
        <v>3.3765445850268018E-12</v>
      </c>
      <c r="CB150" s="22">
        <f t="shared" si="118"/>
        <v>6.3163460169613921E-12</v>
      </c>
      <c r="CC150" s="60">
        <f t="shared" si="119"/>
        <v>293.33333333333962</v>
      </c>
      <c r="CD150" s="60">
        <f ca="1">AVERAGE(OFFSET($CC$3,0,0,'Données projet'!$E$12+1,1))-AVERAGE(OFFSET($H$3,0,0,'Données projet'!$E$12+1,1))</f>
        <v>290.68086183422963</v>
      </c>
      <c r="CE150" s="60">
        <f t="shared" si="148"/>
        <v>317.88330630101785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1.9895196601282805E-13</v>
      </c>
      <c r="CU150" s="18">
        <f>CT150*VLOOKUP('Données projet'!$B$13,Paramètres!$A$1:$I$89,3,0)*VLOOKUP('Données projet'!$B$13,Paramètres!$A$1:$I$89,5,0)</f>
        <v>1.3035332813160495E-13</v>
      </c>
      <c r="CV150" s="14">
        <f t="shared" si="149"/>
        <v>1.8987770485018903E-12</v>
      </c>
      <c r="CW150" s="22">
        <f t="shared" si="121"/>
        <v>3.5340687393033375E-12</v>
      </c>
      <c r="CX150" s="60">
        <f t="shared" si="122"/>
        <v>293.33333333333684</v>
      </c>
      <c r="CY150" s="60">
        <f ca="1">AVERAGE(OFFSET($CX$3,0,0,'Données projet'!$E$13+1,1))-AVERAGE(OFFSET($H$3,0,0,'Données projet'!$E$13+1,1))</f>
        <v>243.04319555814601</v>
      </c>
      <c r="CZ150" s="60">
        <f t="shared" si="150"/>
        <v>235.68746142880792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201.4732637505823</v>
      </c>
      <c r="DU150" s="60">
        <f t="shared" si="152"/>
        <v>342.06887933351783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0.65105183341926898</v>
      </c>
      <c r="EB150" s="23">
        <f>EXP(-LN(2)/25)*EB149+(1-EXP(-LN(2)/25))/(LN(2)/25)*Calculateur!DW150*Calculateur!DY150*VLOOKUP('Données projet'!$B$14,Paramètres!$A$1:$I$89,3,0)*0.475*44/12</f>
        <v>1.0315091826374339</v>
      </c>
      <c r="EC150" s="23">
        <f>EXP(-LN(2)/2)*EC149+(1-EXP(-LN(2)/2))/(LN(2)/2)*DW150*DZ150*VLOOKUP('Données projet'!$B$14,Paramètres!$A$1:$I$89,3,0)*0.475*44/12</f>
        <v>3.2866836318975194E-17</v>
      </c>
      <c r="ED150" s="24">
        <f t="shared" si="126"/>
        <v>1.6825610160567028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-2.0395418687257919E-13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260.01925143568263</v>
      </c>
      <c r="EP150" s="60">
        <f t="shared" si="154"/>
        <v>269.95358755269427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1.4006763382631029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1.4006763382631029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-9.2222762759774927E-14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256.19915261735281</v>
      </c>
      <c r="FK150" s="60">
        <f t="shared" si="156"/>
        <v>297.47246687305056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2.8421709430404007E-14</v>
      </c>
      <c r="GA150" s="18">
        <f>FZ150*VLOOKUP('Données projet'!$B$17,Paramètres!$A$1:$I$89,3,0)*VLOOKUP('Données projet'!$B$17,Paramètres!$A$1:$I$89,5,0)</f>
        <v>1.6257217794191094E-14</v>
      </c>
      <c r="GB150" s="14">
        <f t="shared" si="157"/>
        <v>3.0173973759155586E-13</v>
      </c>
      <c r="GC150" s="22">
        <f t="shared" si="133"/>
        <v>5.538446972968425E-13</v>
      </c>
      <c r="GD150" s="60">
        <f t="shared" si="134"/>
        <v>293.33333333333388</v>
      </c>
      <c r="GE150" s="60">
        <f ca="1">AVERAGE(OFFSET($GD$3,0,0,'Données projet'!$E$17+1,1))-AVERAGE(OFFSET($H$3,0,0,'Données projet'!$E$17+1,1))</f>
        <v>268.71641789629319</v>
      </c>
      <c r="GF150" s="60">
        <f t="shared" si="158"/>
        <v>199.94048514486104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8.1913743942705605E-2</v>
      </c>
      <c r="GN150" s="23">
        <f>EXP(-LN(2)/2)*GN149+(1-EXP(-LN(2)/2))/(LN(2)/2)*GH150*GK150*VLOOKUP('Données projet'!$B$17,Paramètres!$A$1:$I$89,3,0)*0.475*44/12</f>
        <v>1.7113309280213883E-17</v>
      </c>
      <c r="GO150" s="23">
        <f t="shared" si="135"/>
        <v>8.1913743942705619E-2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-2.8421709430404007E-13</v>
      </c>
      <c r="GV150" s="18">
        <f>GU150*VLOOKUP('Données projet'!$B$18,Paramètres!$A$1:$I$89,3,0)*VLOOKUP('Données projet'!$B$18,Paramètres!$A$1:$I$89,5,0)</f>
        <v>-1.69961822393816E-13</v>
      </c>
      <c r="GW150" s="14" t="e">
        <f t="shared" si="159"/>
        <v>#NUM!</v>
      </c>
      <c r="GX150" s="22" t="e">
        <f t="shared" si="136"/>
        <v>#NUM!</v>
      </c>
      <c r="GY150" s="60" t="e">
        <f t="shared" si="137"/>
        <v>#NUM!</v>
      </c>
      <c r="GZ150" s="60">
        <f ca="1">AVERAGE(OFFSET($GY$3,0,0,'Données projet'!$E$18+1,1))-AVERAGE(OFFSET($H$3,0,0,'Données projet'!$E$18+1,1))</f>
        <v>289.12367833861299</v>
      </c>
      <c r="HA150" s="60">
        <f t="shared" si="160"/>
        <v>229.06617320689003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1.0173303880332972E-17</v>
      </c>
      <c r="HJ150" s="24">
        <f t="shared" si="138"/>
        <v>1.0173303880332972E-17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272.40511999999921</v>
      </c>
      <c r="P151" s="14">
        <f t="shared" si="141"/>
        <v>65.35943270177107</v>
      </c>
      <c r="Q151" s="22">
        <f t="shared" si="108"/>
        <v>588.27326262224994</v>
      </c>
      <c r="R151" s="60">
        <f t="shared" si="109"/>
        <v>881.60659595558332</v>
      </c>
      <c r="S151" s="60">
        <f ca="1">AVERAGE(OFFSET($R$3,0,0,'Données projet'!$E$9+1,1))-AVERAGE(OFFSET($H$3,0,0,'Données projet'!$E$9+1,1))</f>
        <v>430.11660085503223</v>
      </c>
      <c r="T151" s="60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1.2710188457276673E-13</v>
      </c>
      <c r="AK151" s="14">
        <f t="shared" si="143"/>
        <v>1.856866851063998E-12</v>
      </c>
      <c r="AL151" s="22">
        <f t="shared" si="112"/>
        <v>3.4554122145673649E-12</v>
      </c>
      <c r="AM151" s="60">
        <f t="shared" si="113"/>
        <v>293.33333333333678</v>
      </c>
      <c r="AN151" s="60">
        <f ca="1">AVERAGE(OFFSET($AM$3,0,0,'Données projet'!$E$10+1,1))-AVERAGE(OFFSET($H$3,0,0,'Données projet'!$E$10+1,1))</f>
        <v>323.98185264074681</v>
      </c>
      <c r="AO151" s="60">
        <f t="shared" si="144"/>
        <v>301.22207291854005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0.43118106633726855</v>
      </c>
      <c r="AV151" s="23">
        <f>EXP(-LN(2)/25)*AV150+(1-EXP(-LN(2)/25))/(LN(2)/25)*Calculateur!AQ151*Calculateur!AS151*VLOOKUP('Données projet'!$B$10,Paramètres!$A$1:$I$89,3,0)*0.475*44/12</f>
        <v>0.31293215732108037</v>
      </c>
      <c r="AW151" s="23">
        <f>EXP(-LN(2)/2)*AW150+(1-EXP(-LN(2)/2))/(LN(2)/2)*AQ151*AT151*VLOOKUP('Données projet'!$B$10,Paramètres!$A$1:$I$89,3,0)*0.475*44/12</f>
        <v>1.0560662031703535E-17</v>
      </c>
      <c r="AX151" s="23">
        <f t="shared" si="114"/>
        <v>0.74411322365834898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4.1333333333333337</v>
      </c>
      <c r="BD151" s="13">
        <f>IF('Données projet'!$A$88&gt;35,BD150+BC151-BL150,IF(A151&lt;'Données projet'!$A$88,$BA$205^A151,IF(A151='Données projet'!$A$88,'Données projet'!$B$88,BD150+BC151-BL150)))</f>
        <v>477.73333333333301</v>
      </c>
      <c r="BE151" s="14">
        <f>BD151*VLOOKUP('Données projet'!$B$11,Paramètres!$A$1:$I$89,3,0)*VLOOKUP('Données projet'!$B$11,Paramètres!$A$1:$I$89,5,0)</f>
        <v>409.89519999999976</v>
      </c>
      <c r="BF151" s="14">
        <f t="shared" si="145"/>
        <v>93.77990312503043</v>
      </c>
      <c r="BG151" s="22">
        <f t="shared" si="115"/>
        <v>877.23413794276087</v>
      </c>
      <c r="BH151" s="60">
        <f t="shared" si="116"/>
        <v>1170.5674712760942</v>
      </c>
      <c r="BI151" s="60">
        <f ca="1">AVERAGE(OFFSET($BH$3,0,0,'Données projet'!$E$11+1,1))-AVERAGE(OFFSET($H$3,0,0,'Données projet'!$E$11+1,1))</f>
        <v>556.75475431848258</v>
      </c>
      <c r="BJ151" s="60">
        <f t="shared" si="146"/>
        <v>256.77417912163997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3.4106051316484809E-13</v>
      </c>
      <c r="BZ151" s="14">
        <f>BY151*VLOOKUP('Données projet'!$B$12,Paramètres!$A$1:$I$89,3,0)*VLOOKUP('Données projet'!$B$12,Paramètres!$A$1:$I$89,5,0)</f>
        <v>2.5006556825246659E-13</v>
      </c>
      <c r="CA151" s="14">
        <f t="shared" si="147"/>
        <v>3.3765445850268018E-12</v>
      </c>
      <c r="CB151" s="22">
        <f t="shared" si="118"/>
        <v>6.3163460169613921E-12</v>
      </c>
      <c r="CC151" s="60">
        <f t="shared" si="119"/>
        <v>293.33333333333962</v>
      </c>
      <c r="CD151" s="60">
        <f ca="1">AVERAGE(OFFSET($CC$3,0,0,'Données projet'!$E$12+1,1))-AVERAGE(OFFSET($H$3,0,0,'Données projet'!$E$12+1,1))</f>
        <v>290.68086183422963</v>
      </c>
      <c r="CE151" s="60">
        <f t="shared" si="148"/>
        <v>317.88330630101785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1.9895196601282805E-13</v>
      </c>
      <c r="CU151" s="18">
        <f>CT151*VLOOKUP('Données projet'!$B$13,Paramètres!$A$1:$I$89,3,0)*VLOOKUP('Données projet'!$B$13,Paramètres!$A$1:$I$89,5,0)</f>
        <v>1.3035332813160495E-13</v>
      </c>
      <c r="CV151" s="14">
        <f t="shared" si="149"/>
        <v>1.8987770485018903E-12</v>
      </c>
      <c r="CW151" s="22">
        <f t="shared" si="121"/>
        <v>3.5340687393033375E-12</v>
      </c>
      <c r="CX151" s="60">
        <f t="shared" si="122"/>
        <v>293.33333333333684</v>
      </c>
      <c r="CY151" s="60">
        <f ca="1">AVERAGE(OFFSET($CX$3,0,0,'Données projet'!$E$13+1,1))-AVERAGE(OFFSET($H$3,0,0,'Données projet'!$E$13+1,1))</f>
        <v>243.04319555814601</v>
      </c>
      <c r="CZ151" s="60">
        <f t="shared" si="150"/>
        <v>235.68746142880792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201.4732637505823</v>
      </c>
      <c r="DU151" s="60">
        <f t="shared" si="152"/>
        <v>342.06887933351783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0.63828510406832484</v>
      </c>
      <c r="EB151" s="23">
        <f>EXP(-LN(2)/25)*EB150+(1-EXP(-LN(2)/25))/(LN(2)/25)*Calculateur!DW151*Calculateur!DY151*VLOOKUP('Données projet'!$B$14,Paramètres!$A$1:$I$89,3,0)*0.475*44/12</f>
        <v>1.0033025097935029</v>
      </c>
      <c r="EC151" s="23">
        <f>EXP(-LN(2)/2)*EC150+(1-EXP(-LN(2)/2))/(LN(2)/2)*DW151*DZ151*VLOOKUP('Données projet'!$B$14,Paramètres!$A$1:$I$89,3,0)*0.475*44/12</f>
        <v>2.3240362837295666E-17</v>
      </c>
      <c r="ED151" s="24">
        <f t="shared" si="126"/>
        <v>1.6415876138618277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-2.0395418687257919E-13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260.01925143568263</v>
      </c>
      <c r="EP151" s="60">
        <f t="shared" si="154"/>
        <v>269.95358755269427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1.3732099295979718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1.3732099295979718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-9.2222762759774927E-14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256.19915261735281</v>
      </c>
      <c r="FK151" s="60">
        <f t="shared" si="156"/>
        <v>297.47246687305056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2.8421709430404007E-14</v>
      </c>
      <c r="GA151" s="18">
        <f>FZ151*VLOOKUP('Données projet'!$B$17,Paramètres!$A$1:$I$89,3,0)*VLOOKUP('Données projet'!$B$17,Paramètres!$A$1:$I$89,5,0)</f>
        <v>1.6257217794191094E-14</v>
      </c>
      <c r="GB151" s="14">
        <f t="shared" si="157"/>
        <v>3.0173973759155586E-13</v>
      </c>
      <c r="GC151" s="22">
        <f t="shared" si="133"/>
        <v>5.538446972968425E-13</v>
      </c>
      <c r="GD151" s="60">
        <f t="shared" si="134"/>
        <v>293.33333333333388</v>
      </c>
      <c r="GE151" s="60">
        <f ca="1">AVERAGE(OFFSET($GD$3,0,0,'Données projet'!$E$17+1,1))-AVERAGE(OFFSET($H$3,0,0,'Données projet'!$E$17+1,1))</f>
        <v>268.71641789629319</v>
      </c>
      <c r="GF151" s="60">
        <f t="shared" si="158"/>
        <v>199.94048514486104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7.9673808306935739E-2</v>
      </c>
      <c r="GN151" s="23">
        <f>EXP(-LN(2)/2)*GN150+(1-EXP(-LN(2)/2))/(LN(2)/2)*GH151*GK151*VLOOKUP('Données projet'!$B$17,Paramètres!$A$1:$I$89,3,0)*0.475*44/12</f>
        <v>1.2100937040581911E-17</v>
      </c>
      <c r="GO151" s="23">
        <f t="shared" si="135"/>
        <v>7.9673808306935753E-2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-2.8421709430404007E-13</v>
      </c>
      <c r="GV151" s="18">
        <f>GU151*VLOOKUP('Données projet'!$B$18,Paramètres!$A$1:$I$89,3,0)*VLOOKUP('Données projet'!$B$18,Paramètres!$A$1:$I$89,5,0)</f>
        <v>-1.69961822393816E-13</v>
      </c>
      <c r="GW151" s="14" t="e">
        <f t="shared" si="159"/>
        <v>#NUM!</v>
      </c>
      <c r="GX151" s="22" t="e">
        <f t="shared" si="136"/>
        <v>#NUM!</v>
      </c>
      <c r="GY151" s="60" t="e">
        <f t="shared" si="137"/>
        <v>#NUM!</v>
      </c>
      <c r="GZ151" s="60">
        <f ca="1">AVERAGE(OFFSET($GY$3,0,0,'Données projet'!$E$18+1,1))-AVERAGE(OFFSET($H$3,0,0,'Données projet'!$E$18+1,1))</f>
        <v>289.12367833861299</v>
      </c>
      <c r="HA151" s="60">
        <f t="shared" si="160"/>
        <v>229.06617320689003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7.1936121608548618E-18</v>
      </c>
      <c r="HJ151" s="24">
        <f t="shared" si="138"/>
        <v>7.1936121608548618E-18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274.63695999999919</v>
      </c>
      <c r="P152" s="14">
        <f t="shared" si="141"/>
        <v>65.83237184854913</v>
      </c>
      <c r="Q152" s="22">
        <f t="shared" si="108"/>
        <v>592.98408630288839</v>
      </c>
      <c r="R152" s="60">
        <f t="shared" si="109"/>
        <v>886.31741963622176</v>
      </c>
      <c r="S152" s="60">
        <f ca="1">AVERAGE(OFFSET($R$3,0,0,'Données projet'!$E$9+1,1))-AVERAGE(OFFSET($H$3,0,0,'Données projet'!$E$9+1,1))</f>
        <v>430.11660085503223</v>
      </c>
      <c r="T152" s="60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1.2710188457276673E-13</v>
      </c>
      <c r="AK152" s="14">
        <f t="shared" si="143"/>
        <v>1.856866851063998E-12</v>
      </c>
      <c r="AL152" s="22">
        <f t="shared" si="112"/>
        <v>3.4554122145673649E-12</v>
      </c>
      <c r="AM152" s="60">
        <f t="shared" si="113"/>
        <v>293.33333333333678</v>
      </c>
      <c r="AN152" s="60">
        <f ca="1">AVERAGE(OFFSET($AM$3,0,0,'Données projet'!$E$10+1,1))-AVERAGE(OFFSET($H$3,0,0,'Données projet'!$E$10+1,1))</f>
        <v>323.98185264074681</v>
      </c>
      <c r="AO152" s="60">
        <f t="shared" si="144"/>
        <v>301.22207291854005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0.42272586862087663</v>
      </c>
      <c r="AV152" s="23">
        <f>EXP(-LN(2)/25)*AV151+(1-EXP(-LN(2)/25))/(LN(2)/25)*Calculateur!AQ152*Calculateur!AS152*VLOOKUP('Données projet'!$B$10,Paramètres!$A$1:$I$89,3,0)*0.475*44/12</f>
        <v>0.3043750110227485</v>
      </c>
      <c r="AW152" s="23">
        <f>EXP(-LN(2)/2)*AW151+(1-EXP(-LN(2)/2))/(LN(2)/2)*AQ152*AT152*VLOOKUP('Données projet'!$B$10,Paramètres!$A$1:$I$89,3,0)*0.475*44/12</f>
        <v>7.4675157364368719E-18</v>
      </c>
      <c r="AX152" s="23">
        <f t="shared" si="114"/>
        <v>0.72710087964362513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4.1333333333333337</v>
      </c>
      <c r="BD152" s="13">
        <f>IF('Données projet'!$A$88&gt;35,BD151+BC152-BL151,IF(A152&lt;'Données projet'!$A$88,$BA$205^A152,IF(A152='Données projet'!$A$88,'Données projet'!$B$88,BD151+BC152-BL151)))</f>
        <v>481.86666666666633</v>
      </c>
      <c r="BE152" s="14">
        <f>BD152*VLOOKUP('Données projet'!$B$11,Paramètres!$A$1:$I$89,3,0)*VLOOKUP('Données projet'!$B$11,Paramètres!$A$1:$I$89,5,0)</f>
        <v>413.44159999999982</v>
      </c>
      <c r="BF152" s="14">
        <f t="shared" si="145"/>
        <v>94.496479246783977</v>
      </c>
      <c r="BG152" s="22">
        <f t="shared" si="115"/>
        <v>884.65882135481513</v>
      </c>
      <c r="BH152" s="60">
        <f t="shared" si="116"/>
        <v>1177.9921546881485</v>
      </c>
      <c r="BI152" s="60">
        <f ca="1">AVERAGE(OFFSET($BH$3,0,0,'Données projet'!$E$11+1,1))-AVERAGE(OFFSET($H$3,0,0,'Données projet'!$E$11+1,1))</f>
        <v>556.75475431848258</v>
      </c>
      <c r="BJ152" s="60">
        <f t="shared" si="146"/>
        <v>256.77417912163997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3.4106051316484809E-13</v>
      </c>
      <c r="BZ152" s="14">
        <f>BY152*VLOOKUP('Données projet'!$B$12,Paramètres!$A$1:$I$89,3,0)*VLOOKUP('Données projet'!$B$12,Paramètres!$A$1:$I$89,5,0)</f>
        <v>2.5006556825246659E-13</v>
      </c>
      <c r="CA152" s="14">
        <f t="shared" si="147"/>
        <v>3.3765445850268018E-12</v>
      </c>
      <c r="CB152" s="22">
        <f t="shared" si="118"/>
        <v>6.3163460169613921E-12</v>
      </c>
      <c r="CC152" s="60">
        <f t="shared" si="119"/>
        <v>293.33333333333962</v>
      </c>
      <c r="CD152" s="60">
        <f ca="1">AVERAGE(OFFSET($CC$3,0,0,'Données projet'!$E$12+1,1))-AVERAGE(OFFSET($H$3,0,0,'Données projet'!$E$12+1,1))</f>
        <v>290.68086183422963</v>
      </c>
      <c r="CE152" s="60">
        <f t="shared" si="148"/>
        <v>317.88330630101785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1.9895196601282805E-13</v>
      </c>
      <c r="CU152" s="18">
        <f>CT152*VLOOKUP('Données projet'!$B$13,Paramètres!$A$1:$I$89,3,0)*VLOOKUP('Données projet'!$B$13,Paramètres!$A$1:$I$89,5,0)</f>
        <v>1.3035332813160495E-13</v>
      </c>
      <c r="CV152" s="14">
        <f t="shared" si="149"/>
        <v>1.8987770485018903E-12</v>
      </c>
      <c r="CW152" s="22">
        <f t="shared" si="121"/>
        <v>3.5340687393033375E-12</v>
      </c>
      <c r="CX152" s="60">
        <f t="shared" si="122"/>
        <v>293.33333333333684</v>
      </c>
      <c r="CY152" s="60">
        <f ca="1">AVERAGE(OFFSET($CX$3,0,0,'Données projet'!$E$13+1,1))-AVERAGE(OFFSET($H$3,0,0,'Données projet'!$E$13+1,1))</f>
        <v>243.04319555814601</v>
      </c>
      <c r="CZ152" s="60">
        <f t="shared" si="150"/>
        <v>235.68746142880792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201.4732637505823</v>
      </c>
      <c r="DU152" s="60">
        <f t="shared" si="152"/>
        <v>342.06887933351783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0.62576872249301674</v>
      </c>
      <c r="EB152" s="23">
        <f>EXP(-LN(2)/25)*EB151+(1-EXP(-LN(2)/25))/(LN(2)/25)*Calculateur!DW152*Calculateur!DY152*VLOOKUP('Données projet'!$B$14,Paramètres!$A$1:$I$89,3,0)*0.475*44/12</f>
        <v>0.97586714990181367</v>
      </c>
      <c r="EC152" s="23">
        <f>EXP(-LN(2)/2)*EC151+(1-EXP(-LN(2)/2))/(LN(2)/2)*DW152*DZ152*VLOOKUP('Données projet'!$B$14,Paramètres!$A$1:$I$89,3,0)*0.475*44/12</f>
        <v>1.6433418159487597E-17</v>
      </c>
      <c r="ED152" s="24">
        <f t="shared" si="126"/>
        <v>1.6016358723948305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-2.0395418687257919E-13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260.01925143568263</v>
      </c>
      <c r="EP152" s="60">
        <f t="shared" si="154"/>
        <v>269.95358755269427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1.346282120453909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1.346282120453909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-9.2222762759774927E-14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256.19915261735281</v>
      </c>
      <c r="FK152" s="60">
        <f t="shared" si="156"/>
        <v>297.47246687305056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2.8421709430404007E-14</v>
      </c>
      <c r="GA152" s="18">
        <f>FZ152*VLOOKUP('Données projet'!$B$17,Paramètres!$A$1:$I$89,3,0)*VLOOKUP('Données projet'!$B$17,Paramètres!$A$1:$I$89,5,0)</f>
        <v>1.6257217794191094E-14</v>
      </c>
      <c r="GB152" s="14">
        <f t="shared" si="157"/>
        <v>3.0173973759155586E-13</v>
      </c>
      <c r="GC152" s="22">
        <f t="shared" si="133"/>
        <v>5.538446972968425E-13</v>
      </c>
      <c r="GD152" s="60">
        <f t="shared" si="134"/>
        <v>293.33333333333388</v>
      </c>
      <c r="GE152" s="60">
        <f ca="1">AVERAGE(OFFSET($GD$3,0,0,'Données projet'!$E$17+1,1))-AVERAGE(OFFSET($H$3,0,0,'Données projet'!$E$17+1,1))</f>
        <v>268.71641789629319</v>
      </c>
      <c r="GF152" s="60">
        <f t="shared" si="158"/>
        <v>199.94048514486104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7.7495123828919099E-2</v>
      </c>
      <c r="GN152" s="23">
        <f>EXP(-LN(2)/2)*GN151+(1-EXP(-LN(2)/2))/(LN(2)/2)*GH152*GK152*VLOOKUP('Données projet'!$B$17,Paramètres!$A$1:$I$89,3,0)*0.475*44/12</f>
        <v>8.5566546401069414E-18</v>
      </c>
      <c r="GO152" s="23">
        <f t="shared" si="135"/>
        <v>7.7495123828919113E-2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-2.8421709430404007E-13</v>
      </c>
      <c r="GV152" s="18">
        <f>GU152*VLOOKUP('Données projet'!$B$18,Paramètres!$A$1:$I$89,3,0)*VLOOKUP('Données projet'!$B$18,Paramètres!$A$1:$I$89,5,0)</f>
        <v>-1.69961822393816E-13</v>
      </c>
      <c r="GW152" s="14" t="e">
        <f t="shared" si="159"/>
        <v>#NUM!</v>
      </c>
      <c r="GX152" s="22" t="e">
        <f t="shared" si="136"/>
        <v>#NUM!</v>
      </c>
      <c r="GY152" s="60" t="e">
        <f t="shared" si="137"/>
        <v>#NUM!</v>
      </c>
      <c r="GZ152" s="60">
        <f ca="1">AVERAGE(OFFSET($GY$3,0,0,'Données projet'!$E$18+1,1))-AVERAGE(OFFSET($H$3,0,0,'Données projet'!$E$18+1,1))</f>
        <v>289.12367833861299</v>
      </c>
      <c r="HA152" s="60">
        <f t="shared" si="160"/>
        <v>229.06617320689003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5.0866519401664861E-18</v>
      </c>
      <c r="HJ152" s="24">
        <f t="shared" si="138"/>
        <v>5.0866519401664861E-18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276.86879999999917</v>
      </c>
      <c r="P153" s="14">
        <f t="shared" si="141"/>
        <v>66.304863836318546</v>
      </c>
      <c r="Q153" s="22">
        <f t="shared" si="108"/>
        <v>597.69413118158661</v>
      </c>
      <c r="R153" s="60">
        <f t="shared" si="109"/>
        <v>891.02746451491998</v>
      </c>
      <c r="S153" s="60">
        <f ca="1">AVERAGE(OFFSET($R$3,0,0,'Données projet'!$E$9+1,1))-AVERAGE(OFFSET($H$3,0,0,'Données projet'!$E$9+1,1))</f>
        <v>430.11660085503223</v>
      </c>
      <c r="T153" s="60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1.2710188457276673E-13</v>
      </c>
      <c r="AK153" s="14">
        <f t="shared" si="143"/>
        <v>1.856866851063998E-12</v>
      </c>
      <c r="AL153" s="22">
        <f t="shared" si="112"/>
        <v>3.4554122145673649E-12</v>
      </c>
      <c r="AM153" s="60">
        <f t="shared" si="113"/>
        <v>293.33333333333678</v>
      </c>
      <c r="AN153" s="60">
        <f ca="1">AVERAGE(OFFSET($AM$3,0,0,'Données projet'!$E$10+1,1))-AVERAGE(OFFSET($H$3,0,0,'Données projet'!$E$10+1,1))</f>
        <v>323.98185264074681</v>
      </c>
      <c r="AO153" s="60">
        <f t="shared" si="144"/>
        <v>301.22207291854005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0.41443647217454177</v>
      </c>
      <c r="AV153" s="23">
        <f>EXP(-LN(2)/25)*AV152+(1-EXP(-LN(2)/25))/(LN(2)/25)*Calculateur!AQ153*Calculateur!AS153*VLOOKUP('Données projet'!$B$10,Paramètres!$A$1:$I$89,3,0)*0.475*44/12</f>
        <v>0.29605186033994529</v>
      </c>
      <c r="AW153" s="23">
        <f>EXP(-LN(2)/2)*AW152+(1-EXP(-LN(2)/2))/(LN(2)/2)*AQ153*AT153*VLOOKUP('Données projet'!$B$10,Paramètres!$A$1:$I$89,3,0)*0.475*44/12</f>
        <v>5.2803310158517676E-18</v>
      </c>
      <c r="AX153" s="23">
        <f t="shared" si="114"/>
        <v>0.71048833251448706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486</v>
      </c>
      <c r="BB153" s="13">
        <f>VLOOKUP(A153,'Données projet'!$A$87:$I$107,9,0)</f>
        <v>4.1333333333333337</v>
      </c>
      <c r="BC153" s="13">
        <f t="array" ref="BC153">INDEX(BB:BB,MIN(IF(ISNUMBER(BB153:BB349),ROW(BB153:BB349),"")))</f>
        <v>4.1333333333333337</v>
      </c>
      <c r="BD153" s="13">
        <f>IF('Données projet'!$A$88&gt;35,BD152+BC153-BL152,IF(A153&lt;'Données projet'!$A$88,$BA$205^A153,IF(A153='Données projet'!$A$88,'Données projet'!$B$88,BD152+BC153-BL152)))</f>
        <v>485.99999999999966</v>
      </c>
      <c r="BE153" s="14">
        <f>BD153*VLOOKUP('Données projet'!$B$11,Paramètres!$A$1:$I$89,3,0)*VLOOKUP('Données projet'!$B$11,Paramètres!$A$1:$I$89,5,0)</f>
        <v>416.98799999999977</v>
      </c>
      <c r="BF153" s="14">
        <f t="shared" si="145"/>
        <v>95.212340250555982</v>
      </c>
      <c r="BG153" s="22">
        <f t="shared" si="115"/>
        <v>892.08225926971784</v>
      </c>
      <c r="BH153" s="60">
        <f t="shared" si="116"/>
        <v>1185.4155926030512</v>
      </c>
      <c r="BI153" s="60">
        <f ca="1">AVERAGE(OFFSET($BH$3,0,0,'Données projet'!$E$11+1,1))-AVERAGE(OFFSET($H$3,0,0,'Données projet'!$E$11+1,1))</f>
        <v>556.75475431848258</v>
      </c>
      <c r="BJ153" s="60">
        <f t="shared" si="146"/>
        <v>256.77417912163997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486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3.4106051316484809E-13</v>
      </c>
      <c r="BZ153" s="14">
        <f>BY153*VLOOKUP('Données projet'!$B$12,Paramètres!$A$1:$I$89,3,0)*VLOOKUP('Données projet'!$B$12,Paramètres!$A$1:$I$89,5,0)</f>
        <v>2.5006556825246659E-13</v>
      </c>
      <c r="CA153" s="14">
        <f t="shared" si="147"/>
        <v>3.3765445850268018E-12</v>
      </c>
      <c r="CB153" s="22">
        <f t="shared" si="118"/>
        <v>6.3163460169613921E-12</v>
      </c>
      <c r="CC153" s="60">
        <f t="shared" si="119"/>
        <v>293.33333333333962</v>
      </c>
      <c r="CD153" s="60">
        <f ca="1">AVERAGE(OFFSET($CC$3,0,0,'Données projet'!$E$12+1,1))-AVERAGE(OFFSET($H$3,0,0,'Données projet'!$E$12+1,1))</f>
        <v>290.68086183422963</v>
      </c>
      <c r="CE153" s="60">
        <f t="shared" si="148"/>
        <v>317.88330630101785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1.9895196601282805E-13</v>
      </c>
      <c r="CU153" s="18">
        <f>CT153*VLOOKUP('Données projet'!$B$13,Paramètres!$A$1:$I$89,3,0)*VLOOKUP('Données projet'!$B$13,Paramètres!$A$1:$I$89,5,0)</f>
        <v>1.3035332813160495E-13</v>
      </c>
      <c r="CV153" s="14">
        <f t="shared" si="149"/>
        <v>1.8987770485018903E-12</v>
      </c>
      <c r="CW153" s="22">
        <f t="shared" si="121"/>
        <v>3.5340687393033375E-12</v>
      </c>
      <c r="CX153" s="60">
        <f t="shared" si="122"/>
        <v>293.33333333333684</v>
      </c>
      <c r="CY153" s="60">
        <f ca="1">AVERAGE(OFFSET($CX$3,0,0,'Données projet'!$E$13+1,1))-AVERAGE(OFFSET($H$3,0,0,'Données projet'!$E$13+1,1))</f>
        <v>243.04319555814601</v>
      </c>
      <c r="CZ153" s="60">
        <f t="shared" si="150"/>
        <v>235.68746142880792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201.4732637505823</v>
      </c>
      <c r="DU153" s="60">
        <f t="shared" si="152"/>
        <v>342.06887933351783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0.61349777952616147</v>
      </c>
      <c r="EB153" s="23">
        <f>EXP(-LN(2)/25)*EB152+(1-EXP(-LN(2)/25))/(LN(2)/25)*Calculateur!DW153*Calculateur!DY153*VLOOKUP('Données projet'!$B$14,Paramètres!$A$1:$I$89,3,0)*0.475*44/12</f>
        <v>0.9491820113691255</v>
      </c>
      <c r="EC153" s="23">
        <f>EXP(-LN(2)/2)*EC152+(1-EXP(-LN(2)/2))/(LN(2)/2)*DW153*DZ153*VLOOKUP('Données projet'!$B$14,Paramètres!$A$1:$I$89,3,0)*0.475*44/12</f>
        <v>1.1620181418647833E-17</v>
      </c>
      <c r="ED153" s="24">
        <f t="shared" si="126"/>
        <v>1.562679790895287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-2.0395418687257919E-13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260.01925143568263</v>
      </c>
      <c r="EP153" s="60">
        <f t="shared" si="154"/>
        <v>269.95358755269427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1.3198823492228196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1.3198823492228196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-9.2222762759774927E-14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256.19915261735281</v>
      </c>
      <c r="FK153" s="60">
        <f t="shared" si="156"/>
        <v>297.47246687305056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2.8421709430404007E-14</v>
      </c>
      <c r="GA153" s="18">
        <f>FZ153*VLOOKUP('Données projet'!$B$17,Paramètres!$A$1:$I$89,3,0)*VLOOKUP('Données projet'!$B$17,Paramètres!$A$1:$I$89,5,0)</f>
        <v>1.6257217794191094E-14</v>
      </c>
      <c r="GB153" s="14">
        <f t="shared" si="157"/>
        <v>3.0173973759155586E-13</v>
      </c>
      <c r="GC153" s="22">
        <f t="shared" si="133"/>
        <v>5.538446972968425E-13</v>
      </c>
      <c r="GD153" s="60">
        <f t="shared" si="134"/>
        <v>293.33333333333388</v>
      </c>
      <c r="GE153" s="60">
        <f ca="1">AVERAGE(OFFSET($GD$3,0,0,'Données projet'!$E$17+1,1))-AVERAGE(OFFSET($H$3,0,0,'Données projet'!$E$17+1,1))</f>
        <v>268.71641789629319</v>
      </c>
      <c r="GF153" s="60">
        <f t="shared" si="158"/>
        <v>199.94048514486104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7.5376015592525866E-2</v>
      </c>
      <c r="GN153" s="23">
        <f>EXP(-LN(2)/2)*GN152+(1-EXP(-LN(2)/2))/(LN(2)/2)*GH153*GK153*VLOOKUP('Données projet'!$B$17,Paramètres!$A$1:$I$89,3,0)*0.475*44/12</f>
        <v>6.0504685202909557E-18</v>
      </c>
      <c r="GO153" s="23">
        <f t="shared" si="135"/>
        <v>7.5376015592525866E-2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-2.8421709430404007E-13</v>
      </c>
      <c r="GV153" s="18">
        <f>GU153*VLOOKUP('Données projet'!$B$18,Paramètres!$A$1:$I$89,3,0)*VLOOKUP('Données projet'!$B$18,Paramètres!$A$1:$I$89,5,0)</f>
        <v>-1.69961822393816E-13</v>
      </c>
      <c r="GW153" s="14" t="e">
        <f t="shared" si="159"/>
        <v>#NUM!</v>
      </c>
      <c r="GX153" s="22" t="e">
        <f t="shared" si="136"/>
        <v>#NUM!</v>
      </c>
      <c r="GY153" s="60" t="e">
        <f t="shared" si="137"/>
        <v>#NUM!</v>
      </c>
      <c r="GZ153" s="60">
        <f ca="1">AVERAGE(OFFSET($GY$3,0,0,'Données projet'!$E$18+1,1))-AVERAGE(OFFSET($H$3,0,0,'Données projet'!$E$18+1,1))</f>
        <v>289.12367833861299</v>
      </c>
      <c r="HA153" s="60">
        <f t="shared" si="160"/>
        <v>229.06617320689003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3.5968060804274309E-18</v>
      </c>
      <c r="HJ153" s="24">
        <f t="shared" si="138"/>
        <v>3.5968060804274309E-18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-8.2291080616414541E-13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430.11660085503223</v>
      </c>
      <c r="T154" s="60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1.2710188457276673E-13</v>
      </c>
      <c r="AK154" s="14">
        <f t="shared" ref="AK154:AK203" si="164">EXP(-1.0587+0.8836*LN(AJ154)+0.284)</f>
        <v>1.856866851063998E-12</v>
      </c>
      <c r="AL154" s="22">
        <f t="shared" ref="AL154:AL203" si="165">(AJ154+AK154)*0.475*44/12</f>
        <v>3.4554122145673649E-12</v>
      </c>
      <c r="AM154" s="60">
        <f t="shared" si="113"/>
        <v>293.33333333333678</v>
      </c>
      <c r="AN154" s="60">
        <f ca="1">AVERAGE(OFFSET($AM$3,0,0,'Données projet'!$E$10+1,1))-AVERAGE(OFFSET($H$3,0,0,'Données projet'!$E$10+1,1))</f>
        <v>323.98185264074681</v>
      </c>
      <c r="AO154" s="60">
        <f t="shared" si="144"/>
        <v>301.22207291854005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0.40630962573648693</v>
      </c>
      <c r="AV154" s="23">
        <f>EXP(-LN(2)/25)*AV153+(1-EXP(-LN(2)/25))/(LN(2)/25)*Calculateur!AQ154*Calculateur!AS154*VLOOKUP('Données projet'!$B$10,Paramètres!$A$1:$I$89,3,0)*0.475*44/12</f>
        <v>0.28795630665025879</v>
      </c>
      <c r="AW154" s="23">
        <f>EXP(-LN(2)/2)*AW153+(1-EXP(-LN(2)/2))/(LN(2)/2)*AQ154*AT154*VLOOKUP('Données projet'!$B$10,Paramètres!$A$1:$I$89,3,0)*0.475*44/12</f>
        <v>3.733757868218436E-18</v>
      </c>
      <c r="AX154" s="23">
        <f t="shared" ref="AX154:AX203" si="166">SUM(AU154:AW154)</f>
        <v>0.69426593238674572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-2.9262992029543969E-13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556.75475431848258</v>
      </c>
      <c r="BJ154" s="60">
        <f t="shared" si="146"/>
        <v>256.77417912163997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3.4106051316484809E-13</v>
      </c>
      <c r="BZ154" s="14">
        <f>BY154*VLOOKUP('Données projet'!$B$12,Paramètres!$A$1:$I$89,3,0)*VLOOKUP('Données projet'!$B$12,Paramètres!$A$1:$I$89,5,0)</f>
        <v>2.5006556825246659E-13</v>
      </c>
      <c r="CA154" s="14">
        <f t="shared" ref="CA154:CA203" si="170">EXP(-1.0587+0.8836*LN(BZ154)+0.284)</f>
        <v>3.3765445850268018E-12</v>
      </c>
      <c r="CB154" s="22">
        <f t="shared" ref="CB154:CB203" si="171">(BZ154+CA154)*0.475*44/12</f>
        <v>6.3163460169613921E-12</v>
      </c>
      <c r="CC154" s="60">
        <f t="shared" si="119"/>
        <v>293.33333333333962</v>
      </c>
      <c r="CD154" s="60">
        <f ca="1">AVERAGE(OFFSET($CC$3,0,0,'Données projet'!$E$12+1,1))-AVERAGE(OFFSET($H$3,0,0,'Données projet'!$E$12+1,1))</f>
        <v>290.68086183422963</v>
      </c>
      <c r="CE154" s="60">
        <f t="shared" si="148"/>
        <v>317.88330630101785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1.9895196601282805E-13</v>
      </c>
      <c r="CU154" s="18">
        <f>CT154*VLOOKUP('Données projet'!$B$13,Paramètres!$A$1:$I$89,3,0)*VLOOKUP('Données projet'!$B$13,Paramètres!$A$1:$I$89,5,0)</f>
        <v>1.3035332813160495E-13</v>
      </c>
      <c r="CV154" s="14">
        <f t="shared" ref="CV154:CV203" si="173">EXP(-1.0587+0.8836*LN(CU154)+0.284)</f>
        <v>1.8987770485018903E-12</v>
      </c>
      <c r="CW154" s="22">
        <f t="shared" ref="CW154:CW203" si="174">(CU154+CV154)*0.475*44/12</f>
        <v>3.5340687393033375E-12</v>
      </c>
      <c r="CX154" s="60">
        <f t="shared" si="122"/>
        <v>293.33333333333684</v>
      </c>
      <c r="CY154" s="60">
        <f ca="1">AVERAGE(OFFSET($CX$3,0,0,'Données projet'!$E$13+1,1))-AVERAGE(OFFSET($H$3,0,0,'Données projet'!$E$13+1,1))</f>
        <v>243.04319555814601</v>
      </c>
      <c r="CZ154" s="60">
        <f t="shared" si="150"/>
        <v>235.68746142880792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201.4732637505823</v>
      </c>
      <c r="DU154" s="60">
        <f t="shared" si="152"/>
        <v>342.06887933351783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0.60146746226635006</v>
      </c>
      <c r="EB154" s="23">
        <f>EXP(-LN(2)/25)*EB153+(1-EXP(-LN(2)/25))/(LN(2)/25)*Calculateur!DW154*Calculateur!DY154*VLOOKUP('Données projet'!$B$14,Paramètres!$A$1:$I$89,3,0)*0.475*44/12</f>
        <v>0.92322657935292418</v>
      </c>
      <c r="EC154" s="23">
        <f>EXP(-LN(2)/2)*EC153+(1-EXP(-LN(2)/2))/(LN(2)/2)*DW154*DZ154*VLOOKUP('Données projet'!$B$14,Paramètres!$A$1:$I$89,3,0)*0.475*44/12</f>
        <v>8.2167090797437986E-18</v>
      </c>
      <c r="ED154" s="24">
        <f t="shared" ref="ED154:ED203" si="178">SUM(EA154:EC154)</f>
        <v>1.5246940416192742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-2.0395418687257919E-13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260.01925143568263</v>
      </c>
      <c r="EP154" s="60">
        <f t="shared" si="154"/>
        <v>269.95358755269427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1.294000261403301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1.294000261403301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-9.2222762759774927E-14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256.19915261735281</v>
      </c>
      <c r="FK154" s="60">
        <f t="shared" si="156"/>
        <v>297.47246687305056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2.8421709430404007E-14</v>
      </c>
      <c r="GA154" s="18">
        <f>FZ154*VLOOKUP('Données projet'!$B$17,Paramètres!$A$1:$I$89,3,0)*VLOOKUP('Données projet'!$B$17,Paramètres!$A$1:$I$89,5,0)</f>
        <v>1.6257217794191094E-14</v>
      </c>
      <c r="GB154" s="14">
        <f t="shared" ref="GB154:GB203" si="185">EXP(-1.0587+0.8836*LN(GA154)+0.284)</f>
        <v>3.0173973759155586E-13</v>
      </c>
      <c r="GC154" s="22">
        <f t="shared" ref="GC154:GC203" si="186">(GA154+GB154)*0.475*44/12</f>
        <v>5.538446972968425E-13</v>
      </c>
      <c r="GD154" s="60">
        <f t="shared" si="134"/>
        <v>293.33333333333388</v>
      </c>
      <c r="GE154" s="60">
        <f ca="1">AVERAGE(OFFSET($GD$3,0,0,'Données projet'!$E$17+1,1))-AVERAGE(OFFSET($H$3,0,0,'Données projet'!$E$17+1,1))</f>
        <v>268.71641789629319</v>
      </c>
      <c r="GF154" s="60">
        <f t="shared" si="158"/>
        <v>199.94048514486104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7.3314854482295855E-2</v>
      </c>
      <c r="GN154" s="23">
        <f>EXP(-LN(2)/2)*GN153+(1-EXP(-LN(2)/2))/(LN(2)/2)*GH154*GK154*VLOOKUP('Données projet'!$B$17,Paramètres!$A$1:$I$89,3,0)*0.475*44/12</f>
        <v>4.2783273200534707E-18</v>
      </c>
      <c r="GO154" s="23">
        <f t="shared" ref="GO154:GO203" si="187">SUM(GL154:GN154)</f>
        <v>7.3314854482295855E-2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-2.8421709430404007E-13</v>
      </c>
      <c r="GV154" s="18">
        <f>GU154*VLOOKUP('Données projet'!$B$18,Paramètres!$A$1:$I$89,3,0)*VLOOKUP('Données projet'!$B$18,Paramètres!$A$1:$I$89,5,0)</f>
        <v>-1.69961822393816E-13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0" t="e">
        <f t="shared" si="137"/>
        <v>#NUM!</v>
      </c>
      <c r="GZ154" s="60">
        <f ca="1">AVERAGE(OFFSET($GY$3,0,0,'Données projet'!$E$18+1,1))-AVERAGE(OFFSET($H$3,0,0,'Données projet'!$E$18+1,1))</f>
        <v>289.12367833861299</v>
      </c>
      <c r="HA154" s="60">
        <f t="shared" si="160"/>
        <v>229.06617320689003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2.5433259700832431E-18</v>
      </c>
      <c r="HJ154" s="24">
        <f t="shared" ref="HJ154:HJ203" si="190">SUM(HG154:HI154)</f>
        <v>2.5433259700832431E-18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-8.2291080616414541E-13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430.11660085503223</v>
      </c>
      <c r="T155" s="60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1.2710188457276673E-13</v>
      </c>
      <c r="AK155" s="14">
        <f t="shared" si="164"/>
        <v>1.856866851063998E-12</v>
      </c>
      <c r="AL155" s="22">
        <f t="shared" si="165"/>
        <v>3.4554122145673649E-12</v>
      </c>
      <c r="AM155" s="60">
        <f t="shared" si="113"/>
        <v>293.33333333333678</v>
      </c>
      <c r="AN155" s="60">
        <f ca="1">AVERAGE(OFFSET($AM$3,0,0,'Données projet'!$E$10+1,1))-AVERAGE(OFFSET($H$3,0,0,'Données projet'!$E$10+1,1))</f>
        <v>323.98185264074681</v>
      </c>
      <c r="AO155" s="60">
        <f t="shared" si="144"/>
        <v>301.22207291854005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0.3983421418001955</v>
      </c>
      <c r="AV155" s="23">
        <f>EXP(-LN(2)/25)*AV154+(1-EXP(-LN(2)/25))/(LN(2)/25)*Calculateur!AQ155*Calculateur!AS155*VLOOKUP('Données projet'!$B$10,Paramètres!$A$1:$I$89,3,0)*0.475*44/12</f>
        <v>0.2800821263019434</v>
      </c>
      <c r="AW155" s="23">
        <f>EXP(-LN(2)/2)*AW154+(1-EXP(-LN(2)/2))/(LN(2)/2)*AQ155*AT155*VLOOKUP('Données projet'!$B$10,Paramètres!$A$1:$I$89,3,0)*0.475*44/12</f>
        <v>2.6401655079258838E-18</v>
      </c>
      <c r="AX155" s="23">
        <f t="shared" si="166"/>
        <v>0.67842426810213885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-2.9262992029543969E-13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556.75475431848258</v>
      </c>
      <c r="BJ155" s="60">
        <f t="shared" si="146"/>
        <v>256.77417912163997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3.4106051316484809E-13</v>
      </c>
      <c r="BZ155" s="14">
        <f>BY155*VLOOKUP('Données projet'!$B$12,Paramètres!$A$1:$I$89,3,0)*VLOOKUP('Données projet'!$B$12,Paramètres!$A$1:$I$89,5,0)</f>
        <v>2.5006556825246659E-13</v>
      </c>
      <c r="CA155" s="14">
        <f t="shared" si="170"/>
        <v>3.3765445850268018E-12</v>
      </c>
      <c r="CB155" s="22">
        <f t="shared" si="171"/>
        <v>6.3163460169613921E-12</v>
      </c>
      <c r="CC155" s="60">
        <f t="shared" si="119"/>
        <v>293.33333333333962</v>
      </c>
      <c r="CD155" s="60">
        <f ca="1">AVERAGE(OFFSET($CC$3,0,0,'Données projet'!$E$12+1,1))-AVERAGE(OFFSET($H$3,0,0,'Données projet'!$E$12+1,1))</f>
        <v>290.68086183422963</v>
      </c>
      <c r="CE155" s="60">
        <f t="shared" si="148"/>
        <v>317.88330630101785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1.9895196601282805E-13</v>
      </c>
      <c r="CU155" s="18">
        <f>CT155*VLOOKUP('Données projet'!$B$13,Paramètres!$A$1:$I$89,3,0)*VLOOKUP('Données projet'!$B$13,Paramètres!$A$1:$I$89,5,0)</f>
        <v>1.3035332813160495E-13</v>
      </c>
      <c r="CV155" s="14">
        <f t="shared" si="173"/>
        <v>1.8987770485018903E-12</v>
      </c>
      <c r="CW155" s="22">
        <f t="shared" si="174"/>
        <v>3.5340687393033375E-12</v>
      </c>
      <c r="CX155" s="60">
        <f t="shared" si="122"/>
        <v>293.33333333333684</v>
      </c>
      <c r="CY155" s="60">
        <f ca="1">AVERAGE(OFFSET($CX$3,0,0,'Données projet'!$E$13+1,1))-AVERAGE(OFFSET($H$3,0,0,'Données projet'!$E$13+1,1))</f>
        <v>243.04319555814601</v>
      </c>
      <c r="CZ155" s="60">
        <f t="shared" si="150"/>
        <v>235.68746142880792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201.4732637505823</v>
      </c>
      <c r="DU155" s="60">
        <f t="shared" si="152"/>
        <v>342.06887933351783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0.58967305219023458</v>
      </c>
      <c r="EB155" s="23">
        <f>EXP(-LN(2)/25)*EB154+(1-EXP(-LN(2)/25))/(LN(2)/25)*Calculateur!DW155*Calculateur!DY155*VLOOKUP('Données projet'!$B$14,Paramètres!$A$1:$I$89,3,0)*0.475*44/12</f>
        <v>0.89798089999014274</v>
      </c>
      <c r="EC155" s="23">
        <f>EXP(-LN(2)/2)*EC154+(1-EXP(-LN(2)/2))/(LN(2)/2)*DW155*DZ155*VLOOKUP('Données projet'!$B$14,Paramètres!$A$1:$I$89,3,0)*0.475*44/12</f>
        <v>5.8100907093239165E-18</v>
      </c>
      <c r="ED155" s="24">
        <f t="shared" si="178"/>
        <v>1.4876539521803773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-2.0395418687257919E-13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260.01925143568263</v>
      </c>
      <c r="EP155" s="60">
        <f t="shared" si="154"/>
        <v>269.95358755269427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1.2686257055394086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1.2686257055394086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-9.2222762759774927E-14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256.19915261735281</v>
      </c>
      <c r="FK155" s="60">
        <f t="shared" si="156"/>
        <v>297.47246687305056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2.8421709430404007E-14</v>
      </c>
      <c r="GA155" s="18">
        <f>FZ155*VLOOKUP('Données projet'!$B$17,Paramètres!$A$1:$I$89,3,0)*VLOOKUP('Données projet'!$B$17,Paramètres!$A$1:$I$89,5,0)</f>
        <v>1.6257217794191094E-14</v>
      </c>
      <c r="GB155" s="14">
        <f t="shared" si="185"/>
        <v>3.0173973759155586E-13</v>
      </c>
      <c r="GC155" s="22">
        <f t="shared" si="186"/>
        <v>5.538446972968425E-13</v>
      </c>
      <c r="GD155" s="60">
        <f t="shared" si="134"/>
        <v>293.33333333333388</v>
      </c>
      <c r="GE155" s="60">
        <f ca="1">AVERAGE(OFFSET($GD$3,0,0,'Données projet'!$E$17+1,1))-AVERAGE(OFFSET($H$3,0,0,'Données projet'!$E$17+1,1))</f>
        <v>268.71641789629319</v>
      </c>
      <c r="GF155" s="60">
        <f t="shared" si="158"/>
        <v>199.94048514486104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7.1310055931016844E-2</v>
      </c>
      <c r="GN155" s="23">
        <f>EXP(-LN(2)/2)*GN154+(1-EXP(-LN(2)/2))/(LN(2)/2)*GH155*GK155*VLOOKUP('Données projet'!$B$17,Paramètres!$A$1:$I$89,3,0)*0.475*44/12</f>
        <v>3.0252342601454778E-18</v>
      </c>
      <c r="GO155" s="23">
        <f t="shared" si="187"/>
        <v>7.1310055931016844E-2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-2.8421709430404007E-13</v>
      </c>
      <c r="GV155" s="18">
        <f>GU155*VLOOKUP('Données projet'!$B$18,Paramètres!$A$1:$I$89,3,0)*VLOOKUP('Données projet'!$B$18,Paramètres!$A$1:$I$89,5,0)</f>
        <v>-1.69961822393816E-13</v>
      </c>
      <c r="GW155" s="14" t="e">
        <f t="shared" si="188"/>
        <v>#NUM!</v>
      </c>
      <c r="GX155" s="22" t="e">
        <f t="shared" si="189"/>
        <v>#NUM!</v>
      </c>
      <c r="GY155" s="60" t="e">
        <f t="shared" si="137"/>
        <v>#NUM!</v>
      </c>
      <c r="GZ155" s="60">
        <f ca="1">AVERAGE(OFFSET($GY$3,0,0,'Données projet'!$E$18+1,1))-AVERAGE(OFFSET($H$3,0,0,'Données projet'!$E$18+1,1))</f>
        <v>289.12367833861299</v>
      </c>
      <c r="HA155" s="60">
        <f t="shared" si="160"/>
        <v>229.06617320689003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1.7984030402137154E-18</v>
      </c>
      <c r="HJ155" s="24">
        <f t="shared" si="190"/>
        <v>1.7984030402137154E-18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-8.2291080616414541E-13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430.11660085503223</v>
      </c>
      <c r="T156" s="60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1.2710188457276673E-13</v>
      </c>
      <c r="AK156" s="14">
        <f t="shared" si="164"/>
        <v>1.856866851063998E-12</v>
      </c>
      <c r="AL156" s="22">
        <f t="shared" si="165"/>
        <v>3.4554122145673649E-12</v>
      </c>
      <c r="AM156" s="60">
        <f t="shared" si="113"/>
        <v>293.33333333333678</v>
      </c>
      <c r="AN156" s="60">
        <f ca="1">AVERAGE(OFFSET($AM$3,0,0,'Données projet'!$E$10+1,1))-AVERAGE(OFFSET($H$3,0,0,'Données projet'!$E$10+1,1))</f>
        <v>323.98185264074681</v>
      </c>
      <c r="AO156" s="60">
        <f t="shared" si="144"/>
        <v>301.22207291854005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0.39053089536420937</v>
      </c>
      <c r="AV156" s="23">
        <f>EXP(-LN(2)/25)*AV155+(1-EXP(-LN(2)/25))/(LN(2)/25)*Calculateur!AQ156*Calculateur!AS156*VLOOKUP('Données projet'!$B$10,Paramètres!$A$1:$I$89,3,0)*0.475*44/12</f>
        <v>0.27242326582933785</v>
      </c>
      <c r="AW156" s="23">
        <f>EXP(-LN(2)/2)*AW155+(1-EXP(-LN(2)/2))/(LN(2)/2)*AQ156*AT156*VLOOKUP('Données projet'!$B$10,Paramètres!$A$1:$I$89,3,0)*0.475*44/12</f>
        <v>1.866878934109218E-18</v>
      </c>
      <c r="AX156" s="23">
        <f t="shared" si="166"/>
        <v>0.66295416119354722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-2.9262992029543969E-13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556.75475431848258</v>
      </c>
      <c r="BJ156" s="60">
        <f t="shared" si="146"/>
        <v>256.77417912163997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3.4106051316484809E-13</v>
      </c>
      <c r="BZ156" s="14">
        <f>BY156*VLOOKUP('Données projet'!$B$12,Paramètres!$A$1:$I$89,3,0)*VLOOKUP('Données projet'!$B$12,Paramètres!$A$1:$I$89,5,0)</f>
        <v>2.5006556825246659E-13</v>
      </c>
      <c r="CA156" s="14">
        <f t="shared" si="170"/>
        <v>3.3765445850268018E-12</v>
      </c>
      <c r="CB156" s="22">
        <f t="shared" si="171"/>
        <v>6.3163460169613921E-12</v>
      </c>
      <c r="CC156" s="60">
        <f t="shared" si="119"/>
        <v>293.33333333333962</v>
      </c>
      <c r="CD156" s="60">
        <f ca="1">AVERAGE(OFFSET($CC$3,0,0,'Données projet'!$E$12+1,1))-AVERAGE(OFFSET($H$3,0,0,'Données projet'!$E$12+1,1))</f>
        <v>290.68086183422963</v>
      </c>
      <c r="CE156" s="60">
        <f t="shared" si="148"/>
        <v>317.88330630101785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1.9895196601282805E-13</v>
      </c>
      <c r="CU156" s="18">
        <f>CT156*VLOOKUP('Données projet'!$B$13,Paramètres!$A$1:$I$89,3,0)*VLOOKUP('Données projet'!$B$13,Paramètres!$A$1:$I$89,5,0)</f>
        <v>1.3035332813160495E-13</v>
      </c>
      <c r="CV156" s="14">
        <f t="shared" si="173"/>
        <v>1.8987770485018903E-12</v>
      </c>
      <c r="CW156" s="22">
        <f t="shared" si="174"/>
        <v>3.5340687393033375E-12</v>
      </c>
      <c r="CX156" s="60">
        <f t="shared" si="122"/>
        <v>293.33333333333684</v>
      </c>
      <c r="CY156" s="60">
        <f ca="1">AVERAGE(OFFSET($CX$3,0,0,'Données projet'!$E$13+1,1))-AVERAGE(OFFSET($H$3,0,0,'Données projet'!$E$13+1,1))</f>
        <v>243.04319555814601</v>
      </c>
      <c r="CZ156" s="60">
        <f t="shared" si="150"/>
        <v>235.68746142880792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201.4732637505823</v>
      </c>
      <c r="DU156" s="60">
        <f t="shared" si="152"/>
        <v>342.06887933351783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0.57810992330183197</v>
      </c>
      <c r="EB156" s="23">
        <f>EXP(-LN(2)/25)*EB155+(1-EXP(-LN(2)/25))/(LN(2)/25)*Calculateur!DW156*Calculateur!DY156*VLOOKUP('Données projet'!$B$14,Paramètres!$A$1:$I$89,3,0)*0.475*44/12</f>
        <v>0.87342556505714908</v>
      </c>
      <c r="EC156" s="23">
        <f>EXP(-LN(2)/2)*EC155+(1-EXP(-LN(2)/2))/(LN(2)/2)*DW156*DZ156*VLOOKUP('Données projet'!$B$14,Paramètres!$A$1:$I$89,3,0)*0.475*44/12</f>
        <v>4.1083545398718993E-18</v>
      </c>
      <c r="ED156" s="24">
        <f t="shared" si="178"/>
        <v>1.4515354883589811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-2.0395418687257919E-13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260.01925143568263</v>
      </c>
      <c r="EP156" s="60">
        <f t="shared" si="154"/>
        <v>269.95358755269427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1.2437487292390561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1.2437487292390561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-9.2222762759774927E-14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256.19915261735281</v>
      </c>
      <c r="FK156" s="60">
        <f t="shared" si="156"/>
        <v>297.47246687305056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2.8421709430404007E-14</v>
      </c>
      <c r="GA156" s="18">
        <f>FZ156*VLOOKUP('Données projet'!$B$17,Paramètres!$A$1:$I$89,3,0)*VLOOKUP('Données projet'!$B$17,Paramètres!$A$1:$I$89,5,0)</f>
        <v>1.6257217794191094E-14</v>
      </c>
      <c r="GB156" s="14">
        <f t="shared" si="185"/>
        <v>3.0173973759155586E-13</v>
      </c>
      <c r="GC156" s="22">
        <f t="shared" si="186"/>
        <v>5.538446972968425E-13</v>
      </c>
      <c r="GD156" s="60">
        <f t="shared" si="134"/>
        <v>293.33333333333388</v>
      </c>
      <c r="GE156" s="60">
        <f ca="1">AVERAGE(OFFSET($GD$3,0,0,'Données projet'!$E$17+1,1))-AVERAGE(OFFSET($H$3,0,0,'Données projet'!$E$17+1,1))</f>
        <v>268.71641789629319</v>
      </c>
      <c r="GF156" s="60">
        <f t="shared" si="158"/>
        <v>199.94048514486104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6.9360078701550323E-2</v>
      </c>
      <c r="GN156" s="23">
        <f>EXP(-LN(2)/2)*GN155+(1-EXP(-LN(2)/2))/(LN(2)/2)*GH156*GK156*VLOOKUP('Données projet'!$B$17,Paramètres!$A$1:$I$89,3,0)*0.475*44/12</f>
        <v>2.1391636600267354E-18</v>
      </c>
      <c r="GO156" s="23">
        <f t="shared" si="187"/>
        <v>6.9360078701550323E-2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-2.8421709430404007E-13</v>
      </c>
      <c r="GV156" s="18">
        <f>GU156*VLOOKUP('Données projet'!$B$18,Paramètres!$A$1:$I$89,3,0)*VLOOKUP('Données projet'!$B$18,Paramètres!$A$1:$I$89,5,0)</f>
        <v>-1.69961822393816E-13</v>
      </c>
      <c r="GW156" s="14" t="e">
        <f t="shared" si="188"/>
        <v>#NUM!</v>
      </c>
      <c r="GX156" s="22" t="e">
        <f t="shared" si="189"/>
        <v>#NUM!</v>
      </c>
      <c r="GY156" s="60" t="e">
        <f t="shared" si="137"/>
        <v>#NUM!</v>
      </c>
      <c r="GZ156" s="60">
        <f ca="1">AVERAGE(OFFSET($GY$3,0,0,'Données projet'!$E$18+1,1))-AVERAGE(OFFSET($H$3,0,0,'Données projet'!$E$18+1,1))</f>
        <v>289.12367833861299</v>
      </c>
      <c r="HA156" s="60">
        <f t="shared" si="160"/>
        <v>229.06617320689003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1.2716629850416215E-18</v>
      </c>
      <c r="HJ156" s="24">
        <f t="shared" si="190"/>
        <v>1.2716629850416215E-18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-8.2291080616414541E-13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430.11660085503223</v>
      </c>
      <c r="T157" s="60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1.2710188457276673E-13</v>
      </c>
      <c r="AK157" s="14">
        <f t="shared" si="164"/>
        <v>1.856866851063998E-12</v>
      </c>
      <c r="AL157" s="22">
        <f t="shared" si="165"/>
        <v>3.4554122145673649E-12</v>
      </c>
      <c r="AM157" s="60">
        <f t="shared" si="113"/>
        <v>293.33333333333678</v>
      </c>
      <c r="AN157" s="60">
        <f ca="1">AVERAGE(OFFSET($AM$3,0,0,'Données projet'!$E$10+1,1))-AVERAGE(OFFSET($H$3,0,0,'Données projet'!$E$10+1,1))</f>
        <v>323.98185264074681</v>
      </c>
      <c r="AO157" s="60">
        <f t="shared" si="144"/>
        <v>301.22207291854005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0.38287282270644307</v>
      </c>
      <c r="AV157" s="23">
        <f>EXP(-LN(2)/25)*AV156+(1-EXP(-LN(2)/25))/(LN(2)/25)*Calculateur!AQ157*Calculateur!AS157*VLOOKUP('Données projet'!$B$10,Paramètres!$A$1:$I$89,3,0)*0.475*44/12</f>
        <v>0.26497383729911766</v>
      </c>
      <c r="AW157" s="23">
        <f>EXP(-LN(2)/2)*AW156+(1-EXP(-LN(2)/2))/(LN(2)/2)*AQ157*AT157*VLOOKUP('Données projet'!$B$10,Paramètres!$A$1:$I$89,3,0)*0.475*44/12</f>
        <v>1.3200827539629419E-18</v>
      </c>
      <c r="AX157" s="23">
        <f t="shared" si="166"/>
        <v>0.64784666000556079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-2.9262992029543969E-13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556.75475431848258</v>
      </c>
      <c r="BJ157" s="60">
        <f t="shared" si="146"/>
        <v>256.77417912163997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3.4106051316484809E-13</v>
      </c>
      <c r="BZ157" s="14">
        <f>BY157*VLOOKUP('Données projet'!$B$12,Paramètres!$A$1:$I$89,3,0)*VLOOKUP('Données projet'!$B$12,Paramètres!$A$1:$I$89,5,0)</f>
        <v>2.5006556825246659E-13</v>
      </c>
      <c r="CA157" s="14">
        <f t="shared" si="170"/>
        <v>3.3765445850268018E-12</v>
      </c>
      <c r="CB157" s="22">
        <f t="shared" si="171"/>
        <v>6.3163460169613921E-12</v>
      </c>
      <c r="CC157" s="60">
        <f t="shared" si="119"/>
        <v>293.33333333333962</v>
      </c>
      <c r="CD157" s="60">
        <f ca="1">AVERAGE(OFFSET($CC$3,0,0,'Données projet'!$E$12+1,1))-AVERAGE(OFFSET($H$3,0,0,'Données projet'!$E$12+1,1))</f>
        <v>290.68086183422963</v>
      </c>
      <c r="CE157" s="60">
        <f t="shared" si="148"/>
        <v>317.88330630101785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1.9895196601282805E-13</v>
      </c>
      <c r="CU157" s="18">
        <f>CT157*VLOOKUP('Données projet'!$B$13,Paramètres!$A$1:$I$89,3,0)*VLOOKUP('Données projet'!$B$13,Paramètres!$A$1:$I$89,5,0)</f>
        <v>1.3035332813160495E-13</v>
      </c>
      <c r="CV157" s="14">
        <f t="shared" si="173"/>
        <v>1.8987770485018903E-12</v>
      </c>
      <c r="CW157" s="22">
        <f t="shared" si="174"/>
        <v>3.5340687393033375E-12</v>
      </c>
      <c r="CX157" s="60">
        <f t="shared" si="122"/>
        <v>293.33333333333684</v>
      </c>
      <c r="CY157" s="60">
        <f ca="1">AVERAGE(OFFSET($CX$3,0,0,'Données projet'!$E$13+1,1))-AVERAGE(OFFSET($H$3,0,0,'Données projet'!$E$13+1,1))</f>
        <v>243.04319555814601</v>
      </c>
      <c r="CZ157" s="60">
        <f t="shared" si="150"/>
        <v>235.68746142880792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201.4732637505823</v>
      </c>
      <c r="DU157" s="60">
        <f t="shared" si="152"/>
        <v>342.06887933351783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0.56677354031811866</v>
      </c>
      <c r="EB157" s="23">
        <f>EXP(-LN(2)/25)*EB156+(1-EXP(-LN(2)/25))/(LN(2)/25)*Calculateur!DW157*Calculateur!DY157*VLOOKUP('Données projet'!$B$14,Paramètres!$A$1:$I$89,3,0)*0.475*44/12</f>
        <v>0.84954169704920712</v>
      </c>
      <c r="EC157" s="23">
        <f>EXP(-LN(2)/2)*EC156+(1-EXP(-LN(2)/2))/(LN(2)/2)*DW157*DZ157*VLOOKUP('Données projet'!$B$14,Paramètres!$A$1:$I$89,3,0)*0.475*44/12</f>
        <v>2.9050453546619583E-18</v>
      </c>
      <c r="ED157" s="24">
        <f t="shared" si="178"/>
        <v>1.4163152373673258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-2.0395418687257919E-13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260.01925143568263</v>
      </c>
      <c r="EP157" s="60">
        <f t="shared" si="154"/>
        <v>269.95358755269427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1.2193595752704964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1.2193595752704964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-9.2222762759774927E-14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256.19915261735281</v>
      </c>
      <c r="FK157" s="60">
        <f t="shared" si="156"/>
        <v>297.47246687305056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2.8421709430404007E-14</v>
      </c>
      <c r="GA157" s="18">
        <f>FZ157*VLOOKUP('Données projet'!$B$17,Paramètres!$A$1:$I$89,3,0)*VLOOKUP('Données projet'!$B$17,Paramètres!$A$1:$I$89,5,0)</f>
        <v>1.6257217794191094E-14</v>
      </c>
      <c r="GB157" s="14">
        <f t="shared" si="185"/>
        <v>3.0173973759155586E-13</v>
      </c>
      <c r="GC157" s="22">
        <f t="shared" si="186"/>
        <v>5.538446972968425E-13</v>
      </c>
      <c r="GD157" s="60">
        <f t="shared" si="134"/>
        <v>293.33333333333388</v>
      </c>
      <c r="GE157" s="60">
        <f ca="1">AVERAGE(OFFSET($GD$3,0,0,'Données projet'!$E$17+1,1))-AVERAGE(OFFSET($H$3,0,0,'Données projet'!$E$17+1,1))</f>
        <v>268.71641789629319</v>
      </c>
      <c r="GF157" s="60">
        <f t="shared" si="158"/>
        <v>199.94048514486104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6.7463423701968422E-2</v>
      </c>
      <c r="GN157" s="23">
        <f>EXP(-LN(2)/2)*GN156+(1-EXP(-LN(2)/2))/(LN(2)/2)*GH157*GK157*VLOOKUP('Données projet'!$B$17,Paramètres!$A$1:$I$89,3,0)*0.475*44/12</f>
        <v>1.5126171300727389E-18</v>
      </c>
      <c r="GO157" s="23">
        <f t="shared" si="187"/>
        <v>6.7463423701968422E-2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-2.8421709430404007E-13</v>
      </c>
      <c r="GV157" s="18">
        <f>GU157*VLOOKUP('Données projet'!$B$18,Paramètres!$A$1:$I$89,3,0)*VLOOKUP('Données projet'!$B$18,Paramètres!$A$1:$I$89,5,0)</f>
        <v>-1.69961822393816E-13</v>
      </c>
      <c r="GW157" s="14" t="e">
        <f t="shared" si="188"/>
        <v>#NUM!</v>
      </c>
      <c r="GX157" s="22" t="e">
        <f t="shared" si="189"/>
        <v>#NUM!</v>
      </c>
      <c r="GY157" s="60" t="e">
        <f t="shared" si="137"/>
        <v>#NUM!</v>
      </c>
      <c r="GZ157" s="60">
        <f ca="1">AVERAGE(OFFSET($GY$3,0,0,'Données projet'!$E$18+1,1))-AVERAGE(OFFSET($H$3,0,0,'Données projet'!$E$18+1,1))</f>
        <v>289.12367833861299</v>
      </c>
      <c r="HA157" s="60">
        <f t="shared" si="160"/>
        <v>229.06617320689003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8.9920152010685772E-19</v>
      </c>
      <c r="HJ157" s="24">
        <f t="shared" si="190"/>
        <v>8.9920152010685772E-19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-8.2291080616414541E-13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430.11660085503223</v>
      </c>
      <c r="T158" s="60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1.2710188457276673E-13</v>
      </c>
      <c r="AK158" s="14">
        <f t="shared" si="164"/>
        <v>1.856866851063998E-12</v>
      </c>
      <c r="AL158" s="22">
        <f t="shared" si="165"/>
        <v>3.4554122145673649E-12</v>
      </c>
      <c r="AM158" s="60">
        <f t="shared" si="113"/>
        <v>293.33333333333678</v>
      </c>
      <c r="AN158" s="60">
        <f ca="1">AVERAGE(OFFSET($AM$3,0,0,'Données projet'!$E$10+1,1))-AVERAGE(OFFSET($H$3,0,0,'Données projet'!$E$10+1,1))</f>
        <v>323.98185264074681</v>
      </c>
      <c r="AO158" s="60">
        <f t="shared" si="144"/>
        <v>301.22207291854005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0.37536492018253248</v>
      </c>
      <c r="AV158" s="23">
        <f>EXP(-LN(2)/25)*AV157+(1-EXP(-LN(2)/25))/(LN(2)/25)*Calculateur!AQ158*Calculateur!AS158*VLOOKUP('Données projet'!$B$10,Paramètres!$A$1:$I$89,3,0)*0.475*44/12</f>
        <v>0.25772811378380478</v>
      </c>
      <c r="AW158" s="23">
        <f>EXP(-LN(2)/2)*AW157+(1-EXP(-LN(2)/2))/(LN(2)/2)*AQ158*AT158*VLOOKUP('Données projet'!$B$10,Paramètres!$A$1:$I$89,3,0)*0.475*44/12</f>
        <v>9.3343946705460899E-19</v>
      </c>
      <c r="AX158" s="23">
        <f t="shared" si="166"/>
        <v>0.6330930339663372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-2.9262992029543969E-13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556.75475431848258</v>
      </c>
      <c r="BJ158" s="60">
        <f t="shared" si="146"/>
        <v>256.77417912163997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3.4106051316484809E-13</v>
      </c>
      <c r="BZ158" s="14">
        <f>BY158*VLOOKUP('Données projet'!$B$12,Paramètres!$A$1:$I$89,3,0)*VLOOKUP('Données projet'!$B$12,Paramètres!$A$1:$I$89,5,0)</f>
        <v>2.5006556825246659E-13</v>
      </c>
      <c r="CA158" s="14">
        <f t="shared" si="170"/>
        <v>3.3765445850268018E-12</v>
      </c>
      <c r="CB158" s="22">
        <f t="shared" si="171"/>
        <v>6.3163460169613921E-12</v>
      </c>
      <c r="CC158" s="60">
        <f t="shared" si="119"/>
        <v>293.33333333333962</v>
      </c>
      <c r="CD158" s="60">
        <f ca="1">AVERAGE(OFFSET($CC$3,0,0,'Données projet'!$E$12+1,1))-AVERAGE(OFFSET($H$3,0,0,'Données projet'!$E$12+1,1))</f>
        <v>290.68086183422963</v>
      </c>
      <c r="CE158" s="60">
        <f t="shared" si="148"/>
        <v>317.88330630101785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1.9895196601282805E-13</v>
      </c>
      <c r="CU158" s="18">
        <f>CT158*VLOOKUP('Données projet'!$B$13,Paramètres!$A$1:$I$89,3,0)*VLOOKUP('Données projet'!$B$13,Paramètres!$A$1:$I$89,5,0)</f>
        <v>1.3035332813160495E-13</v>
      </c>
      <c r="CV158" s="14">
        <f t="shared" si="173"/>
        <v>1.8987770485018903E-12</v>
      </c>
      <c r="CW158" s="22">
        <f t="shared" si="174"/>
        <v>3.5340687393033375E-12</v>
      </c>
      <c r="CX158" s="60">
        <f t="shared" si="122"/>
        <v>293.33333333333684</v>
      </c>
      <c r="CY158" s="60">
        <f ca="1">AVERAGE(OFFSET($CX$3,0,0,'Données projet'!$E$13+1,1))-AVERAGE(OFFSET($H$3,0,0,'Données projet'!$E$13+1,1))</f>
        <v>243.04319555814601</v>
      </c>
      <c r="CZ158" s="60">
        <f t="shared" si="150"/>
        <v>235.68746142880792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201.4732637505823</v>
      </c>
      <c r="DU158" s="60">
        <f t="shared" si="152"/>
        <v>342.06887933351783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0.55565945689020513</v>
      </c>
      <c r="EB158" s="23">
        <f>EXP(-LN(2)/25)*EB157+(1-EXP(-LN(2)/25))/(LN(2)/25)*Calculateur!DW158*Calculateur!DY158*VLOOKUP('Données projet'!$B$14,Paramètres!$A$1:$I$89,3,0)*0.475*44/12</f>
        <v>0.82631093466794037</v>
      </c>
      <c r="EC158" s="23">
        <f>EXP(-LN(2)/2)*EC157+(1-EXP(-LN(2)/2))/(LN(2)/2)*DW158*DZ158*VLOOKUP('Données projet'!$B$14,Paramètres!$A$1:$I$89,3,0)*0.475*44/12</f>
        <v>2.0541772699359497E-18</v>
      </c>
      <c r="ED158" s="24">
        <f t="shared" si="178"/>
        <v>1.3819703915581454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-2.0395418687257919E-13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260.01925143568263</v>
      </c>
      <c r="EP158" s="60">
        <f t="shared" si="154"/>
        <v>269.95358755269427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1.195448677735345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1.195448677735345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-9.2222762759774927E-14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256.19915261735281</v>
      </c>
      <c r="FK158" s="60">
        <f t="shared" si="156"/>
        <v>297.47246687305056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2.8421709430404007E-14</v>
      </c>
      <c r="GA158" s="18">
        <f>FZ158*VLOOKUP('Données projet'!$B$17,Paramètres!$A$1:$I$89,3,0)*VLOOKUP('Données projet'!$B$17,Paramètres!$A$1:$I$89,5,0)</f>
        <v>1.6257217794191094E-14</v>
      </c>
      <c r="GB158" s="14">
        <f t="shared" si="185"/>
        <v>3.0173973759155586E-13</v>
      </c>
      <c r="GC158" s="22">
        <f t="shared" si="186"/>
        <v>5.538446972968425E-13</v>
      </c>
      <c r="GD158" s="60">
        <f t="shared" si="134"/>
        <v>293.33333333333388</v>
      </c>
      <c r="GE158" s="60">
        <f ca="1">AVERAGE(OFFSET($GD$3,0,0,'Données projet'!$E$17+1,1))-AVERAGE(OFFSET($H$3,0,0,'Données projet'!$E$17+1,1))</f>
        <v>268.71641789629319</v>
      </c>
      <c r="GF158" s="60">
        <f t="shared" si="158"/>
        <v>199.94048514486104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6.5618632833090829E-2</v>
      </c>
      <c r="GN158" s="23">
        <f>EXP(-LN(2)/2)*GN157+(1-EXP(-LN(2)/2))/(LN(2)/2)*GH158*GK158*VLOOKUP('Données projet'!$B$17,Paramètres!$A$1:$I$89,3,0)*0.475*44/12</f>
        <v>1.0695818300133677E-18</v>
      </c>
      <c r="GO158" s="23">
        <f t="shared" si="187"/>
        <v>6.5618632833090829E-2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-2.8421709430404007E-13</v>
      </c>
      <c r="GV158" s="18">
        <f>GU158*VLOOKUP('Données projet'!$B$18,Paramètres!$A$1:$I$89,3,0)*VLOOKUP('Données projet'!$B$18,Paramètres!$A$1:$I$89,5,0)</f>
        <v>-1.69961822393816E-13</v>
      </c>
      <c r="GW158" s="14" t="e">
        <f t="shared" si="188"/>
        <v>#NUM!</v>
      </c>
      <c r="GX158" s="22" t="e">
        <f t="shared" si="189"/>
        <v>#NUM!</v>
      </c>
      <c r="GY158" s="60" t="e">
        <f t="shared" si="137"/>
        <v>#NUM!</v>
      </c>
      <c r="GZ158" s="60">
        <f ca="1">AVERAGE(OFFSET($GY$3,0,0,'Données projet'!$E$18+1,1))-AVERAGE(OFFSET($H$3,0,0,'Données projet'!$E$18+1,1))</f>
        <v>289.12367833861299</v>
      </c>
      <c r="HA158" s="60">
        <f t="shared" si="160"/>
        <v>229.06617320689003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6.3583149252081077E-19</v>
      </c>
      <c r="HJ158" s="24">
        <f t="shared" si="190"/>
        <v>6.3583149252081077E-19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-8.2291080616414541E-13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430.11660085503223</v>
      </c>
      <c r="T159" s="60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1.2710188457276673E-13</v>
      </c>
      <c r="AK159" s="14">
        <f t="shared" si="164"/>
        <v>1.856866851063998E-12</v>
      </c>
      <c r="AL159" s="22">
        <f t="shared" si="165"/>
        <v>3.4554122145673649E-12</v>
      </c>
      <c r="AM159" s="60">
        <f t="shared" si="113"/>
        <v>293.33333333333678</v>
      </c>
      <c r="AN159" s="60">
        <f ca="1">AVERAGE(OFFSET($AM$3,0,0,'Données projet'!$E$10+1,1))-AVERAGE(OFFSET($H$3,0,0,'Données projet'!$E$10+1,1))</f>
        <v>323.98185264074681</v>
      </c>
      <c r="AO159" s="60">
        <f t="shared" si="144"/>
        <v>301.22207291854005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0.36800424304774737</v>
      </c>
      <c r="AV159" s="23">
        <f>EXP(-LN(2)/25)*AV158+(1-EXP(-LN(2)/25))/(LN(2)/25)*Calculateur!AQ159*Calculateur!AS159*VLOOKUP('Données projet'!$B$10,Paramètres!$A$1:$I$89,3,0)*0.475*44/12</f>
        <v>0.25068052495905419</v>
      </c>
      <c r="AW159" s="23">
        <f>EXP(-LN(2)/2)*AW158+(1-EXP(-LN(2)/2))/(LN(2)/2)*AQ159*AT159*VLOOKUP('Données projet'!$B$10,Paramètres!$A$1:$I$89,3,0)*0.475*44/12</f>
        <v>6.6004137698147095E-19</v>
      </c>
      <c r="AX159" s="23">
        <f t="shared" si="166"/>
        <v>0.6186847680068015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-2.9262992029543969E-13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556.75475431848258</v>
      </c>
      <c r="BJ159" s="60">
        <f t="shared" si="146"/>
        <v>256.77417912163997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3.4106051316484809E-13</v>
      </c>
      <c r="BZ159" s="14">
        <f>BY159*VLOOKUP('Données projet'!$B$12,Paramètres!$A$1:$I$89,3,0)*VLOOKUP('Données projet'!$B$12,Paramètres!$A$1:$I$89,5,0)</f>
        <v>2.5006556825246659E-13</v>
      </c>
      <c r="CA159" s="14">
        <f t="shared" si="170"/>
        <v>3.3765445850268018E-12</v>
      </c>
      <c r="CB159" s="22">
        <f t="shared" si="171"/>
        <v>6.3163460169613921E-12</v>
      </c>
      <c r="CC159" s="60">
        <f t="shared" si="119"/>
        <v>293.33333333333962</v>
      </c>
      <c r="CD159" s="60">
        <f ca="1">AVERAGE(OFFSET($CC$3,0,0,'Données projet'!$E$12+1,1))-AVERAGE(OFFSET($H$3,0,0,'Données projet'!$E$12+1,1))</f>
        <v>290.68086183422963</v>
      </c>
      <c r="CE159" s="60">
        <f t="shared" si="148"/>
        <v>317.88330630101785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1.9895196601282805E-13</v>
      </c>
      <c r="CU159" s="18">
        <f>CT159*VLOOKUP('Données projet'!$B$13,Paramètres!$A$1:$I$89,3,0)*VLOOKUP('Données projet'!$B$13,Paramètres!$A$1:$I$89,5,0)</f>
        <v>1.3035332813160495E-13</v>
      </c>
      <c r="CV159" s="14">
        <f t="shared" si="173"/>
        <v>1.8987770485018903E-12</v>
      </c>
      <c r="CW159" s="22">
        <f t="shared" si="174"/>
        <v>3.5340687393033375E-12</v>
      </c>
      <c r="CX159" s="60">
        <f t="shared" si="122"/>
        <v>293.33333333333684</v>
      </c>
      <c r="CY159" s="60">
        <f ca="1">AVERAGE(OFFSET($CX$3,0,0,'Données projet'!$E$13+1,1))-AVERAGE(OFFSET($H$3,0,0,'Données projet'!$E$13+1,1))</f>
        <v>243.04319555814601</v>
      </c>
      <c r="CZ159" s="60">
        <f t="shared" si="150"/>
        <v>235.68746142880792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201.4732637505823</v>
      </c>
      <c r="DU159" s="60">
        <f t="shared" si="152"/>
        <v>342.06887933351783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0.54476331385939147</v>
      </c>
      <c r="EB159" s="23">
        <f>EXP(-LN(2)/25)*EB158+(1-EXP(-LN(2)/25))/(LN(2)/25)*Calculateur!DW159*Calculateur!DY159*VLOOKUP('Données projet'!$B$14,Paramètres!$A$1:$I$89,3,0)*0.475*44/12</f>
        <v>0.803715418705642</v>
      </c>
      <c r="EC159" s="23">
        <f>EXP(-LN(2)/2)*EC158+(1-EXP(-LN(2)/2))/(LN(2)/2)*DW159*DZ159*VLOOKUP('Données projet'!$B$14,Paramètres!$A$1:$I$89,3,0)*0.475*44/12</f>
        <v>1.4525226773309791E-18</v>
      </c>
      <c r="ED159" s="24">
        <f t="shared" si="178"/>
        <v>1.3484787325650336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-2.0395418687257919E-13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260.01925143568263</v>
      </c>
      <c r="EP159" s="60">
        <f t="shared" si="154"/>
        <v>269.95358755269427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1.1720066583166506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1.1720066583166506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-9.2222762759774927E-14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256.19915261735281</v>
      </c>
      <c r="FK159" s="60">
        <f t="shared" si="156"/>
        <v>297.47246687305056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2.8421709430404007E-14</v>
      </c>
      <c r="GA159" s="18">
        <f>FZ159*VLOOKUP('Données projet'!$B$17,Paramètres!$A$1:$I$89,3,0)*VLOOKUP('Données projet'!$B$17,Paramètres!$A$1:$I$89,5,0)</f>
        <v>1.6257217794191094E-14</v>
      </c>
      <c r="GB159" s="14">
        <f t="shared" si="185"/>
        <v>3.0173973759155586E-13</v>
      </c>
      <c r="GC159" s="22">
        <f t="shared" si="186"/>
        <v>5.538446972968425E-13</v>
      </c>
      <c r="GD159" s="60">
        <f t="shared" si="134"/>
        <v>293.33333333333388</v>
      </c>
      <c r="GE159" s="60">
        <f ca="1">AVERAGE(OFFSET($GD$3,0,0,'Données projet'!$E$17+1,1))-AVERAGE(OFFSET($H$3,0,0,'Données projet'!$E$17+1,1))</f>
        <v>268.71641789629319</v>
      </c>
      <c r="GF159" s="60">
        <f t="shared" si="158"/>
        <v>199.94048514486104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6.3824287867536036E-2</v>
      </c>
      <c r="GN159" s="23">
        <f>EXP(-LN(2)/2)*GN158+(1-EXP(-LN(2)/2))/(LN(2)/2)*GH159*GK159*VLOOKUP('Données projet'!$B$17,Paramètres!$A$1:$I$89,3,0)*0.475*44/12</f>
        <v>7.5630856503636946E-19</v>
      </c>
      <c r="GO159" s="23">
        <f t="shared" si="187"/>
        <v>6.3824287867536036E-2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-2.8421709430404007E-13</v>
      </c>
      <c r="GV159" s="18">
        <f>GU159*VLOOKUP('Données projet'!$B$18,Paramètres!$A$1:$I$89,3,0)*VLOOKUP('Données projet'!$B$18,Paramètres!$A$1:$I$89,5,0)</f>
        <v>-1.69961822393816E-13</v>
      </c>
      <c r="GW159" s="14" t="e">
        <f t="shared" si="188"/>
        <v>#NUM!</v>
      </c>
      <c r="GX159" s="22" t="e">
        <f t="shared" si="189"/>
        <v>#NUM!</v>
      </c>
      <c r="GY159" s="60" t="e">
        <f t="shared" si="137"/>
        <v>#NUM!</v>
      </c>
      <c r="GZ159" s="60">
        <f ca="1">AVERAGE(OFFSET($GY$3,0,0,'Données projet'!$E$18+1,1))-AVERAGE(OFFSET($H$3,0,0,'Données projet'!$E$18+1,1))</f>
        <v>289.12367833861299</v>
      </c>
      <c r="HA159" s="60">
        <f t="shared" si="160"/>
        <v>229.06617320689003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4.4960076005342886E-19</v>
      </c>
      <c r="HJ159" s="24">
        <f t="shared" si="190"/>
        <v>4.4960076005342886E-19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-8.2291080616414541E-13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430.11660085503223</v>
      </c>
      <c r="T160" s="60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1.2710188457276673E-13</v>
      </c>
      <c r="AK160" s="14">
        <f t="shared" si="164"/>
        <v>1.856866851063998E-12</v>
      </c>
      <c r="AL160" s="22">
        <f t="shared" si="165"/>
        <v>3.4554122145673649E-12</v>
      </c>
      <c r="AM160" s="60">
        <f t="shared" si="113"/>
        <v>293.33333333333678</v>
      </c>
      <c r="AN160" s="60">
        <f ca="1">AVERAGE(OFFSET($AM$3,0,0,'Données projet'!$E$10+1,1))-AVERAGE(OFFSET($H$3,0,0,'Données projet'!$E$10+1,1))</f>
        <v>323.98185264074681</v>
      </c>
      <c r="AO160" s="60">
        <f t="shared" si="144"/>
        <v>301.22207291854005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0.36078790430200569</v>
      </c>
      <c r="AV160" s="23">
        <f>EXP(-LN(2)/25)*AV159+(1-EXP(-LN(2)/25))/(LN(2)/25)*Calculateur!AQ160*Calculateur!AS160*VLOOKUP('Données projet'!$B$10,Paramètres!$A$1:$I$89,3,0)*0.475*44/12</f>
        <v>0.24382565282133298</v>
      </c>
      <c r="AW160" s="23">
        <f>EXP(-LN(2)/2)*AW159+(1-EXP(-LN(2)/2))/(LN(2)/2)*AQ160*AT160*VLOOKUP('Données projet'!$B$10,Paramètres!$A$1:$I$89,3,0)*0.475*44/12</f>
        <v>4.667197335273045E-19</v>
      </c>
      <c r="AX160" s="23">
        <f t="shared" si="166"/>
        <v>0.60461355712333864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-2.9262992029543969E-13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556.75475431848258</v>
      </c>
      <c r="BJ160" s="60">
        <f t="shared" si="146"/>
        <v>256.77417912163997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3.4106051316484809E-13</v>
      </c>
      <c r="BZ160" s="14">
        <f>BY160*VLOOKUP('Données projet'!$B$12,Paramètres!$A$1:$I$89,3,0)*VLOOKUP('Données projet'!$B$12,Paramètres!$A$1:$I$89,5,0)</f>
        <v>2.5006556825246659E-13</v>
      </c>
      <c r="CA160" s="14">
        <f t="shared" si="170"/>
        <v>3.3765445850268018E-12</v>
      </c>
      <c r="CB160" s="22">
        <f t="shared" si="171"/>
        <v>6.3163460169613921E-12</v>
      </c>
      <c r="CC160" s="60">
        <f t="shared" si="119"/>
        <v>293.33333333333962</v>
      </c>
      <c r="CD160" s="60">
        <f ca="1">AVERAGE(OFFSET($CC$3,0,0,'Données projet'!$E$12+1,1))-AVERAGE(OFFSET($H$3,0,0,'Données projet'!$E$12+1,1))</f>
        <v>290.68086183422963</v>
      </c>
      <c r="CE160" s="60">
        <f t="shared" si="148"/>
        <v>317.88330630101785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1.9895196601282805E-13</v>
      </c>
      <c r="CU160" s="18">
        <f>CT160*VLOOKUP('Données projet'!$B$13,Paramètres!$A$1:$I$89,3,0)*VLOOKUP('Données projet'!$B$13,Paramètres!$A$1:$I$89,5,0)</f>
        <v>1.3035332813160495E-13</v>
      </c>
      <c r="CV160" s="14">
        <f t="shared" si="173"/>
        <v>1.8987770485018903E-12</v>
      </c>
      <c r="CW160" s="22">
        <f t="shared" si="174"/>
        <v>3.5340687393033375E-12</v>
      </c>
      <c r="CX160" s="60">
        <f t="shared" si="122"/>
        <v>293.33333333333684</v>
      </c>
      <c r="CY160" s="60">
        <f ca="1">AVERAGE(OFFSET($CX$3,0,0,'Données projet'!$E$13+1,1))-AVERAGE(OFFSET($H$3,0,0,'Données projet'!$E$13+1,1))</f>
        <v>243.04319555814601</v>
      </c>
      <c r="CZ160" s="60">
        <f t="shared" si="150"/>
        <v>235.68746142880792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201.4732637505823</v>
      </c>
      <c r="DU160" s="60">
        <f t="shared" si="152"/>
        <v>342.06887933351783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0.53408083754742108</v>
      </c>
      <c r="EB160" s="23">
        <f>EXP(-LN(2)/25)*EB159+(1-EXP(-LN(2)/25))/(LN(2)/25)*Calculateur!DW160*Calculateur!DY160*VLOOKUP('Données projet'!$B$14,Paramètres!$A$1:$I$89,3,0)*0.475*44/12</f>
        <v>0.78173777831557922</v>
      </c>
      <c r="EC160" s="23">
        <f>EXP(-LN(2)/2)*EC159+(1-EXP(-LN(2)/2))/(LN(2)/2)*DW160*DZ160*VLOOKUP('Données projet'!$B$14,Paramètres!$A$1:$I$89,3,0)*0.475*44/12</f>
        <v>1.0270886349679748E-18</v>
      </c>
      <c r="ED160" s="24">
        <f t="shared" si="178"/>
        <v>1.3158186158630003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-2.0395418687257919E-13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260.01925143568263</v>
      </c>
      <c r="EP160" s="60">
        <f t="shared" si="154"/>
        <v>269.95358755269427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1.1490243226005368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1.1490243226005368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-9.2222762759774927E-14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256.19915261735281</v>
      </c>
      <c r="FK160" s="60">
        <f t="shared" si="156"/>
        <v>297.47246687305056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2.8421709430404007E-14</v>
      </c>
      <c r="GA160" s="18">
        <f>FZ160*VLOOKUP('Données projet'!$B$17,Paramètres!$A$1:$I$89,3,0)*VLOOKUP('Données projet'!$B$17,Paramètres!$A$1:$I$89,5,0)</f>
        <v>1.6257217794191094E-14</v>
      </c>
      <c r="GB160" s="14">
        <f t="shared" si="185"/>
        <v>3.0173973759155586E-13</v>
      </c>
      <c r="GC160" s="22">
        <f t="shared" si="186"/>
        <v>5.538446972968425E-13</v>
      </c>
      <c r="GD160" s="60">
        <f t="shared" si="134"/>
        <v>293.33333333333388</v>
      </c>
      <c r="GE160" s="60">
        <f ca="1">AVERAGE(OFFSET($GD$3,0,0,'Données projet'!$E$17+1,1))-AVERAGE(OFFSET($H$3,0,0,'Données projet'!$E$17+1,1))</f>
        <v>268.71641789629319</v>
      </c>
      <c r="GF160" s="60">
        <f t="shared" si="158"/>
        <v>199.94048514486104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6.2079009359424835E-2</v>
      </c>
      <c r="GN160" s="23">
        <f>EXP(-LN(2)/2)*GN159+(1-EXP(-LN(2)/2))/(LN(2)/2)*GH160*GK160*VLOOKUP('Données projet'!$B$17,Paramètres!$A$1:$I$89,3,0)*0.475*44/12</f>
        <v>5.3479091500668384E-19</v>
      </c>
      <c r="GO160" s="23">
        <f t="shared" si="187"/>
        <v>6.2079009359424835E-2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-2.8421709430404007E-13</v>
      </c>
      <c r="GV160" s="18">
        <f>GU160*VLOOKUP('Données projet'!$B$18,Paramètres!$A$1:$I$89,3,0)*VLOOKUP('Données projet'!$B$18,Paramètres!$A$1:$I$89,5,0)</f>
        <v>-1.69961822393816E-13</v>
      </c>
      <c r="GW160" s="14" t="e">
        <f t="shared" si="188"/>
        <v>#NUM!</v>
      </c>
      <c r="GX160" s="22" t="e">
        <f t="shared" si="189"/>
        <v>#NUM!</v>
      </c>
      <c r="GY160" s="60" t="e">
        <f t="shared" si="137"/>
        <v>#NUM!</v>
      </c>
      <c r="GZ160" s="60">
        <f ca="1">AVERAGE(OFFSET($GY$3,0,0,'Données projet'!$E$18+1,1))-AVERAGE(OFFSET($H$3,0,0,'Données projet'!$E$18+1,1))</f>
        <v>289.12367833861299</v>
      </c>
      <c r="HA160" s="60">
        <f t="shared" si="160"/>
        <v>229.06617320689003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3.1791574626040538E-19</v>
      </c>
      <c r="HJ160" s="24">
        <f t="shared" si="190"/>
        <v>3.1791574626040538E-19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-8.2291080616414541E-13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430.11660085503223</v>
      </c>
      <c r="T161" s="60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1.2710188457276673E-13</v>
      </c>
      <c r="AK161" s="14">
        <f t="shared" si="164"/>
        <v>1.856866851063998E-12</v>
      </c>
      <c r="AL161" s="22">
        <f t="shared" si="165"/>
        <v>3.4554122145673649E-12</v>
      </c>
      <c r="AM161" s="60">
        <f t="shared" si="113"/>
        <v>293.33333333333678</v>
      </c>
      <c r="AN161" s="60">
        <f ca="1">AVERAGE(OFFSET($AM$3,0,0,'Données projet'!$E$10+1,1))-AVERAGE(OFFSET($H$3,0,0,'Données projet'!$E$10+1,1))</f>
        <v>323.98185264074681</v>
      </c>
      <c r="AO161" s="60">
        <f t="shared" si="144"/>
        <v>301.22207291854005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0.35371307355753595</v>
      </c>
      <c r="AV161" s="23">
        <f>EXP(-LN(2)/25)*AV160+(1-EXP(-LN(2)/25))/(LN(2)/25)*Calculateur!AQ161*Calculateur!AS161*VLOOKUP('Données projet'!$B$10,Paramètres!$A$1:$I$89,3,0)*0.475*44/12</f>
        <v>0.23715822752269983</v>
      </c>
      <c r="AW161" s="23">
        <f>EXP(-LN(2)/2)*AW160+(1-EXP(-LN(2)/2))/(LN(2)/2)*AQ161*AT161*VLOOKUP('Données projet'!$B$10,Paramètres!$A$1:$I$89,3,0)*0.475*44/12</f>
        <v>3.3002068849073547E-19</v>
      </c>
      <c r="AX161" s="23">
        <f t="shared" si="166"/>
        <v>0.59087130108023578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-2.9262992029543969E-13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556.75475431848258</v>
      </c>
      <c r="BJ161" s="60">
        <f t="shared" si="146"/>
        <v>256.77417912163997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3.4106051316484809E-13</v>
      </c>
      <c r="BZ161" s="14">
        <f>BY161*VLOOKUP('Données projet'!$B$12,Paramètres!$A$1:$I$89,3,0)*VLOOKUP('Données projet'!$B$12,Paramètres!$A$1:$I$89,5,0)</f>
        <v>2.5006556825246659E-13</v>
      </c>
      <c r="CA161" s="14">
        <f t="shared" si="170"/>
        <v>3.3765445850268018E-12</v>
      </c>
      <c r="CB161" s="22">
        <f t="shared" si="171"/>
        <v>6.3163460169613921E-12</v>
      </c>
      <c r="CC161" s="60">
        <f t="shared" si="119"/>
        <v>293.33333333333962</v>
      </c>
      <c r="CD161" s="60">
        <f ca="1">AVERAGE(OFFSET($CC$3,0,0,'Données projet'!$E$12+1,1))-AVERAGE(OFFSET($H$3,0,0,'Données projet'!$E$12+1,1))</f>
        <v>290.68086183422963</v>
      </c>
      <c r="CE161" s="60">
        <f t="shared" si="148"/>
        <v>317.88330630101785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1.9895196601282805E-13</v>
      </c>
      <c r="CU161" s="18">
        <f>CT161*VLOOKUP('Données projet'!$B$13,Paramètres!$A$1:$I$89,3,0)*VLOOKUP('Données projet'!$B$13,Paramètres!$A$1:$I$89,5,0)</f>
        <v>1.3035332813160495E-13</v>
      </c>
      <c r="CV161" s="14">
        <f t="shared" si="173"/>
        <v>1.8987770485018903E-12</v>
      </c>
      <c r="CW161" s="22">
        <f t="shared" si="174"/>
        <v>3.5340687393033375E-12</v>
      </c>
      <c r="CX161" s="60">
        <f t="shared" si="122"/>
        <v>293.33333333333684</v>
      </c>
      <c r="CY161" s="60">
        <f ca="1">AVERAGE(OFFSET($CX$3,0,0,'Données projet'!$E$13+1,1))-AVERAGE(OFFSET($H$3,0,0,'Données projet'!$E$13+1,1))</f>
        <v>243.04319555814601</v>
      </c>
      <c r="CZ161" s="60">
        <f t="shared" si="150"/>
        <v>235.68746142880792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201.4732637505823</v>
      </c>
      <c r="DU161" s="60">
        <f t="shared" si="152"/>
        <v>342.06887933351783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0.52360783808026123</v>
      </c>
      <c r="EB161" s="23">
        <f>EXP(-LN(2)/25)*EB160+(1-EXP(-LN(2)/25))/(LN(2)/25)*Calculateur!DW161*Calculateur!DY161*VLOOKUP('Données projet'!$B$14,Paramètres!$A$1:$I$89,3,0)*0.475*44/12</f>
        <v>0.76036111765773662</v>
      </c>
      <c r="EC161" s="23">
        <f>EXP(-LN(2)/2)*EC160+(1-EXP(-LN(2)/2))/(LN(2)/2)*DW161*DZ161*VLOOKUP('Données projet'!$B$14,Paramètres!$A$1:$I$89,3,0)*0.475*44/12</f>
        <v>7.2626133866548956E-19</v>
      </c>
      <c r="ED161" s="24">
        <f t="shared" si="178"/>
        <v>1.2839689557379979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-2.0395418687257919E-13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260.01925143568263</v>
      </c>
      <c r="EP161" s="60">
        <f t="shared" si="154"/>
        <v>269.95358755269427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1.1264926564699753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1.1264926564699753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-9.2222762759774927E-14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256.19915261735281</v>
      </c>
      <c r="FK161" s="60">
        <f t="shared" si="156"/>
        <v>297.47246687305056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2.8421709430404007E-14</v>
      </c>
      <c r="GA161" s="18">
        <f>FZ161*VLOOKUP('Données projet'!$B$17,Paramètres!$A$1:$I$89,3,0)*VLOOKUP('Données projet'!$B$17,Paramètres!$A$1:$I$89,5,0)</f>
        <v>1.6257217794191094E-14</v>
      </c>
      <c r="GB161" s="14">
        <f t="shared" si="185"/>
        <v>3.0173973759155586E-13</v>
      </c>
      <c r="GC161" s="22">
        <f t="shared" si="186"/>
        <v>5.538446972968425E-13</v>
      </c>
      <c r="GD161" s="60">
        <f t="shared" si="134"/>
        <v>293.33333333333388</v>
      </c>
      <c r="GE161" s="60">
        <f ca="1">AVERAGE(OFFSET($GD$3,0,0,'Données projet'!$E$17+1,1))-AVERAGE(OFFSET($H$3,0,0,'Données projet'!$E$17+1,1))</f>
        <v>268.71641789629319</v>
      </c>
      <c r="GF161" s="60">
        <f t="shared" si="158"/>
        <v>199.94048514486104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6.0381455583898146E-2</v>
      </c>
      <c r="GN161" s="23">
        <f>EXP(-LN(2)/2)*GN160+(1-EXP(-LN(2)/2))/(LN(2)/2)*GH161*GK161*VLOOKUP('Données projet'!$B$17,Paramètres!$A$1:$I$89,3,0)*0.475*44/12</f>
        <v>3.7815428251818473E-19</v>
      </c>
      <c r="GO161" s="23">
        <f t="shared" si="187"/>
        <v>6.0381455583898146E-2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-2.8421709430404007E-13</v>
      </c>
      <c r="GV161" s="18">
        <f>GU161*VLOOKUP('Données projet'!$B$18,Paramètres!$A$1:$I$89,3,0)*VLOOKUP('Données projet'!$B$18,Paramètres!$A$1:$I$89,5,0)</f>
        <v>-1.69961822393816E-13</v>
      </c>
      <c r="GW161" s="14" t="e">
        <f t="shared" si="188"/>
        <v>#NUM!</v>
      </c>
      <c r="GX161" s="22" t="e">
        <f t="shared" si="189"/>
        <v>#NUM!</v>
      </c>
      <c r="GY161" s="60" t="e">
        <f t="shared" si="137"/>
        <v>#NUM!</v>
      </c>
      <c r="GZ161" s="60">
        <f ca="1">AVERAGE(OFFSET($GY$3,0,0,'Données projet'!$E$18+1,1))-AVERAGE(OFFSET($H$3,0,0,'Données projet'!$E$18+1,1))</f>
        <v>289.12367833861299</v>
      </c>
      <c r="HA161" s="60">
        <f t="shared" si="160"/>
        <v>229.06617320689003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2.2480038002671443E-19</v>
      </c>
      <c r="HJ161" s="24">
        <f t="shared" si="190"/>
        <v>2.2480038002671443E-19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-8.2291080616414541E-13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430.11660085503223</v>
      </c>
      <c r="T162" s="60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1.2710188457276673E-13</v>
      </c>
      <c r="AK162" s="14">
        <f t="shared" si="164"/>
        <v>1.856866851063998E-12</v>
      </c>
      <c r="AL162" s="22">
        <f t="shared" si="165"/>
        <v>3.4554122145673649E-12</v>
      </c>
      <c r="AM162" s="60">
        <f t="shared" si="113"/>
        <v>293.33333333333678</v>
      </c>
      <c r="AN162" s="60">
        <f ca="1">AVERAGE(OFFSET($AM$3,0,0,'Données projet'!$E$10+1,1))-AVERAGE(OFFSET($H$3,0,0,'Données projet'!$E$10+1,1))</f>
        <v>323.98185264074681</v>
      </c>
      <c r="AO162" s="60">
        <f t="shared" si="144"/>
        <v>301.22207291854005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0.34677697592874462</v>
      </c>
      <c r="AV162" s="23">
        <f>EXP(-LN(2)/25)*AV161+(1-EXP(-LN(2)/25))/(LN(2)/25)*Calculateur!AQ162*Calculateur!AS162*VLOOKUP('Données projet'!$B$10,Paramètres!$A$1:$I$89,3,0)*0.475*44/12</f>
        <v>0.23067312331948245</v>
      </c>
      <c r="AW162" s="23">
        <f>EXP(-LN(2)/2)*AW161+(1-EXP(-LN(2)/2))/(LN(2)/2)*AQ162*AT162*VLOOKUP('Données projet'!$B$10,Paramètres!$A$1:$I$89,3,0)*0.475*44/12</f>
        <v>2.3335986676365225E-19</v>
      </c>
      <c r="AX162" s="23">
        <f t="shared" si="166"/>
        <v>0.5774500992482271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-2.9262992029543969E-13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556.75475431848258</v>
      </c>
      <c r="BJ162" s="60">
        <f t="shared" si="146"/>
        <v>256.77417912163997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3.4106051316484809E-13</v>
      </c>
      <c r="BZ162" s="14">
        <f>BY162*VLOOKUP('Données projet'!$B$12,Paramètres!$A$1:$I$89,3,0)*VLOOKUP('Données projet'!$B$12,Paramètres!$A$1:$I$89,5,0)</f>
        <v>2.5006556825246659E-13</v>
      </c>
      <c r="CA162" s="14">
        <f t="shared" si="170"/>
        <v>3.3765445850268018E-12</v>
      </c>
      <c r="CB162" s="22">
        <f t="shared" si="171"/>
        <v>6.3163460169613921E-12</v>
      </c>
      <c r="CC162" s="60">
        <f t="shared" si="119"/>
        <v>293.33333333333962</v>
      </c>
      <c r="CD162" s="60">
        <f ca="1">AVERAGE(OFFSET($CC$3,0,0,'Données projet'!$E$12+1,1))-AVERAGE(OFFSET($H$3,0,0,'Données projet'!$E$12+1,1))</f>
        <v>290.68086183422963</v>
      </c>
      <c r="CE162" s="60">
        <f t="shared" si="148"/>
        <v>317.88330630101785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1.9895196601282805E-13</v>
      </c>
      <c r="CU162" s="18">
        <f>CT162*VLOOKUP('Données projet'!$B$13,Paramètres!$A$1:$I$89,3,0)*VLOOKUP('Données projet'!$B$13,Paramètres!$A$1:$I$89,5,0)</f>
        <v>1.3035332813160495E-13</v>
      </c>
      <c r="CV162" s="14">
        <f t="shared" si="173"/>
        <v>1.8987770485018903E-12</v>
      </c>
      <c r="CW162" s="22">
        <f t="shared" si="174"/>
        <v>3.5340687393033375E-12</v>
      </c>
      <c r="CX162" s="60">
        <f t="shared" si="122"/>
        <v>293.33333333333684</v>
      </c>
      <c r="CY162" s="60">
        <f ca="1">AVERAGE(OFFSET($CX$3,0,0,'Données projet'!$E$13+1,1))-AVERAGE(OFFSET($H$3,0,0,'Données projet'!$E$13+1,1))</f>
        <v>243.04319555814601</v>
      </c>
      <c r="CZ162" s="60">
        <f t="shared" si="150"/>
        <v>235.68746142880792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201.4732637505823</v>
      </c>
      <c r="DU162" s="60">
        <f t="shared" si="152"/>
        <v>342.06887933351783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0.51334020774475342</v>
      </c>
      <c r="EB162" s="23">
        <f>EXP(-LN(2)/25)*EB161+(1-EXP(-LN(2)/25))/(LN(2)/25)*Calculateur!DW162*Calculateur!DY162*VLOOKUP('Données projet'!$B$14,Paramètres!$A$1:$I$89,3,0)*0.475*44/12</f>
        <v>0.73956900290973249</v>
      </c>
      <c r="EC162" s="23">
        <f>EXP(-LN(2)/2)*EC161+(1-EXP(-LN(2)/2))/(LN(2)/2)*DW162*DZ162*VLOOKUP('Données projet'!$B$14,Paramètres!$A$1:$I$89,3,0)*0.475*44/12</f>
        <v>5.1354431748398741E-19</v>
      </c>
      <c r="ED162" s="24">
        <f t="shared" si="178"/>
        <v>1.2529092106544859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-2.0395418687257919E-13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260.01925143568263</v>
      </c>
      <c r="EP162" s="60">
        <f t="shared" si="154"/>
        <v>269.95358755269427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1.1044028225692748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1.1044028225692748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-9.2222762759774927E-14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256.19915261735281</v>
      </c>
      <c r="FK162" s="60">
        <f t="shared" si="156"/>
        <v>297.47246687305056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2.8421709430404007E-14</v>
      </c>
      <c r="GA162" s="18">
        <f>FZ162*VLOOKUP('Données projet'!$B$17,Paramètres!$A$1:$I$89,3,0)*VLOOKUP('Données projet'!$B$17,Paramètres!$A$1:$I$89,5,0)</f>
        <v>1.6257217794191094E-14</v>
      </c>
      <c r="GB162" s="14">
        <f t="shared" si="185"/>
        <v>3.0173973759155586E-13</v>
      </c>
      <c r="GC162" s="22">
        <f t="shared" si="186"/>
        <v>5.538446972968425E-13</v>
      </c>
      <c r="GD162" s="60">
        <f t="shared" si="134"/>
        <v>293.33333333333388</v>
      </c>
      <c r="GE162" s="60">
        <f ca="1">AVERAGE(OFFSET($GD$3,0,0,'Données projet'!$E$17+1,1))-AVERAGE(OFFSET($H$3,0,0,'Données projet'!$E$17+1,1))</f>
        <v>268.71641789629319</v>
      </c>
      <c r="GF162" s="60">
        <f t="shared" si="158"/>
        <v>199.94048514486104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5.8730321505633704E-2</v>
      </c>
      <c r="GN162" s="23">
        <f>EXP(-LN(2)/2)*GN161+(1-EXP(-LN(2)/2))/(LN(2)/2)*GH162*GK162*VLOOKUP('Données projet'!$B$17,Paramètres!$A$1:$I$89,3,0)*0.475*44/12</f>
        <v>2.6739545750334192E-19</v>
      </c>
      <c r="GO162" s="23">
        <f t="shared" si="187"/>
        <v>5.8730321505633704E-2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-2.8421709430404007E-13</v>
      </c>
      <c r="GV162" s="18">
        <f>GU162*VLOOKUP('Données projet'!$B$18,Paramètres!$A$1:$I$89,3,0)*VLOOKUP('Données projet'!$B$18,Paramètres!$A$1:$I$89,5,0)</f>
        <v>-1.69961822393816E-13</v>
      </c>
      <c r="GW162" s="14" t="e">
        <f t="shared" si="188"/>
        <v>#NUM!</v>
      </c>
      <c r="GX162" s="22" t="e">
        <f t="shared" si="189"/>
        <v>#NUM!</v>
      </c>
      <c r="GY162" s="60" t="e">
        <f t="shared" si="137"/>
        <v>#NUM!</v>
      </c>
      <c r="GZ162" s="60">
        <f ca="1">AVERAGE(OFFSET($GY$3,0,0,'Données projet'!$E$18+1,1))-AVERAGE(OFFSET($H$3,0,0,'Données projet'!$E$18+1,1))</f>
        <v>289.12367833861299</v>
      </c>
      <c r="HA162" s="60">
        <f t="shared" si="160"/>
        <v>229.06617320689003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1.5895787313020269E-19</v>
      </c>
      <c r="HJ162" s="24">
        <f t="shared" si="190"/>
        <v>1.5895787313020269E-19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-8.2291080616414541E-13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430.11660085503223</v>
      </c>
      <c r="T163" s="60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1.2710188457276673E-13</v>
      </c>
      <c r="AK163" s="14">
        <f t="shared" si="164"/>
        <v>1.856866851063998E-12</v>
      </c>
      <c r="AL163" s="22">
        <f t="shared" si="165"/>
        <v>3.4554122145673649E-12</v>
      </c>
      <c r="AM163" s="60">
        <f t="shared" si="113"/>
        <v>293.33333333333678</v>
      </c>
      <c r="AN163" s="60">
        <f ca="1">AVERAGE(OFFSET($AM$3,0,0,'Données projet'!$E$10+1,1))-AVERAGE(OFFSET($H$3,0,0,'Données projet'!$E$10+1,1))</f>
        <v>323.98185264074681</v>
      </c>
      <c r="AO163" s="60">
        <f t="shared" si="144"/>
        <v>301.22207291854005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0.33997689094385208</v>
      </c>
      <c r="AV163" s="23">
        <f>EXP(-LN(2)/25)*AV162+(1-EXP(-LN(2)/25))/(LN(2)/25)*Calculateur!AQ163*Calculateur!AS163*VLOOKUP('Données projet'!$B$10,Paramètres!$A$1:$I$89,3,0)*0.475*44/12</f>
        <v>0.22436535463173884</v>
      </c>
      <c r="AW163" s="23">
        <f>EXP(-LN(2)/2)*AW162+(1-EXP(-LN(2)/2))/(LN(2)/2)*AQ163*AT163*VLOOKUP('Données projet'!$B$10,Paramètres!$A$1:$I$89,3,0)*0.475*44/12</f>
        <v>1.6501034424536774E-19</v>
      </c>
      <c r="AX163" s="23">
        <f t="shared" si="166"/>
        <v>0.56434224557559087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-2.9262992029543969E-13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556.75475431848258</v>
      </c>
      <c r="BJ163" s="60">
        <f t="shared" si="146"/>
        <v>256.77417912163997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3.4106051316484809E-13</v>
      </c>
      <c r="BZ163" s="14">
        <f>BY163*VLOOKUP('Données projet'!$B$12,Paramètres!$A$1:$I$89,3,0)*VLOOKUP('Données projet'!$B$12,Paramètres!$A$1:$I$89,5,0)</f>
        <v>2.5006556825246659E-13</v>
      </c>
      <c r="CA163" s="14">
        <f t="shared" si="170"/>
        <v>3.3765445850268018E-12</v>
      </c>
      <c r="CB163" s="22">
        <f t="shared" si="171"/>
        <v>6.3163460169613921E-12</v>
      </c>
      <c r="CC163" s="60">
        <f t="shared" si="119"/>
        <v>293.33333333333962</v>
      </c>
      <c r="CD163" s="60">
        <f ca="1">AVERAGE(OFFSET($CC$3,0,0,'Données projet'!$E$12+1,1))-AVERAGE(OFFSET($H$3,0,0,'Données projet'!$E$12+1,1))</f>
        <v>290.68086183422963</v>
      </c>
      <c r="CE163" s="60">
        <f t="shared" si="148"/>
        <v>317.88330630101785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1.9895196601282805E-13</v>
      </c>
      <c r="CU163" s="18">
        <f>CT163*VLOOKUP('Données projet'!$B$13,Paramètres!$A$1:$I$89,3,0)*VLOOKUP('Données projet'!$B$13,Paramètres!$A$1:$I$89,5,0)</f>
        <v>1.3035332813160495E-13</v>
      </c>
      <c r="CV163" s="14">
        <f t="shared" si="173"/>
        <v>1.8987770485018903E-12</v>
      </c>
      <c r="CW163" s="22">
        <f t="shared" si="174"/>
        <v>3.5340687393033375E-12</v>
      </c>
      <c r="CX163" s="60">
        <f t="shared" si="122"/>
        <v>293.33333333333684</v>
      </c>
      <c r="CY163" s="60">
        <f ca="1">AVERAGE(OFFSET($CX$3,0,0,'Données projet'!$E$13+1,1))-AVERAGE(OFFSET($H$3,0,0,'Données projet'!$E$13+1,1))</f>
        <v>243.04319555814601</v>
      </c>
      <c r="CZ163" s="60">
        <f t="shared" si="150"/>
        <v>235.68746142880792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201.4732637505823</v>
      </c>
      <c r="DU163" s="60">
        <f t="shared" si="152"/>
        <v>342.06887933351783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0.50327391937748878</v>
      </c>
      <c r="EB163" s="23">
        <f>EXP(-LN(2)/25)*EB162+(1-EXP(-LN(2)/25))/(LN(2)/25)*Calculateur!DW163*Calculateur!DY163*VLOOKUP('Données projet'!$B$14,Paramètres!$A$1:$I$89,3,0)*0.475*44/12</f>
        <v>0.71934544963292235</v>
      </c>
      <c r="EC163" s="23">
        <f>EXP(-LN(2)/2)*EC162+(1-EXP(-LN(2)/2))/(LN(2)/2)*DW163*DZ163*VLOOKUP('Données projet'!$B$14,Paramètres!$A$1:$I$89,3,0)*0.475*44/12</f>
        <v>3.6313066933274478E-19</v>
      </c>
      <c r="ED163" s="24">
        <f t="shared" si="178"/>
        <v>1.222619369010411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-2.0395418687257919E-13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260.01925143568263</v>
      </c>
      <c r="EP163" s="60">
        <f t="shared" si="154"/>
        <v>269.95358755269427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1.0827461568378987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1.0827461568378987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-9.2222762759774927E-14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256.19915261735281</v>
      </c>
      <c r="FK163" s="60">
        <f t="shared" si="156"/>
        <v>297.47246687305056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2.8421709430404007E-14</v>
      </c>
      <c r="GA163" s="18">
        <f>FZ163*VLOOKUP('Données projet'!$B$17,Paramètres!$A$1:$I$89,3,0)*VLOOKUP('Données projet'!$B$17,Paramètres!$A$1:$I$89,5,0)</f>
        <v>1.6257217794191094E-14</v>
      </c>
      <c r="GB163" s="14">
        <f t="shared" si="185"/>
        <v>3.0173973759155586E-13</v>
      </c>
      <c r="GC163" s="22">
        <f t="shared" si="186"/>
        <v>5.538446972968425E-13</v>
      </c>
      <c r="GD163" s="60">
        <f t="shared" si="134"/>
        <v>293.33333333333388</v>
      </c>
      <c r="GE163" s="60">
        <f ca="1">AVERAGE(OFFSET($GD$3,0,0,'Données projet'!$E$17+1,1))-AVERAGE(OFFSET($H$3,0,0,'Données projet'!$E$17+1,1))</f>
        <v>268.71641789629319</v>
      </c>
      <c r="GF163" s="60">
        <f t="shared" si="158"/>
        <v>199.94048514486104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5.7124337775568773E-2</v>
      </c>
      <c r="GN163" s="23">
        <f>EXP(-LN(2)/2)*GN162+(1-EXP(-LN(2)/2))/(LN(2)/2)*GH163*GK163*VLOOKUP('Données projet'!$B$17,Paramètres!$A$1:$I$89,3,0)*0.475*44/12</f>
        <v>1.8907714125909236E-19</v>
      </c>
      <c r="GO163" s="23">
        <f t="shared" si="187"/>
        <v>5.7124337775568773E-2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-2.8421709430404007E-13</v>
      </c>
      <c r="GV163" s="18">
        <f>GU163*VLOOKUP('Données projet'!$B$18,Paramètres!$A$1:$I$89,3,0)*VLOOKUP('Données projet'!$B$18,Paramètres!$A$1:$I$89,5,0)</f>
        <v>-1.69961822393816E-13</v>
      </c>
      <c r="GW163" s="14" t="e">
        <f t="shared" si="188"/>
        <v>#NUM!</v>
      </c>
      <c r="GX163" s="22" t="e">
        <f t="shared" si="189"/>
        <v>#NUM!</v>
      </c>
      <c r="GY163" s="60" t="e">
        <f t="shared" si="137"/>
        <v>#NUM!</v>
      </c>
      <c r="GZ163" s="60">
        <f ca="1">AVERAGE(OFFSET($GY$3,0,0,'Données projet'!$E$18+1,1))-AVERAGE(OFFSET($H$3,0,0,'Données projet'!$E$18+1,1))</f>
        <v>289.12367833861299</v>
      </c>
      <c r="HA163" s="60">
        <f t="shared" si="160"/>
        <v>229.06617320689003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1.1240019001335722E-19</v>
      </c>
      <c r="HJ163" s="24">
        <f t="shared" si="190"/>
        <v>1.1240019001335722E-19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-8.2291080616414541E-13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430.11660085503223</v>
      </c>
      <c r="T164" s="60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1.2710188457276673E-13</v>
      </c>
      <c r="AK164" s="14">
        <f t="shared" si="164"/>
        <v>1.856866851063998E-12</v>
      </c>
      <c r="AL164" s="22">
        <f t="shared" si="165"/>
        <v>3.4554122145673649E-12</v>
      </c>
      <c r="AM164" s="60">
        <f t="shared" si="113"/>
        <v>293.33333333333678</v>
      </c>
      <c r="AN164" s="60">
        <f ca="1">AVERAGE(OFFSET($AM$3,0,0,'Données projet'!$E$10+1,1))-AVERAGE(OFFSET($H$3,0,0,'Données projet'!$E$10+1,1))</f>
        <v>323.98185264074681</v>
      </c>
      <c r="AO164" s="60">
        <f t="shared" si="144"/>
        <v>301.22207291854005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0.33331015147787096</v>
      </c>
      <c r="AV164" s="23">
        <f>EXP(-LN(2)/25)*AV163+(1-EXP(-LN(2)/25))/(LN(2)/25)*Calculateur!AQ164*Calculateur!AS164*VLOOKUP('Données projet'!$B$10,Paramètres!$A$1:$I$89,3,0)*0.475*44/12</f>
        <v>0.21823007221047275</v>
      </c>
      <c r="AW164" s="23">
        <f>EXP(-LN(2)/2)*AW163+(1-EXP(-LN(2)/2))/(LN(2)/2)*AQ164*AT164*VLOOKUP('Données projet'!$B$10,Paramètres!$A$1:$I$89,3,0)*0.475*44/12</f>
        <v>1.1667993338182612E-19</v>
      </c>
      <c r="AX164" s="23">
        <f t="shared" si="166"/>
        <v>0.55154022368834377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-2.9262992029543969E-13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556.75475431848258</v>
      </c>
      <c r="BJ164" s="60">
        <f t="shared" si="146"/>
        <v>256.77417912163997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3.4106051316484809E-13</v>
      </c>
      <c r="BZ164" s="14">
        <f>BY164*VLOOKUP('Données projet'!$B$12,Paramètres!$A$1:$I$89,3,0)*VLOOKUP('Données projet'!$B$12,Paramètres!$A$1:$I$89,5,0)</f>
        <v>2.5006556825246659E-13</v>
      </c>
      <c r="CA164" s="14">
        <f t="shared" si="170"/>
        <v>3.3765445850268018E-12</v>
      </c>
      <c r="CB164" s="22">
        <f t="shared" si="171"/>
        <v>6.3163460169613921E-12</v>
      </c>
      <c r="CC164" s="60">
        <f t="shared" si="119"/>
        <v>293.33333333333962</v>
      </c>
      <c r="CD164" s="60">
        <f ca="1">AVERAGE(OFFSET($CC$3,0,0,'Données projet'!$E$12+1,1))-AVERAGE(OFFSET($H$3,0,0,'Données projet'!$E$12+1,1))</f>
        <v>290.68086183422963</v>
      </c>
      <c r="CE164" s="60">
        <f t="shared" si="148"/>
        <v>317.88330630101785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1.9895196601282805E-13</v>
      </c>
      <c r="CU164" s="18">
        <f>CT164*VLOOKUP('Données projet'!$B$13,Paramètres!$A$1:$I$89,3,0)*VLOOKUP('Données projet'!$B$13,Paramètres!$A$1:$I$89,5,0)</f>
        <v>1.3035332813160495E-13</v>
      </c>
      <c r="CV164" s="14">
        <f t="shared" si="173"/>
        <v>1.8987770485018903E-12</v>
      </c>
      <c r="CW164" s="22">
        <f t="shared" si="174"/>
        <v>3.5340687393033375E-12</v>
      </c>
      <c r="CX164" s="60">
        <f t="shared" si="122"/>
        <v>293.33333333333684</v>
      </c>
      <c r="CY164" s="60">
        <f ca="1">AVERAGE(OFFSET($CX$3,0,0,'Données projet'!$E$13+1,1))-AVERAGE(OFFSET($H$3,0,0,'Données projet'!$E$13+1,1))</f>
        <v>243.04319555814601</v>
      </c>
      <c r="CZ164" s="60">
        <f t="shared" si="150"/>
        <v>235.68746142880792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201.4732637505823</v>
      </c>
      <c r="DU164" s="60">
        <f t="shared" si="152"/>
        <v>342.06887933351783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0.49340502478527659</v>
      </c>
      <c r="EB164" s="23">
        <f>EXP(-LN(2)/25)*EB163+(1-EXP(-LN(2)/25))/(LN(2)/25)*Calculateur!DW164*Calculateur!DY164*VLOOKUP('Données projet'!$B$14,Paramètres!$A$1:$I$89,3,0)*0.475*44/12</f>
        <v>0.69967491048397701</v>
      </c>
      <c r="EC164" s="23">
        <f>EXP(-LN(2)/2)*EC163+(1-EXP(-LN(2)/2))/(LN(2)/2)*DW164*DZ164*VLOOKUP('Données projet'!$B$14,Paramètres!$A$1:$I$89,3,0)*0.475*44/12</f>
        <v>2.5677215874199371E-19</v>
      </c>
      <c r="ED164" s="24">
        <f t="shared" si="178"/>
        <v>1.1930799352692536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-2.0395418687257919E-13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260.01925143568263</v>
      </c>
      <c r="EP164" s="60">
        <f t="shared" si="154"/>
        <v>269.95358755269427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1.061514165112253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1.061514165112253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-9.2222762759774927E-14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256.19915261735281</v>
      </c>
      <c r="FK164" s="60">
        <f t="shared" si="156"/>
        <v>297.47246687305056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2.8421709430404007E-14</v>
      </c>
      <c r="GA164" s="18">
        <f>FZ164*VLOOKUP('Données projet'!$B$17,Paramètres!$A$1:$I$89,3,0)*VLOOKUP('Données projet'!$B$17,Paramètres!$A$1:$I$89,5,0)</f>
        <v>1.6257217794191094E-14</v>
      </c>
      <c r="GB164" s="14">
        <f t="shared" si="185"/>
        <v>3.0173973759155586E-13</v>
      </c>
      <c r="GC164" s="22">
        <f t="shared" si="186"/>
        <v>5.538446972968425E-13</v>
      </c>
      <c r="GD164" s="60">
        <f t="shared" si="134"/>
        <v>293.33333333333388</v>
      </c>
      <c r="GE164" s="60">
        <f ca="1">AVERAGE(OFFSET($GD$3,0,0,'Données projet'!$E$17+1,1))-AVERAGE(OFFSET($H$3,0,0,'Données projet'!$E$17+1,1))</f>
        <v>268.71641789629319</v>
      </c>
      <c r="GF164" s="60">
        <f t="shared" si="158"/>
        <v>199.94048514486104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5.5562269755057479E-2</v>
      </c>
      <c r="GN164" s="23">
        <f>EXP(-LN(2)/2)*GN163+(1-EXP(-LN(2)/2))/(LN(2)/2)*GH164*GK164*VLOOKUP('Données projet'!$B$17,Paramètres!$A$1:$I$89,3,0)*0.475*44/12</f>
        <v>1.3369772875167096E-19</v>
      </c>
      <c r="GO164" s="23">
        <f t="shared" si="187"/>
        <v>5.5562269755057479E-2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-2.8421709430404007E-13</v>
      </c>
      <c r="GV164" s="18">
        <f>GU164*VLOOKUP('Données projet'!$B$18,Paramètres!$A$1:$I$89,3,0)*VLOOKUP('Données projet'!$B$18,Paramètres!$A$1:$I$89,5,0)</f>
        <v>-1.69961822393816E-13</v>
      </c>
      <c r="GW164" s="14" t="e">
        <f t="shared" si="188"/>
        <v>#NUM!</v>
      </c>
      <c r="GX164" s="22" t="e">
        <f t="shared" si="189"/>
        <v>#NUM!</v>
      </c>
      <c r="GY164" s="60" t="e">
        <f t="shared" si="137"/>
        <v>#NUM!</v>
      </c>
      <c r="GZ164" s="60">
        <f ca="1">AVERAGE(OFFSET($GY$3,0,0,'Données projet'!$E$18+1,1))-AVERAGE(OFFSET($H$3,0,0,'Données projet'!$E$18+1,1))</f>
        <v>289.12367833861299</v>
      </c>
      <c r="HA164" s="60">
        <f t="shared" si="160"/>
        <v>229.06617320689003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7.9478936565101346E-20</v>
      </c>
      <c r="HJ164" s="24">
        <f t="shared" si="190"/>
        <v>7.9478936565101346E-20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-8.2291080616414541E-13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430.11660085503223</v>
      </c>
      <c r="T165" s="60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1.2710188457276673E-13</v>
      </c>
      <c r="AK165" s="14">
        <f t="shared" si="164"/>
        <v>1.856866851063998E-12</v>
      </c>
      <c r="AL165" s="22">
        <f t="shared" si="165"/>
        <v>3.4554122145673649E-12</v>
      </c>
      <c r="AM165" s="60">
        <f t="shared" si="113"/>
        <v>293.33333333333678</v>
      </c>
      <c r="AN165" s="60">
        <f ca="1">AVERAGE(OFFSET($AM$3,0,0,'Données projet'!$E$10+1,1))-AVERAGE(OFFSET($H$3,0,0,'Données projet'!$E$10+1,1))</f>
        <v>323.98185264074681</v>
      </c>
      <c r="AO165" s="60">
        <f t="shared" si="144"/>
        <v>301.22207291854005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0.32677414270650817</v>
      </c>
      <c r="AV165" s="23">
        <f>EXP(-LN(2)/25)*AV164+(1-EXP(-LN(2)/25))/(LN(2)/25)*Calculateur!AQ165*Calculateur!AS165*VLOOKUP('Données projet'!$B$10,Paramètres!$A$1:$I$89,3,0)*0.475*44/12</f>
        <v>0.21226255940965663</v>
      </c>
      <c r="AW165" s="23">
        <f>EXP(-LN(2)/2)*AW164+(1-EXP(-LN(2)/2))/(LN(2)/2)*AQ165*AT165*VLOOKUP('Données projet'!$B$10,Paramètres!$A$1:$I$89,3,0)*0.475*44/12</f>
        <v>8.2505172122683869E-20</v>
      </c>
      <c r="AX165" s="23">
        <f t="shared" si="166"/>
        <v>0.53903670211616483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-2.9262992029543969E-13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556.75475431848258</v>
      </c>
      <c r="BJ165" s="60">
        <f t="shared" si="146"/>
        <v>256.77417912163997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3.4106051316484809E-13</v>
      </c>
      <c r="BZ165" s="14">
        <f>BY165*VLOOKUP('Données projet'!$B$12,Paramètres!$A$1:$I$89,3,0)*VLOOKUP('Données projet'!$B$12,Paramètres!$A$1:$I$89,5,0)</f>
        <v>2.5006556825246659E-13</v>
      </c>
      <c r="CA165" s="14">
        <f t="shared" si="170"/>
        <v>3.3765445850268018E-12</v>
      </c>
      <c r="CB165" s="22">
        <f t="shared" si="171"/>
        <v>6.3163460169613921E-12</v>
      </c>
      <c r="CC165" s="60">
        <f t="shared" si="119"/>
        <v>293.33333333333962</v>
      </c>
      <c r="CD165" s="60">
        <f ca="1">AVERAGE(OFFSET($CC$3,0,0,'Données projet'!$E$12+1,1))-AVERAGE(OFFSET($H$3,0,0,'Données projet'!$E$12+1,1))</f>
        <v>290.68086183422963</v>
      </c>
      <c r="CE165" s="60">
        <f t="shared" si="148"/>
        <v>317.88330630101785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1.9895196601282805E-13</v>
      </c>
      <c r="CU165" s="18">
        <f>CT165*VLOOKUP('Données projet'!$B$13,Paramètres!$A$1:$I$89,3,0)*VLOOKUP('Données projet'!$B$13,Paramètres!$A$1:$I$89,5,0)</f>
        <v>1.3035332813160495E-13</v>
      </c>
      <c r="CV165" s="14">
        <f t="shared" si="173"/>
        <v>1.8987770485018903E-12</v>
      </c>
      <c r="CW165" s="22">
        <f t="shared" si="174"/>
        <v>3.5340687393033375E-12</v>
      </c>
      <c r="CX165" s="60">
        <f t="shared" si="122"/>
        <v>293.33333333333684</v>
      </c>
      <c r="CY165" s="60">
        <f ca="1">AVERAGE(OFFSET($CX$3,0,0,'Données projet'!$E$13+1,1))-AVERAGE(OFFSET($H$3,0,0,'Données projet'!$E$13+1,1))</f>
        <v>243.04319555814601</v>
      </c>
      <c r="CZ165" s="60">
        <f t="shared" si="150"/>
        <v>235.68746142880792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201.4732637505823</v>
      </c>
      <c r="DU165" s="60">
        <f t="shared" si="152"/>
        <v>342.06887933351783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0.48372965319658634</v>
      </c>
      <c r="EB165" s="23">
        <f>EXP(-LN(2)/25)*EB164+(1-EXP(-LN(2)/25))/(LN(2)/25)*Calculateur!DW165*Calculateur!DY165*VLOOKUP('Données projet'!$B$14,Paramètres!$A$1:$I$89,3,0)*0.475*44/12</f>
        <v>0.68054226326248823</v>
      </c>
      <c r="EC165" s="23">
        <f>EXP(-LN(2)/2)*EC164+(1-EXP(-LN(2)/2))/(LN(2)/2)*DW165*DZ165*VLOOKUP('Données projet'!$B$14,Paramètres!$A$1:$I$89,3,0)*0.475*44/12</f>
        <v>1.8156533466637239E-19</v>
      </c>
      <c r="ED165" s="24">
        <f t="shared" si="178"/>
        <v>1.1642719164590747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-2.0395418687257919E-13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260.01925143568263</v>
      </c>
      <c r="EP165" s="60">
        <f t="shared" si="154"/>
        <v>269.95358755269427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1.0406985197941112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1.0406985197941112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-9.2222762759774927E-14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256.19915261735281</v>
      </c>
      <c r="FK165" s="60">
        <f t="shared" si="156"/>
        <v>297.47246687305056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2.8421709430404007E-14</v>
      </c>
      <c r="GA165" s="18">
        <f>FZ165*VLOOKUP('Données projet'!$B$17,Paramètres!$A$1:$I$89,3,0)*VLOOKUP('Données projet'!$B$17,Paramètres!$A$1:$I$89,5,0)</f>
        <v>1.6257217794191094E-14</v>
      </c>
      <c r="GB165" s="14">
        <f t="shared" si="185"/>
        <v>3.0173973759155586E-13</v>
      </c>
      <c r="GC165" s="22">
        <f t="shared" si="186"/>
        <v>5.538446972968425E-13</v>
      </c>
      <c r="GD165" s="60">
        <f t="shared" si="134"/>
        <v>293.33333333333388</v>
      </c>
      <c r="GE165" s="60">
        <f ca="1">AVERAGE(OFFSET($GD$3,0,0,'Données projet'!$E$17+1,1))-AVERAGE(OFFSET($H$3,0,0,'Données projet'!$E$17+1,1))</f>
        <v>268.71641789629319</v>
      </c>
      <c r="GF165" s="60">
        <f t="shared" si="158"/>
        <v>199.94048514486104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5.4042916566712652E-2</v>
      </c>
      <c r="GN165" s="23">
        <f>EXP(-LN(2)/2)*GN164+(1-EXP(-LN(2)/2))/(LN(2)/2)*GH165*GK165*VLOOKUP('Données projet'!$B$17,Paramètres!$A$1:$I$89,3,0)*0.475*44/12</f>
        <v>9.4538570629546182E-20</v>
      </c>
      <c r="GO165" s="23">
        <f t="shared" si="187"/>
        <v>5.4042916566712652E-2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-2.8421709430404007E-13</v>
      </c>
      <c r="GV165" s="18">
        <f>GU165*VLOOKUP('Données projet'!$B$18,Paramètres!$A$1:$I$89,3,0)*VLOOKUP('Données projet'!$B$18,Paramètres!$A$1:$I$89,5,0)</f>
        <v>-1.69961822393816E-13</v>
      </c>
      <c r="GW165" s="14" t="e">
        <f t="shared" si="188"/>
        <v>#NUM!</v>
      </c>
      <c r="GX165" s="22" t="e">
        <f t="shared" si="189"/>
        <v>#NUM!</v>
      </c>
      <c r="GY165" s="60" t="e">
        <f t="shared" si="137"/>
        <v>#NUM!</v>
      </c>
      <c r="GZ165" s="60">
        <f ca="1">AVERAGE(OFFSET($GY$3,0,0,'Données projet'!$E$18+1,1))-AVERAGE(OFFSET($H$3,0,0,'Données projet'!$E$18+1,1))</f>
        <v>289.12367833861299</v>
      </c>
      <c r="HA165" s="60">
        <f t="shared" si="160"/>
        <v>229.06617320689003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5.6200095006678608E-20</v>
      </c>
      <c r="HJ165" s="24">
        <f t="shared" si="190"/>
        <v>5.6200095006678608E-20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-8.2291080616414541E-13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430.11660085503223</v>
      </c>
      <c r="T166" s="60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1.2710188457276673E-13</v>
      </c>
      <c r="AK166" s="14">
        <f t="shared" si="164"/>
        <v>1.856866851063998E-12</v>
      </c>
      <c r="AL166" s="22">
        <f t="shared" si="165"/>
        <v>3.4554122145673649E-12</v>
      </c>
      <c r="AM166" s="60">
        <f t="shared" si="113"/>
        <v>293.33333333333678</v>
      </c>
      <c r="AN166" s="60">
        <f ca="1">AVERAGE(OFFSET($AM$3,0,0,'Données projet'!$E$10+1,1))-AVERAGE(OFFSET($H$3,0,0,'Données projet'!$E$10+1,1))</f>
        <v>323.98185264074681</v>
      </c>
      <c r="AO166" s="60">
        <f t="shared" si="144"/>
        <v>301.22207291854005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0.32036630108058012</v>
      </c>
      <c r="AV166" s="23">
        <f>EXP(-LN(2)/25)*AV165+(1-EXP(-LN(2)/25))/(LN(2)/25)*Calculateur!AQ166*Calculateur!AS166*VLOOKUP('Données projet'!$B$10,Paramètres!$A$1:$I$89,3,0)*0.475*44/12</f>
        <v>0.20645822856019672</v>
      </c>
      <c r="AW166" s="23">
        <f>EXP(-LN(2)/2)*AW165+(1-EXP(-LN(2)/2))/(LN(2)/2)*AQ166*AT166*VLOOKUP('Données projet'!$B$10,Paramètres!$A$1:$I$89,3,0)*0.475*44/12</f>
        <v>5.8339966690913062E-20</v>
      </c>
      <c r="AX166" s="23">
        <f t="shared" si="166"/>
        <v>0.52682452964077686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-2.9262992029543969E-13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556.75475431848258</v>
      </c>
      <c r="BJ166" s="60">
        <f t="shared" si="146"/>
        <v>256.77417912163997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3.4106051316484809E-13</v>
      </c>
      <c r="BZ166" s="14">
        <f>BY166*VLOOKUP('Données projet'!$B$12,Paramètres!$A$1:$I$89,3,0)*VLOOKUP('Données projet'!$B$12,Paramètres!$A$1:$I$89,5,0)</f>
        <v>2.5006556825246659E-13</v>
      </c>
      <c r="CA166" s="14">
        <f t="shared" si="170"/>
        <v>3.3765445850268018E-12</v>
      </c>
      <c r="CB166" s="22">
        <f t="shared" si="171"/>
        <v>6.3163460169613921E-12</v>
      </c>
      <c r="CC166" s="60">
        <f t="shared" si="119"/>
        <v>293.33333333333962</v>
      </c>
      <c r="CD166" s="60">
        <f ca="1">AVERAGE(OFFSET($CC$3,0,0,'Données projet'!$E$12+1,1))-AVERAGE(OFFSET($H$3,0,0,'Données projet'!$E$12+1,1))</f>
        <v>290.68086183422963</v>
      </c>
      <c r="CE166" s="60">
        <f t="shared" si="148"/>
        <v>317.88330630101785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1.9895196601282805E-13</v>
      </c>
      <c r="CU166" s="18">
        <f>CT166*VLOOKUP('Données projet'!$B$13,Paramètres!$A$1:$I$89,3,0)*VLOOKUP('Données projet'!$B$13,Paramètres!$A$1:$I$89,5,0)</f>
        <v>1.3035332813160495E-13</v>
      </c>
      <c r="CV166" s="14">
        <f t="shared" si="173"/>
        <v>1.8987770485018903E-12</v>
      </c>
      <c r="CW166" s="22">
        <f t="shared" si="174"/>
        <v>3.5340687393033375E-12</v>
      </c>
      <c r="CX166" s="60">
        <f t="shared" si="122"/>
        <v>293.33333333333684</v>
      </c>
      <c r="CY166" s="60">
        <f ca="1">AVERAGE(OFFSET($CX$3,0,0,'Données projet'!$E$13+1,1))-AVERAGE(OFFSET($H$3,0,0,'Données projet'!$E$13+1,1))</f>
        <v>243.04319555814601</v>
      </c>
      <c r="CZ166" s="60">
        <f t="shared" si="150"/>
        <v>235.68746142880792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201.4732637505823</v>
      </c>
      <c r="DU166" s="60">
        <f t="shared" si="152"/>
        <v>342.06887933351783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0.47424400974335634</v>
      </c>
      <c r="EB166" s="23">
        <f>EXP(-LN(2)/25)*EB165+(1-EXP(-LN(2)/25))/(LN(2)/25)*Calculateur!DW166*Calculateur!DY166*VLOOKUP('Données projet'!$B$14,Paramètres!$A$1:$I$89,3,0)*0.475*44/12</f>
        <v>0.66193279928541326</v>
      </c>
      <c r="EC166" s="23">
        <f>EXP(-LN(2)/2)*EC165+(1-EXP(-LN(2)/2))/(LN(2)/2)*DW166*DZ166*VLOOKUP('Données projet'!$B$14,Paramètres!$A$1:$I$89,3,0)*0.475*44/12</f>
        <v>1.2838607937099685E-19</v>
      </c>
      <c r="ED166" s="24">
        <f t="shared" si="178"/>
        <v>1.1361768090287696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-2.0395418687257919E-13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260.01925143568263</v>
      </c>
      <c r="EP166" s="60">
        <f t="shared" si="154"/>
        <v>269.95358755269427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1.0202910565843681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1.0202910565843681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-9.2222762759774927E-14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256.19915261735281</v>
      </c>
      <c r="FK166" s="60">
        <f t="shared" si="156"/>
        <v>297.47246687305056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2.8421709430404007E-14</v>
      </c>
      <c r="GA166" s="18">
        <f>FZ166*VLOOKUP('Données projet'!$B$17,Paramètres!$A$1:$I$89,3,0)*VLOOKUP('Données projet'!$B$17,Paramètres!$A$1:$I$89,5,0)</f>
        <v>1.6257217794191094E-14</v>
      </c>
      <c r="GB166" s="14">
        <f t="shared" si="185"/>
        <v>3.0173973759155586E-13</v>
      </c>
      <c r="GC166" s="22">
        <f t="shared" si="186"/>
        <v>5.538446972968425E-13</v>
      </c>
      <c r="GD166" s="60">
        <f t="shared" si="134"/>
        <v>293.33333333333388</v>
      </c>
      <c r="GE166" s="60">
        <f ca="1">AVERAGE(OFFSET($GD$3,0,0,'Données projet'!$E$17+1,1))-AVERAGE(OFFSET($H$3,0,0,'Données projet'!$E$17+1,1))</f>
        <v>268.71641789629319</v>
      </c>
      <c r="GF166" s="60">
        <f t="shared" si="158"/>
        <v>199.94048514486104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5.2565110171202432E-2</v>
      </c>
      <c r="GN166" s="23">
        <f>EXP(-LN(2)/2)*GN165+(1-EXP(-LN(2)/2))/(LN(2)/2)*GH166*GK166*VLOOKUP('Données projet'!$B$17,Paramètres!$A$1:$I$89,3,0)*0.475*44/12</f>
        <v>6.684886437583548E-20</v>
      </c>
      <c r="GO166" s="23">
        <f t="shared" si="187"/>
        <v>5.2565110171202432E-2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-2.8421709430404007E-13</v>
      </c>
      <c r="GV166" s="18">
        <f>GU166*VLOOKUP('Données projet'!$B$18,Paramètres!$A$1:$I$89,3,0)*VLOOKUP('Données projet'!$B$18,Paramètres!$A$1:$I$89,5,0)</f>
        <v>-1.69961822393816E-13</v>
      </c>
      <c r="GW166" s="14" t="e">
        <f t="shared" si="188"/>
        <v>#NUM!</v>
      </c>
      <c r="GX166" s="22" t="e">
        <f t="shared" si="189"/>
        <v>#NUM!</v>
      </c>
      <c r="GY166" s="60" t="e">
        <f t="shared" si="137"/>
        <v>#NUM!</v>
      </c>
      <c r="GZ166" s="60">
        <f ca="1">AVERAGE(OFFSET($GY$3,0,0,'Données projet'!$E$18+1,1))-AVERAGE(OFFSET($H$3,0,0,'Données projet'!$E$18+1,1))</f>
        <v>289.12367833861299</v>
      </c>
      <c r="HA166" s="60">
        <f t="shared" si="160"/>
        <v>229.06617320689003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3.9739468282550673E-20</v>
      </c>
      <c r="HJ166" s="24">
        <f t="shared" si="190"/>
        <v>3.9739468282550673E-20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-8.2291080616414541E-13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430.11660085503223</v>
      </c>
      <c r="T167" s="60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1.2710188457276673E-13</v>
      </c>
      <c r="AK167" s="14">
        <f t="shared" si="164"/>
        <v>1.856866851063998E-12</v>
      </c>
      <c r="AL167" s="22">
        <f t="shared" si="165"/>
        <v>3.4554122145673649E-12</v>
      </c>
      <c r="AM167" s="60">
        <f t="shared" si="113"/>
        <v>293.33333333333678</v>
      </c>
      <c r="AN167" s="60">
        <f ca="1">AVERAGE(OFFSET($AM$3,0,0,'Données projet'!$E$10+1,1))-AVERAGE(OFFSET($H$3,0,0,'Données projet'!$E$10+1,1))</f>
        <v>323.98185264074681</v>
      </c>
      <c r="AO167" s="60">
        <f t="shared" si="144"/>
        <v>301.22207291854005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0.31408411332053904</v>
      </c>
      <c r="AV167" s="23">
        <f>EXP(-LN(2)/25)*AV166+(1-EXP(-LN(2)/25))/(LN(2)/25)*Calculateur!AQ167*Calculateur!AS167*VLOOKUP('Données projet'!$B$10,Paramètres!$A$1:$I$89,3,0)*0.475*44/12</f>
        <v>0.20081261744305176</v>
      </c>
      <c r="AW167" s="23">
        <f>EXP(-LN(2)/2)*AW166+(1-EXP(-LN(2)/2))/(LN(2)/2)*AQ167*AT167*VLOOKUP('Données projet'!$B$10,Paramètres!$A$1:$I$89,3,0)*0.475*44/12</f>
        <v>4.1252586061341934E-20</v>
      </c>
      <c r="AX167" s="23">
        <f t="shared" si="166"/>
        <v>0.51489673076359077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-2.9262992029543969E-13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556.75475431848258</v>
      </c>
      <c r="BJ167" s="60">
        <f t="shared" si="146"/>
        <v>256.77417912163997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3.4106051316484809E-13</v>
      </c>
      <c r="BZ167" s="14">
        <f>BY167*VLOOKUP('Données projet'!$B$12,Paramètres!$A$1:$I$89,3,0)*VLOOKUP('Données projet'!$B$12,Paramètres!$A$1:$I$89,5,0)</f>
        <v>2.5006556825246659E-13</v>
      </c>
      <c r="CA167" s="14">
        <f t="shared" si="170"/>
        <v>3.3765445850268018E-12</v>
      </c>
      <c r="CB167" s="22">
        <f t="shared" si="171"/>
        <v>6.3163460169613921E-12</v>
      </c>
      <c r="CC167" s="60">
        <f t="shared" si="119"/>
        <v>293.33333333333962</v>
      </c>
      <c r="CD167" s="60">
        <f ca="1">AVERAGE(OFFSET($CC$3,0,0,'Données projet'!$E$12+1,1))-AVERAGE(OFFSET($H$3,0,0,'Données projet'!$E$12+1,1))</f>
        <v>290.68086183422963</v>
      </c>
      <c r="CE167" s="60">
        <f t="shared" si="148"/>
        <v>317.88330630101785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1.9895196601282805E-13</v>
      </c>
      <c r="CU167" s="18">
        <f>CT167*VLOOKUP('Données projet'!$B$13,Paramètres!$A$1:$I$89,3,0)*VLOOKUP('Données projet'!$B$13,Paramètres!$A$1:$I$89,5,0)</f>
        <v>1.3035332813160495E-13</v>
      </c>
      <c r="CV167" s="14">
        <f t="shared" si="173"/>
        <v>1.8987770485018903E-12</v>
      </c>
      <c r="CW167" s="22">
        <f t="shared" si="174"/>
        <v>3.5340687393033375E-12</v>
      </c>
      <c r="CX167" s="60">
        <f t="shared" si="122"/>
        <v>293.33333333333684</v>
      </c>
      <c r="CY167" s="60">
        <f ca="1">AVERAGE(OFFSET($CX$3,0,0,'Données projet'!$E$13+1,1))-AVERAGE(OFFSET($H$3,0,0,'Données projet'!$E$13+1,1))</f>
        <v>243.04319555814601</v>
      </c>
      <c r="CZ167" s="60">
        <f t="shared" si="150"/>
        <v>235.68746142880792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201.4732637505823</v>
      </c>
      <c r="DU167" s="60">
        <f t="shared" si="152"/>
        <v>342.06887933351783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0.46494437397257299</v>
      </c>
      <c r="EB167" s="23">
        <f>EXP(-LN(2)/25)*EB166+(1-EXP(-LN(2)/25))/(LN(2)/25)*Calculateur!DW167*Calculateur!DY167*VLOOKUP('Données projet'!$B$14,Paramètres!$A$1:$I$89,3,0)*0.475*44/12</f>
        <v>0.64383221207942054</v>
      </c>
      <c r="EC167" s="23">
        <f>EXP(-LN(2)/2)*EC166+(1-EXP(-LN(2)/2))/(LN(2)/2)*DW167*DZ167*VLOOKUP('Données projet'!$B$14,Paramètres!$A$1:$I$89,3,0)*0.475*44/12</f>
        <v>9.0782667333186195E-20</v>
      </c>
      <c r="ED167" s="24">
        <f t="shared" si="178"/>
        <v>1.1087765860519936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-2.0395418687257919E-13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260.01925143568263</v>
      </c>
      <c r="EP167" s="60">
        <f t="shared" si="154"/>
        <v>269.95358755269427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1.0002837712808446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1.0002837712808446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-9.2222762759774927E-14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256.19915261735281</v>
      </c>
      <c r="FK167" s="60">
        <f t="shared" si="156"/>
        <v>297.47246687305056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2.8421709430404007E-14</v>
      </c>
      <c r="GA167" s="18">
        <f>FZ167*VLOOKUP('Données projet'!$B$17,Paramètres!$A$1:$I$89,3,0)*VLOOKUP('Données projet'!$B$17,Paramètres!$A$1:$I$89,5,0)</f>
        <v>1.6257217794191094E-14</v>
      </c>
      <c r="GB167" s="14">
        <f t="shared" si="185"/>
        <v>3.0173973759155586E-13</v>
      </c>
      <c r="GC167" s="22">
        <f t="shared" si="186"/>
        <v>5.538446972968425E-13</v>
      </c>
      <c r="GD167" s="60">
        <f t="shared" si="134"/>
        <v>293.33333333333388</v>
      </c>
      <c r="GE167" s="60">
        <f ca="1">AVERAGE(OFFSET($GD$3,0,0,'Données projet'!$E$17+1,1))-AVERAGE(OFFSET($H$3,0,0,'Données projet'!$E$17+1,1))</f>
        <v>268.71641789629319</v>
      </c>
      <c r="GF167" s="60">
        <f t="shared" si="158"/>
        <v>199.94048514486104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5.1127714469291895E-2</v>
      </c>
      <c r="GN167" s="23">
        <f>EXP(-LN(2)/2)*GN166+(1-EXP(-LN(2)/2))/(LN(2)/2)*GH167*GK167*VLOOKUP('Données projet'!$B$17,Paramètres!$A$1:$I$89,3,0)*0.475*44/12</f>
        <v>4.7269285314773091E-20</v>
      </c>
      <c r="GO167" s="23">
        <f t="shared" si="187"/>
        <v>5.1127714469291895E-2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-2.8421709430404007E-13</v>
      </c>
      <c r="GV167" s="18">
        <f>GU167*VLOOKUP('Données projet'!$B$18,Paramètres!$A$1:$I$89,3,0)*VLOOKUP('Données projet'!$B$18,Paramètres!$A$1:$I$89,5,0)</f>
        <v>-1.69961822393816E-13</v>
      </c>
      <c r="GW167" s="14" t="e">
        <f t="shared" si="188"/>
        <v>#NUM!</v>
      </c>
      <c r="GX167" s="22" t="e">
        <f t="shared" si="189"/>
        <v>#NUM!</v>
      </c>
      <c r="GY167" s="60" t="e">
        <f t="shared" si="137"/>
        <v>#NUM!</v>
      </c>
      <c r="GZ167" s="60">
        <f ca="1">AVERAGE(OFFSET($GY$3,0,0,'Données projet'!$E$18+1,1))-AVERAGE(OFFSET($H$3,0,0,'Données projet'!$E$18+1,1))</f>
        <v>289.12367833861299</v>
      </c>
      <c r="HA167" s="60">
        <f t="shared" si="160"/>
        <v>229.06617320689003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2.8100047503339304E-20</v>
      </c>
      <c r="HJ167" s="24">
        <f t="shared" si="190"/>
        <v>2.8100047503339304E-20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-8.2291080616414541E-13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430.11660085503223</v>
      </c>
      <c r="T168" s="60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1.2710188457276673E-13</v>
      </c>
      <c r="AK168" s="14">
        <f t="shared" si="164"/>
        <v>1.856866851063998E-12</v>
      </c>
      <c r="AL168" s="22">
        <f t="shared" si="165"/>
        <v>3.4554122145673649E-12</v>
      </c>
      <c r="AM168" s="60">
        <f t="shared" si="113"/>
        <v>293.33333333333678</v>
      </c>
      <c r="AN168" s="60">
        <f ca="1">AVERAGE(OFFSET($AM$3,0,0,'Données projet'!$E$10+1,1))-AVERAGE(OFFSET($H$3,0,0,'Données projet'!$E$10+1,1))</f>
        <v>323.98185264074681</v>
      </c>
      <c r="AO168" s="60">
        <f t="shared" si="144"/>
        <v>301.22207291854005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0.30792511543071621</v>
      </c>
      <c r="AV168" s="23">
        <f>EXP(-LN(2)/25)*AV167+(1-EXP(-LN(2)/25))/(LN(2)/25)*Calculateur!AQ168*Calculateur!AS168*VLOOKUP('Données projet'!$B$10,Paramètres!$A$1:$I$89,3,0)*0.475*44/12</f>
        <v>0.19532138585879491</v>
      </c>
      <c r="AW168" s="23">
        <f>EXP(-LN(2)/2)*AW167+(1-EXP(-LN(2)/2))/(LN(2)/2)*AQ168*AT168*VLOOKUP('Données projet'!$B$10,Paramètres!$A$1:$I$89,3,0)*0.475*44/12</f>
        <v>2.9169983345456531E-20</v>
      </c>
      <c r="AX168" s="23">
        <f t="shared" si="166"/>
        <v>0.50324650128951109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-2.9262992029543969E-13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556.75475431848258</v>
      </c>
      <c r="BJ168" s="60">
        <f t="shared" si="146"/>
        <v>256.77417912163997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3.4106051316484809E-13</v>
      </c>
      <c r="BZ168" s="14">
        <f>BY168*VLOOKUP('Données projet'!$B$12,Paramètres!$A$1:$I$89,3,0)*VLOOKUP('Données projet'!$B$12,Paramètres!$A$1:$I$89,5,0)</f>
        <v>2.5006556825246659E-13</v>
      </c>
      <c r="CA168" s="14">
        <f t="shared" si="170"/>
        <v>3.3765445850268018E-12</v>
      </c>
      <c r="CB168" s="22">
        <f t="shared" si="171"/>
        <v>6.3163460169613921E-12</v>
      </c>
      <c r="CC168" s="60">
        <f t="shared" si="119"/>
        <v>293.33333333333962</v>
      </c>
      <c r="CD168" s="60">
        <f ca="1">AVERAGE(OFFSET($CC$3,0,0,'Données projet'!$E$12+1,1))-AVERAGE(OFFSET($H$3,0,0,'Données projet'!$E$12+1,1))</f>
        <v>290.68086183422963</v>
      </c>
      <c r="CE168" s="60">
        <f t="shared" si="148"/>
        <v>317.88330630101785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1.9895196601282805E-13</v>
      </c>
      <c r="CU168" s="18">
        <f>CT168*VLOOKUP('Données projet'!$B$13,Paramètres!$A$1:$I$89,3,0)*VLOOKUP('Données projet'!$B$13,Paramètres!$A$1:$I$89,5,0)</f>
        <v>1.3035332813160495E-13</v>
      </c>
      <c r="CV168" s="14">
        <f t="shared" si="173"/>
        <v>1.8987770485018903E-12</v>
      </c>
      <c r="CW168" s="22">
        <f t="shared" si="174"/>
        <v>3.5340687393033375E-12</v>
      </c>
      <c r="CX168" s="60">
        <f t="shared" si="122"/>
        <v>293.33333333333684</v>
      </c>
      <c r="CY168" s="60">
        <f ca="1">AVERAGE(OFFSET($CX$3,0,0,'Données projet'!$E$13+1,1))-AVERAGE(OFFSET($H$3,0,0,'Données projet'!$E$13+1,1))</f>
        <v>243.04319555814601</v>
      </c>
      <c r="CZ168" s="60">
        <f t="shared" si="150"/>
        <v>235.68746142880792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201.4732637505823</v>
      </c>
      <c r="DU168" s="60">
        <f t="shared" si="152"/>
        <v>342.06887933351783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0.45582709838703694</v>
      </c>
      <c r="EB168" s="23">
        <f>EXP(-LN(2)/25)*EB167+(1-EXP(-LN(2)/25))/(LN(2)/25)*Calculateur!DW168*Calculateur!DY168*VLOOKUP('Données projet'!$B$14,Paramètres!$A$1:$I$89,3,0)*0.475*44/12</f>
        <v>0.62622658638244422</v>
      </c>
      <c r="EC168" s="23">
        <f>EXP(-LN(2)/2)*EC167+(1-EXP(-LN(2)/2))/(LN(2)/2)*DW168*DZ168*VLOOKUP('Données projet'!$B$14,Paramètres!$A$1:$I$89,3,0)*0.475*44/12</f>
        <v>6.4193039685498427E-20</v>
      </c>
      <c r="ED168" s="24">
        <f t="shared" si="178"/>
        <v>1.0820536847694813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-2.0395418687257919E-13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260.01925143568263</v>
      </c>
      <c r="EP168" s="60">
        <f t="shared" si="154"/>
        <v>269.95358755269427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0.98066881663888406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0.98066881663888406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-9.2222762759774927E-14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256.19915261735281</v>
      </c>
      <c r="FK168" s="60">
        <f t="shared" si="156"/>
        <v>297.47246687305056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2.8421709430404007E-14</v>
      </c>
      <c r="GA168" s="18">
        <f>FZ168*VLOOKUP('Données projet'!$B$17,Paramètres!$A$1:$I$89,3,0)*VLOOKUP('Données projet'!$B$17,Paramètres!$A$1:$I$89,5,0)</f>
        <v>1.6257217794191094E-14</v>
      </c>
      <c r="GB168" s="14">
        <f t="shared" si="185"/>
        <v>3.0173973759155586E-13</v>
      </c>
      <c r="GC168" s="22">
        <f t="shared" si="186"/>
        <v>5.538446972968425E-13</v>
      </c>
      <c r="GD168" s="60">
        <f t="shared" si="134"/>
        <v>293.33333333333388</v>
      </c>
      <c r="GE168" s="60">
        <f ca="1">AVERAGE(OFFSET($GD$3,0,0,'Données projet'!$E$17+1,1))-AVERAGE(OFFSET($H$3,0,0,'Données projet'!$E$17+1,1))</f>
        <v>268.71641789629319</v>
      </c>
      <c r="GF168" s="60">
        <f t="shared" si="158"/>
        <v>199.94048514486104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4.9729624428439458E-2</v>
      </c>
      <c r="GN168" s="23">
        <f>EXP(-LN(2)/2)*GN167+(1-EXP(-LN(2)/2))/(LN(2)/2)*GH168*GK168*VLOOKUP('Données projet'!$B$17,Paramètres!$A$1:$I$89,3,0)*0.475*44/12</f>
        <v>3.342443218791774E-20</v>
      </c>
      <c r="GO168" s="23">
        <f t="shared" si="187"/>
        <v>4.9729624428439458E-2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-2.8421709430404007E-13</v>
      </c>
      <c r="GV168" s="18">
        <f>GU168*VLOOKUP('Données projet'!$B$18,Paramètres!$A$1:$I$89,3,0)*VLOOKUP('Données projet'!$B$18,Paramètres!$A$1:$I$89,5,0)</f>
        <v>-1.69961822393816E-13</v>
      </c>
      <c r="GW168" s="14" t="e">
        <f t="shared" si="188"/>
        <v>#NUM!</v>
      </c>
      <c r="GX168" s="22" t="e">
        <f t="shared" si="189"/>
        <v>#NUM!</v>
      </c>
      <c r="GY168" s="60" t="e">
        <f t="shared" si="137"/>
        <v>#NUM!</v>
      </c>
      <c r="GZ168" s="60">
        <f ca="1">AVERAGE(OFFSET($GY$3,0,0,'Données projet'!$E$18+1,1))-AVERAGE(OFFSET($H$3,0,0,'Données projet'!$E$18+1,1))</f>
        <v>289.12367833861299</v>
      </c>
      <c r="HA168" s="60">
        <f t="shared" si="160"/>
        <v>229.06617320689003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1.9869734141275337E-20</v>
      </c>
      <c r="HJ168" s="24">
        <f t="shared" si="190"/>
        <v>1.9869734141275337E-20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-8.2291080616414541E-13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430.11660085503223</v>
      </c>
      <c r="T169" s="60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1.2710188457276673E-13</v>
      </c>
      <c r="AK169" s="14">
        <f t="shared" si="164"/>
        <v>1.856866851063998E-12</v>
      </c>
      <c r="AL169" s="22">
        <f t="shared" si="165"/>
        <v>3.4554122145673649E-12</v>
      </c>
      <c r="AM169" s="60">
        <f t="shared" si="113"/>
        <v>293.33333333333678</v>
      </c>
      <c r="AN169" s="60">
        <f ca="1">AVERAGE(OFFSET($AM$3,0,0,'Données projet'!$E$10+1,1))-AVERAGE(OFFSET($H$3,0,0,'Données projet'!$E$10+1,1))</f>
        <v>323.98185264074681</v>
      </c>
      <c r="AO169" s="60">
        <f t="shared" si="144"/>
        <v>301.22207291854005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0.30188689173289501</v>
      </c>
      <c r="AV169" s="23">
        <f>EXP(-LN(2)/25)*AV168+(1-EXP(-LN(2)/25))/(LN(2)/25)*Calculateur!AQ169*Calculateur!AS169*VLOOKUP('Données projet'!$B$10,Paramètres!$A$1:$I$89,3,0)*0.475*44/12</f>
        <v>0.18998031229098089</v>
      </c>
      <c r="AW169" s="23">
        <f>EXP(-LN(2)/2)*AW168+(1-EXP(-LN(2)/2))/(LN(2)/2)*AQ169*AT169*VLOOKUP('Données projet'!$B$10,Paramètres!$A$1:$I$89,3,0)*0.475*44/12</f>
        <v>2.0626293030670967E-20</v>
      </c>
      <c r="AX169" s="23">
        <f t="shared" si="166"/>
        <v>0.4918672040238759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-2.9262992029543969E-13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556.75475431848258</v>
      </c>
      <c r="BJ169" s="60">
        <f t="shared" si="146"/>
        <v>256.77417912163997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3.4106051316484809E-13</v>
      </c>
      <c r="BZ169" s="14">
        <f>BY169*VLOOKUP('Données projet'!$B$12,Paramètres!$A$1:$I$89,3,0)*VLOOKUP('Données projet'!$B$12,Paramètres!$A$1:$I$89,5,0)</f>
        <v>2.5006556825246659E-13</v>
      </c>
      <c r="CA169" s="14">
        <f t="shared" si="170"/>
        <v>3.3765445850268018E-12</v>
      </c>
      <c r="CB169" s="22">
        <f t="shared" si="171"/>
        <v>6.3163460169613921E-12</v>
      </c>
      <c r="CC169" s="60">
        <f t="shared" si="119"/>
        <v>293.33333333333962</v>
      </c>
      <c r="CD169" s="60">
        <f ca="1">AVERAGE(OFFSET($CC$3,0,0,'Données projet'!$E$12+1,1))-AVERAGE(OFFSET($H$3,0,0,'Données projet'!$E$12+1,1))</f>
        <v>290.68086183422963</v>
      </c>
      <c r="CE169" s="60">
        <f t="shared" si="148"/>
        <v>317.88330630101785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1.9895196601282805E-13</v>
      </c>
      <c r="CU169" s="18">
        <f>CT169*VLOOKUP('Données projet'!$B$13,Paramètres!$A$1:$I$89,3,0)*VLOOKUP('Données projet'!$B$13,Paramètres!$A$1:$I$89,5,0)</f>
        <v>1.3035332813160495E-13</v>
      </c>
      <c r="CV169" s="14">
        <f t="shared" si="173"/>
        <v>1.8987770485018903E-12</v>
      </c>
      <c r="CW169" s="22">
        <f t="shared" si="174"/>
        <v>3.5340687393033375E-12</v>
      </c>
      <c r="CX169" s="60">
        <f t="shared" si="122"/>
        <v>293.33333333333684</v>
      </c>
      <c r="CY169" s="60">
        <f ca="1">AVERAGE(OFFSET($CX$3,0,0,'Données projet'!$E$13+1,1))-AVERAGE(OFFSET($H$3,0,0,'Données projet'!$E$13+1,1))</f>
        <v>243.04319555814601</v>
      </c>
      <c r="CZ169" s="60">
        <f t="shared" si="150"/>
        <v>235.68746142880792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201.4732637505823</v>
      </c>
      <c r="DU169" s="60">
        <f t="shared" si="152"/>
        <v>342.06887933351783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0.44688860701474425</v>
      </c>
      <c r="EB169" s="23">
        <f>EXP(-LN(2)/25)*EB168+(1-EXP(-LN(2)/25))/(LN(2)/25)*Calculateur!DW169*Calculateur!DY169*VLOOKUP('Données projet'!$B$14,Paramètres!$A$1:$I$89,3,0)*0.475*44/12</f>
        <v>0.60910238744599132</v>
      </c>
      <c r="EC169" s="23">
        <f>EXP(-LN(2)/2)*EC168+(1-EXP(-LN(2)/2))/(LN(2)/2)*DW169*DZ169*VLOOKUP('Données projet'!$B$14,Paramètres!$A$1:$I$89,3,0)*0.475*44/12</f>
        <v>4.5391333666593098E-20</v>
      </c>
      <c r="ED169" s="24">
        <f t="shared" si="178"/>
        <v>1.0559909944607355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-2.0395418687257919E-13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260.01925143568263</v>
      </c>
      <c r="EP169" s="60">
        <f t="shared" si="154"/>
        <v>269.95358755269427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0.96143849929351144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0.96143849929351144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-9.2222762759774927E-14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256.19915261735281</v>
      </c>
      <c r="FK169" s="60">
        <f t="shared" si="156"/>
        <v>297.47246687305056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2.8421709430404007E-14</v>
      </c>
      <c r="GA169" s="18">
        <f>FZ169*VLOOKUP('Données projet'!$B$17,Paramètres!$A$1:$I$89,3,0)*VLOOKUP('Données projet'!$B$17,Paramètres!$A$1:$I$89,5,0)</f>
        <v>1.6257217794191094E-14</v>
      </c>
      <c r="GB169" s="14">
        <f t="shared" si="185"/>
        <v>3.0173973759155586E-13</v>
      </c>
      <c r="GC169" s="22">
        <f t="shared" si="186"/>
        <v>5.538446972968425E-13</v>
      </c>
      <c r="GD169" s="60">
        <f t="shared" si="134"/>
        <v>293.33333333333388</v>
      </c>
      <c r="GE169" s="60">
        <f ca="1">AVERAGE(OFFSET($GD$3,0,0,'Données projet'!$E$17+1,1))-AVERAGE(OFFSET($H$3,0,0,'Données projet'!$E$17+1,1))</f>
        <v>268.71641789629319</v>
      </c>
      <c r="GF169" s="60">
        <f t="shared" si="158"/>
        <v>199.94048514486104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4.836976523327649E-2</v>
      </c>
      <c r="GN169" s="23">
        <f>EXP(-LN(2)/2)*GN168+(1-EXP(-LN(2)/2))/(LN(2)/2)*GH169*GK169*VLOOKUP('Données projet'!$B$17,Paramètres!$A$1:$I$89,3,0)*0.475*44/12</f>
        <v>2.3634642657386546E-20</v>
      </c>
      <c r="GO169" s="23">
        <f t="shared" si="187"/>
        <v>4.836976523327649E-2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-2.8421709430404007E-13</v>
      </c>
      <c r="GV169" s="18">
        <f>GU169*VLOOKUP('Données projet'!$B$18,Paramètres!$A$1:$I$89,3,0)*VLOOKUP('Données projet'!$B$18,Paramètres!$A$1:$I$89,5,0)</f>
        <v>-1.69961822393816E-13</v>
      </c>
      <c r="GW169" s="14" t="e">
        <f t="shared" si="188"/>
        <v>#NUM!</v>
      </c>
      <c r="GX169" s="22" t="e">
        <f t="shared" si="189"/>
        <v>#NUM!</v>
      </c>
      <c r="GY169" s="60" t="e">
        <f t="shared" si="137"/>
        <v>#NUM!</v>
      </c>
      <c r="GZ169" s="60">
        <f ca="1">AVERAGE(OFFSET($GY$3,0,0,'Données projet'!$E$18+1,1))-AVERAGE(OFFSET($H$3,0,0,'Données projet'!$E$18+1,1))</f>
        <v>289.12367833861299</v>
      </c>
      <c r="HA169" s="60">
        <f t="shared" si="160"/>
        <v>229.06617320689003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1.4050023751669652E-20</v>
      </c>
      <c r="HJ169" s="24">
        <f t="shared" si="190"/>
        <v>1.4050023751669652E-20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-8.2291080616414541E-13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430.11660085503223</v>
      </c>
      <c r="T170" s="60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1.2710188457276673E-13</v>
      </c>
      <c r="AK170" s="14">
        <f t="shared" si="164"/>
        <v>1.856866851063998E-12</v>
      </c>
      <c r="AL170" s="22">
        <f t="shared" si="165"/>
        <v>3.4554122145673649E-12</v>
      </c>
      <c r="AM170" s="60">
        <f t="shared" si="113"/>
        <v>293.33333333333678</v>
      </c>
      <c r="AN170" s="60">
        <f ca="1">AVERAGE(OFFSET($AM$3,0,0,'Données projet'!$E$10+1,1))-AVERAGE(OFFSET($H$3,0,0,'Données projet'!$E$10+1,1))</f>
        <v>323.98185264074681</v>
      </c>
      <c r="AO170" s="60">
        <f t="shared" si="144"/>
        <v>301.22207291854005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0.29596707391883531</v>
      </c>
      <c r="AV170" s="23">
        <f>EXP(-LN(2)/25)*AV169+(1-EXP(-LN(2)/25))/(LN(2)/25)*Calculateur!AQ170*Calculateur!AS170*VLOOKUP('Données projet'!$B$10,Paramètres!$A$1:$I$89,3,0)*0.475*44/12</f>
        <v>0.18478529066075361</v>
      </c>
      <c r="AW170" s="23">
        <f>EXP(-LN(2)/2)*AW169+(1-EXP(-LN(2)/2))/(LN(2)/2)*AQ170*AT170*VLOOKUP('Données projet'!$B$10,Paramètres!$A$1:$I$89,3,0)*0.475*44/12</f>
        <v>1.4584991672728265E-20</v>
      </c>
      <c r="AX170" s="23">
        <f t="shared" si="166"/>
        <v>0.48075236457958892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-2.9262992029543969E-13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556.75475431848258</v>
      </c>
      <c r="BJ170" s="60">
        <f t="shared" si="146"/>
        <v>256.77417912163997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3.4106051316484809E-13</v>
      </c>
      <c r="BZ170" s="14">
        <f>BY170*VLOOKUP('Données projet'!$B$12,Paramètres!$A$1:$I$89,3,0)*VLOOKUP('Données projet'!$B$12,Paramètres!$A$1:$I$89,5,0)</f>
        <v>2.5006556825246659E-13</v>
      </c>
      <c r="CA170" s="14">
        <f t="shared" si="170"/>
        <v>3.3765445850268018E-12</v>
      </c>
      <c r="CB170" s="22">
        <f t="shared" si="171"/>
        <v>6.3163460169613921E-12</v>
      </c>
      <c r="CC170" s="60">
        <f t="shared" si="119"/>
        <v>293.33333333333962</v>
      </c>
      <c r="CD170" s="60">
        <f ca="1">AVERAGE(OFFSET($CC$3,0,0,'Données projet'!$E$12+1,1))-AVERAGE(OFFSET($H$3,0,0,'Données projet'!$E$12+1,1))</f>
        <v>290.68086183422963</v>
      </c>
      <c r="CE170" s="60">
        <f t="shared" si="148"/>
        <v>317.88330630101785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1.9895196601282805E-13</v>
      </c>
      <c r="CU170" s="18">
        <f>CT170*VLOOKUP('Données projet'!$B$13,Paramètres!$A$1:$I$89,3,0)*VLOOKUP('Données projet'!$B$13,Paramètres!$A$1:$I$89,5,0)</f>
        <v>1.3035332813160495E-13</v>
      </c>
      <c r="CV170" s="14">
        <f t="shared" si="173"/>
        <v>1.8987770485018903E-12</v>
      </c>
      <c r="CW170" s="22">
        <f t="shared" si="174"/>
        <v>3.5340687393033375E-12</v>
      </c>
      <c r="CX170" s="60">
        <f t="shared" si="122"/>
        <v>293.33333333333684</v>
      </c>
      <c r="CY170" s="60">
        <f ca="1">AVERAGE(OFFSET($CX$3,0,0,'Données projet'!$E$13+1,1))-AVERAGE(OFFSET($H$3,0,0,'Données projet'!$E$13+1,1))</f>
        <v>243.04319555814601</v>
      </c>
      <c r="CZ170" s="60">
        <f t="shared" si="150"/>
        <v>235.68746142880792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201.4732637505823</v>
      </c>
      <c r="DU170" s="60">
        <f t="shared" si="152"/>
        <v>342.06887933351783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0.43812539400632083</v>
      </c>
      <c r="EB170" s="23">
        <f>EXP(-LN(2)/25)*EB169+(1-EXP(-LN(2)/25))/(LN(2)/25)*Calculateur!DW170*Calculateur!DY170*VLOOKUP('Données projet'!$B$14,Paramètres!$A$1:$I$89,3,0)*0.475*44/12</f>
        <v>0.59244645062997825</v>
      </c>
      <c r="EC170" s="23">
        <f>EXP(-LN(2)/2)*EC169+(1-EXP(-LN(2)/2))/(LN(2)/2)*DW170*DZ170*VLOOKUP('Données projet'!$B$14,Paramètres!$A$1:$I$89,3,0)*0.475*44/12</f>
        <v>3.2096519842749213E-20</v>
      </c>
      <c r="ED170" s="24">
        <f t="shared" si="178"/>
        <v>1.030571844636299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-2.0395418687257919E-13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260.01925143568263</v>
      </c>
      <c r="EP170" s="60">
        <f t="shared" si="154"/>
        <v>269.95358755269427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0.94258527674194614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0.94258527674194614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-9.2222762759774927E-14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256.19915261735281</v>
      </c>
      <c r="FK170" s="60">
        <f t="shared" si="156"/>
        <v>297.47246687305056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2.8421709430404007E-14</v>
      </c>
      <c r="GA170" s="18">
        <f>FZ170*VLOOKUP('Données projet'!$B$17,Paramètres!$A$1:$I$89,3,0)*VLOOKUP('Données projet'!$B$17,Paramètres!$A$1:$I$89,5,0)</f>
        <v>1.6257217794191094E-14</v>
      </c>
      <c r="GB170" s="14">
        <f t="shared" si="185"/>
        <v>3.0173973759155586E-13</v>
      </c>
      <c r="GC170" s="22">
        <f t="shared" si="186"/>
        <v>5.538446972968425E-13</v>
      </c>
      <c r="GD170" s="60">
        <f t="shared" si="134"/>
        <v>293.33333333333388</v>
      </c>
      <c r="GE170" s="60">
        <f ca="1">AVERAGE(OFFSET($GD$3,0,0,'Données projet'!$E$17+1,1))-AVERAGE(OFFSET($H$3,0,0,'Données projet'!$E$17+1,1))</f>
        <v>268.71641789629319</v>
      </c>
      <c r="GF170" s="60">
        <f t="shared" si="158"/>
        <v>199.94048514486104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4.7047091459317139E-2</v>
      </c>
      <c r="GN170" s="23">
        <f>EXP(-LN(2)/2)*GN169+(1-EXP(-LN(2)/2))/(LN(2)/2)*GH170*GK170*VLOOKUP('Données projet'!$B$17,Paramètres!$A$1:$I$89,3,0)*0.475*44/12</f>
        <v>1.671221609395887E-20</v>
      </c>
      <c r="GO170" s="23">
        <f t="shared" si="187"/>
        <v>4.7047091459317139E-2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-2.8421709430404007E-13</v>
      </c>
      <c r="GV170" s="18">
        <f>GU170*VLOOKUP('Données projet'!$B$18,Paramètres!$A$1:$I$89,3,0)*VLOOKUP('Données projet'!$B$18,Paramètres!$A$1:$I$89,5,0)</f>
        <v>-1.69961822393816E-13</v>
      </c>
      <c r="GW170" s="14" t="e">
        <f t="shared" si="188"/>
        <v>#NUM!</v>
      </c>
      <c r="GX170" s="22" t="e">
        <f t="shared" si="189"/>
        <v>#NUM!</v>
      </c>
      <c r="GY170" s="60" t="e">
        <f t="shared" si="137"/>
        <v>#NUM!</v>
      </c>
      <c r="GZ170" s="60">
        <f ca="1">AVERAGE(OFFSET($GY$3,0,0,'Données projet'!$E$18+1,1))-AVERAGE(OFFSET($H$3,0,0,'Données projet'!$E$18+1,1))</f>
        <v>289.12367833861299</v>
      </c>
      <c r="HA170" s="60">
        <f t="shared" si="160"/>
        <v>229.06617320689003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9.9348670706376683E-21</v>
      </c>
      <c r="HJ170" s="24">
        <f t="shared" si="190"/>
        <v>9.9348670706376683E-21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-8.2291080616414541E-13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430.11660085503223</v>
      </c>
      <c r="T171" s="60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1.2710188457276673E-13</v>
      </c>
      <c r="AK171" s="14">
        <f t="shared" si="164"/>
        <v>1.856866851063998E-12</v>
      </c>
      <c r="AL171" s="22">
        <f t="shared" si="165"/>
        <v>3.4554122145673649E-12</v>
      </c>
      <c r="AM171" s="60">
        <f t="shared" si="113"/>
        <v>293.33333333333678</v>
      </c>
      <c r="AN171" s="60">
        <f ca="1">AVERAGE(OFFSET($AM$3,0,0,'Données projet'!$E$10+1,1))-AVERAGE(OFFSET($H$3,0,0,'Données projet'!$E$10+1,1))</f>
        <v>323.98185264074681</v>
      </c>
      <c r="AO171" s="60">
        <f t="shared" si="144"/>
        <v>301.22207291854005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0.29016334012137696</v>
      </c>
      <c r="AV171" s="23">
        <f>EXP(-LN(2)/25)*AV170+(1-EXP(-LN(2)/25))/(LN(2)/25)*Calculateur!AQ171*Calculateur!AS171*VLOOKUP('Données projet'!$B$10,Paramètres!$A$1:$I$89,3,0)*0.475*44/12</f>
        <v>0.17973232717019919</v>
      </c>
      <c r="AW171" s="23">
        <f>EXP(-LN(2)/2)*AW170+(1-EXP(-LN(2)/2))/(LN(2)/2)*AQ171*AT171*VLOOKUP('Données projet'!$B$10,Paramètres!$A$1:$I$89,3,0)*0.475*44/12</f>
        <v>1.0313146515335484E-20</v>
      </c>
      <c r="AX171" s="23">
        <f t="shared" si="166"/>
        <v>0.46989566729157617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-2.9262992029543969E-13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556.75475431848258</v>
      </c>
      <c r="BJ171" s="60">
        <f t="shared" si="146"/>
        <v>256.77417912163997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3.4106051316484809E-13</v>
      </c>
      <c r="BZ171" s="14">
        <f>BY171*VLOOKUP('Données projet'!$B$12,Paramètres!$A$1:$I$89,3,0)*VLOOKUP('Données projet'!$B$12,Paramètres!$A$1:$I$89,5,0)</f>
        <v>2.5006556825246659E-13</v>
      </c>
      <c r="CA171" s="14">
        <f t="shared" si="170"/>
        <v>3.3765445850268018E-12</v>
      </c>
      <c r="CB171" s="22">
        <f t="shared" si="171"/>
        <v>6.3163460169613921E-12</v>
      </c>
      <c r="CC171" s="60">
        <f t="shared" si="119"/>
        <v>293.33333333333962</v>
      </c>
      <c r="CD171" s="60">
        <f ca="1">AVERAGE(OFFSET($CC$3,0,0,'Données projet'!$E$12+1,1))-AVERAGE(OFFSET($H$3,0,0,'Données projet'!$E$12+1,1))</f>
        <v>290.68086183422963</v>
      </c>
      <c r="CE171" s="60">
        <f t="shared" si="148"/>
        <v>317.88330630101785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1.9895196601282805E-13</v>
      </c>
      <c r="CU171" s="18">
        <f>CT171*VLOOKUP('Données projet'!$B$13,Paramètres!$A$1:$I$89,3,0)*VLOOKUP('Données projet'!$B$13,Paramètres!$A$1:$I$89,5,0)</f>
        <v>1.3035332813160495E-13</v>
      </c>
      <c r="CV171" s="14">
        <f t="shared" si="173"/>
        <v>1.8987770485018903E-12</v>
      </c>
      <c r="CW171" s="22">
        <f t="shared" si="174"/>
        <v>3.5340687393033375E-12</v>
      </c>
      <c r="CX171" s="60">
        <f t="shared" si="122"/>
        <v>293.33333333333684</v>
      </c>
      <c r="CY171" s="60">
        <f ca="1">AVERAGE(OFFSET($CX$3,0,0,'Données projet'!$E$13+1,1))-AVERAGE(OFFSET($H$3,0,0,'Données projet'!$E$13+1,1))</f>
        <v>243.04319555814601</v>
      </c>
      <c r="CZ171" s="60">
        <f t="shared" si="150"/>
        <v>235.68746142880792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201.4732637505823</v>
      </c>
      <c r="DU171" s="60">
        <f t="shared" si="152"/>
        <v>342.06887933351783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0.42953402225996046</v>
      </c>
      <c r="EB171" s="23">
        <f>EXP(-LN(2)/25)*EB170+(1-EXP(-LN(2)/25))/(LN(2)/25)*Calculateur!DW171*Calculateur!DY171*VLOOKUP('Données projet'!$B$14,Paramètres!$A$1:$I$89,3,0)*0.475*44/12</f>
        <v>0.57624597128209676</v>
      </c>
      <c r="EC171" s="23">
        <f>EXP(-LN(2)/2)*EC170+(1-EXP(-LN(2)/2))/(LN(2)/2)*DW171*DZ171*VLOOKUP('Données projet'!$B$14,Paramètres!$A$1:$I$89,3,0)*0.475*44/12</f>
        <v>2.2695666833296549E-20</v>
      </c>
      <c r="ED171" s="24">
        <f t="shared" si="178"/>
        <v>1.0057799935420573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-2.0395418687257919E-13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260.01925143568263</v>
      </c>
      <c r="EP171" s="60">
        <f t="shared" si="154"/>
        <v>269.95358755269427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0.92410175438528674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0.92410175438528674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-9.2222762759774927E-14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256.19915261735281</v>
      </c>
      <c r="FK171" s="60">
        <f t="shared" si="156"/>
        <v>297.47246687305056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2.8421709430404007E-14</v>
      </c>
      <c r="GA171" s="18">
        <f>FZ171*VLOOKUP('Données projet'!$B$17,Paramètres!$A$1:$I$89,3,0)*VLOOKUP('Données projet'!$B$17,Paramètres!$A$1:$I$89,5,0)</f>
        <v>1.6257217794191094E-14</v>
      </c>
      <c r="GB171" s="14">
        <f t="shared" si="185"/>
        <v>3.0173973759155586E-13</v>
      </c>
      <c r="GC171" s="22">
        <f t="shared" si="186"/>
        <v>5.538446972968425E-13</v>
      </c>
      <c r="GD171" s="60">
        <f t="shared" si="134"/>
        <v>293.33333333333388</v>
      </c>
      <c r="GE171" s="60">
        <f ca="1">AVERAGE(OFFSET($GD$3,0,0,'Données projet'!$E$17+1,1))-AVERAGE(OFFSET($H$3,0,0,'Données projet'!$E$17+1,1))</f>
        <v>268.71641789629319</v>
      </c>
      <c r="GF171" s="60">
        <f t="shared" si="158"/>
        <v>199.94048514486104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4.5760586269263097E-2</v>
      </c>
      <c r="GN171" s="23">
        <f>EXP(-LN(2)/2)*GN170+(1-EXP(-LN(2)/2))/(LN(2)/2)*GH171*GK171*VLOOKUP('Données projet'!$B$17,Paramètres!$A$1:$I$89,3,0)*0.475*44/12</f>
        <v>1.1817321328693273E-20</v>
      </c>
      <c r="GO171" s="23">
        <f t="shared" si="187"/>
        <v>4.5760586269263097E-2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-2.8421709430404007E-13</v>
      </c>
      <c r="GV171" s="18">
        <f>GU171*VLOOKUP('Données projet'!$B$18,Paramètres!$A$1:$I$89,3,0)*VLOOKUP('Données projet'!$B$18,Paramètres!$A$1:$I$89,5,0)</f>
        <v>-1.69961822393816E-13</v>
      </c>
      <c r="GW171" s="14" t="e">
        <f t="shared" si="188"/>
        <v>#NUM!</v>
      </c>
      <c r="GX171" s="22" t="e">
        <f t="shared" si="189"/>
        <v>#NUM!</v>
      </c>
      <c r="GY171" s="60" t="e">
        <f t="shared" si="137"/>
        <v>#NUM!</v>
      </c>
      <c r="GZ171" s="60">
        <f ca="1">AVERAGE(OFFSET($GY$3,0,0,'Données projet'!$E$18+1,1))-AVERAGE(OFFSET($H$3,0,0,'Données projet'!$E$18+1,1))</f>
        <v>289.12367833861299</v>
      </c>
      <c r="HA171" s="60">
        <f t="shared" si="160"/>
        <v>229.06617320689003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7.025011875834826E-21</v>
      </c>
      <c r="HJ171" s="24">
        <f t="shared" si="190"/>
        <v>7.025011875834826E-21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-8.2291080616414541E-13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430.11660085503223</v>
      </c>
      <c r="T172" s="60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1.2710188457276673E-13</v>
      </c>
      <c r="AK172" s="14">
        <f t="shared" si="164"/>
        <v>1.856866851063998E-12</v>
      </c>
      <c r="AL172" s="22">
        <f t="shared" si="165"/>
        <v>3.4554122145673649E-12</v>
      </c>
      <c r="AM172" s="60">
        <f t="shared" si="113"/>
        <v>293.33333333333678</v>
      </c>
      <c r="AN172" s="60">
        <f ca="1">AVERAGE(OFFSET($AM$3,0,0,'Données projet'!$E$10+1,1))-AVERAGE(OFFSET($H$3,0,0,'Données projet'!$E$10+1,1))</f>
        <v>323.98185264074681</v>
      </c>
      <c r="AO172" s="60">
        <f t="shared" si="144"/>
        <v>301.22207291854005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0.2844734140037587</v>
      </c>
      <c r="AV172" s="23">
        <f>EXP(-LN(2)/25)*AV171+(1-EXP(-LN(2)/25))/(LN(2)/25)*Calculateur!AQ172*Calculateur!AS172*VLOOKUP('Données projet'!$B$10,Paramètres!$A$1:$I$89,3,0)*0.475*44/12</f>
        <v>0.17481753723201779</v>
      </c>
      <c r="AW172" s="23">
        <f>EXP(-LN(2)/2)*AW171+(1-EXP(-LN(2)/2))/(LN(2)/2)*AQ172*AT172*VLOOKUP('Données projet'!$B$10,Paramètres!$A$1:$I$89,3,0)*0.475*44/12</f>
        <v>7.2924958363641327E-21</v>
      </c>
      <c r="AX172" s="23">
        <f t="shared" si="166"/>
        <v>0.45929095123577646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-2.9262992029543969E-13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556.75475431848258</v>
      </c>
      <c r="BJ172" s="60">
        <f t="shared" si="146"/>
        <v>256.77417912163997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3.4106051316484809E-13</v>
      </c>
      <c r="BZ172" s="14">
        <f>BY172*VLOOKUP('Données projet'!$B$12,Paramètres!$A$1:$I$89,3,0)*VLOOKUP('Données projet'!$B$12,Paramètres!$A$1:$I$89,5,0)</f>
        <v>2.5006556825246659E-13</v>
      </c>
      <c r="CA172" s="14">
        <f t="shared" si="170"/>
        <v>3.3765445850268018E-12</v>
      </c>
      <c r="CB172" s="22">
        <f t="shared" si="171"/>
        <v>6.3163460169613921E-12</v>
      </c>
      <c r="CC172" s="60">
        <f t="shared" si="119"/>
        <v>293.33333333333962</v>
      </c>
      <c r="CD172" s="60">
        <f ca="1">AVERAGE(OFFSET($CC$3,0,0,'Données projet'!$E$12+1,1))-AVERAGE(OFFSET($H$3,0,0,'Données projet'!$E$12+1,1))</f>
        <v>290.68086183422963</v>
      </c>
      <c r="CE172" s="60">
        <f t="shared" si="148"/>
        <v>317.88330630101785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1.9895196601282805E-13</v>
      </c>
      <c r="CU172" s="18">
        <f>CT172*VLOOKUP('Données projet'!$B$13,Paramètres!$A$1:$I$89,3,0)*VLOOKUP('Données projet'!$B$13,Paramètres!$A$1:$I$89,5,0)</f>
        <v>1.3035332813160495E-13</v>
      </c>
      <c r="CV172" s="14">
        <f t="shared" si="173"/>
        <v>1.8987770485018903E-12</v>
      </c>
      <c r="CW172" s="22">
        <f t="shared" si="174"/>
        <v>3.5340687393033375E-12</v>
      </c>
      <c r="CX172" s="60">
        <f t="shared" si="122"/>
        <v>293.33333333333684</v>
      </c>
      <c r="CY172" s="60">
        <f ca="1">AVERAGE(OFFSET($CX$3,0,0,'Données projet'!$E$13+1,1))-AVERAGE(OFFSET($H$3,0,0,'Données projet'!$E$13+1,1))</f>
        <v>243.04319555814601</v>
      </c>
      <c r="CZ172" s="60">
        <f t="shared" si="150"/>
        <v>235.68746142880792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201.4732637505823</v>
      </c>
      <c r="DU172" s="60">
        <f t="shared" si="152"/>
        <v>342.06887933351783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0.42111112207332685</v>
      </c>
      <c r="EB172" s="23">
        <f>EXP(-LN(2)/25)*EB171+(1-EXP(-LN(2)/25))/(LN(2)/25)*Calculateur!DW172*Calculateur!DY172*VLOOKUP('Données projet'!$B$14,Paramètres!$A$1:$I$89,3,0)*0.475*44/12</f>
        <v>0.56048849489392927</v>
      </c>
      <c r="EC172" s="23">
        <f>EXP(-LN(2)/2)*EC171+(1-EXP(-LN(2)/2))/(LN(2)/2)*DW172*DZ172*VLOOKUP('Données projet'!$B$14,Paramètres!$A$1:$I$89,3,0)*0.475*44/12</f>
        <v>1.6048259921374607E-20</v>
      </c>
      <c r="ED172" s="24">
        <f t="shared" si="178"/>
        <v>0.98159961696725606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-2.0395418687257919E-13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260.01925143568263</v>
      </c>
      <c r="EP172" s="60">
        <f t="shared" si="154"/>
        <v>269.95358755269427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0.90598068262820597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0.90598068262820597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-9.2222762759774927E-14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256.19915261735281</v>
      </c>
      <c r="FK172" s="60">
        <f t="shared" si="156"/>
        <v>297.47246687305056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2.8421709430404007E-14</v>
      </c>
      <c r="GA172" s="18">
        <f>FZ172*VLOOKUP('Données projet'!$B$17,Paramètres!$A$1:$I$89,3,0)*VLOOKUP('Données projet'!$B$17,Paramètres!$A$1:$I$89,5,0)</f>
        <v>1.6257217794191094E-14</v>
      </c>
      <c r="GB172" s="14">
        <f t="shared" si="185"/>
        <v>3.0173973759155586E-13</v>
      </c>
      <c r="GC172" s="22">
        <f t="shared" si="186"/>
        <v>5.538446972968425E-13</v>
      </c>
      <c r="GD172" s="60">
        <f t="shared" si="134"/>
        <v>293.33333333333388</v>
      </c>
      <c r="GE172" s="60">
        <f ca="1">AVERAGE(OFFSET($GD$3,0,0,'Données projet'!$E$17+1,1))-AVERAGE(OFFSET($H$3,0,0,'Données projet'!$E$17+1,1))</f>
        <v>268.71641789629319</v>
      </c>
      <c r="GF172" s="60">
        <f t="shared" si="158"/>
        <v>199.94048514486104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4.4509260631285449E-2</v>
      </c>
      <c r="GN172" s="23">
        <f>EXP(-LN(2)/2)*GN171+(1-EXP(-LN(2)/2))/(LN(2)/2)*GH172*GK172*VLOOKUP('Données projet'!$B$17,Paramètres!$A$1:$I$89,3,0)*0.475*44/12</f>
        <v>8.356108046979435E-21</v>
      </c>
      <c r="GO172" s="23">
        <f t="shared" si="187"/>
        <v>4.4509260631285449E-2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-2.8421709430404007E-13</v>
      </c>
      <c r="GV172" s="18">
        <f>GU172*VLOOKUP('Données projet'!$B$18,Paramètres!$A$1:$I$89,3,0)*VLOOKUP('Données projet'!$B$18,Paramètres!$A$1:$I$89,5,0)</f>
        <v>-1.69961822393816E-13</v>
      </c>
      <c r="GW172" s="14" t="e">
        <f t="shared" si="188"/>
        <v>#NUM!</v>
      </c>
      <c r="GX172" s="22" t="e">
        <f t="shared" si="189"/>
        <v>#NUM!</v>
      </c>
      <c r="GY172" s="60" t="e">
        <f t="shared" si="137"/>
        <v>#NUM!</v>
      </c>
      <c r="GZ172" s="60">
        <f ca="1">AVERAGE(OFFSET($GY$3,0,0,'Données projet'!$E$18+1,1))-AVERAGE(OFFSET($H$3,0,0,'Données projet'!$E$18+1,1))</f>
        <v>289.12367833861299</v>
      </c>
      <c r="HA172" s="60">
        <f t="shared" si="160"/>
        <v>229.06617320689003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4.9674335353188341E-21</v>
      </c>
      <c r="HJ172" s="24">
        <f t="shared" si="190"/>
        <v>4.9674335353188341E-21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-8.2291080616414541E-13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430.11660085503223</v>
      </c>
      <c r="T173" s="60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1.2710188457276673E-13</v>
      </c>
      <c r="AK173" s="14">
        <f t="shared" si="164"/>
        <v>1.856866851063998E-12</v>
      </c>
      <c r="AL173" s="22">
        <f t="shared" si="165"/>
        <v>3.4554122145673649E-12</v>
      </c>
      <c r="AM173" s="60">
        <f t="shared" si="113"/>
        <v>293.33333333333678</v>
      </c>
      <c r="AN173" s="60">
        <f ca="1">AVERAGE(OFFSET($AM$3,0,0,'Données projet'!$E$10+1,1))-AVERAGE(OFFSET($H$3,0,0,'Données projet'!$E$10+1,1))</f>
        <v>323.98185264074681</v>
      </c>
      <c r="AO173" s="60">
        <f t="shared" si="144"/>
        <v>301.22207291854005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0.27889506386679469</v>
      </c>
      <c r="AV173" s="23">
        <f>EXP(-LN(2)/25)*AV172+(1-EXP(-LN(2)/25))/(LN(2)/25)*Calculateur!AQ173*Calculateur!AS173*VLOOKUP('Données projet'!$B$10,Paramètres!$A$1:$I$89,3,0)*0.475*44/12</f>
        <v>0.17003714248315352</v>
      </c>
      <c r="AW173" s="23">
        <f>EXP(-LN(2)/2)*AW172+(1-EXP(-LN(2)/2))/(LN(2)/2)*AQ173*AT173*VLOOKUP('Données projet'!$B$10,Paramètres!$A$1:$I$89,3,0)*0.475*44/12</f>
        <v>5.1565732576677418E-21</v>
      </c>
      <c r="AX173" s="23">
        <f t="shared" si="166"/>
        <v>0.44893220634994824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-2.9262992029543969E-13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556.75475431848258</v>
      </c>
      <c r="BJ173" s="60">
        <f t="shared" si="146"/>
        <v>256.77417912163997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3.4106051316484809E-13</v>
      </c>
      <c r="BZ173" s="14">
        <f>BY173*VLOOKUP('Données projet'!$B$12,Paramètres!$A$1:$I$89,3,0)*VLOOKUP('Données projet'!$B$12,Paramètres!$A$1:$I$89,5,0)</f>
        <v>2.5006556825246659E-13</v>
      </c>
      <c r="CA173" s="14">
        <f t="shared" si="170"/>
        <v>3.3765445850268018E-12</v>
      </c>
      <c r="CB173" s="22">
        <f t="shared" si="171"/>
        <v>6.3163460169613921E-12</v>
      </c>
      <c r="CC173" s="60">
        <f t="shared" si="119"/>
        <v>293.33333333333962</v>
      </c>
      <c r="CD173" s="60">
        <f ca="1">AVERAGE(OFFSET($CC$3,0,0,'Données projet'!$E$12+1,1))-AVERAGE(OFFSET($H$3,0,0,'Données projet'!$E$12+1,1))</f>
        <v>290.68086183422963</v>
      </c>
      <c r="CE173" s="60">
        <f t="shared" si="148"/>
        <v>317.88330630101785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1.9895196601282805E-13</v>
      </c>
      <c r="CU173" s="18">
        <f>CT173*VLOOKUP('Données projet'!$B$13,Paramètres!$A$1:$I$89,3,0)*VLOOKUP('Données projet'!$B$13,Paramètres!$A$1:$I$89,5,0)</f>
        <v>1.3035332813160495E-13</v>
      </c>
      <c r="CV173" s="14">
        <f t="shared" si="173"/>
        <v>1.8987770485018903E-12</v>
      </c>
      <c r="CW173" s="22">
        <f t="shared" si="174"/>
        <v>3.5340687393033375E-12</v>
      </c>
      <c r="CX173" s="60">
        <f t="shared" si="122"/>
        <v>293.33333333333684</v>
      </c>
      <c r="CY173" s="60">
        <f ca="1">AVERAGE(OFFSET($CX$3,0,0,'Données projet'!$E$13+1,1))-AVERAGE(OFFSET($H$3,0,0,'Données projet'!$E$13+1,1))</f>
        <v>243.04319555814601</v>
      </c>
      <c r="CZ173" s="60">
        <f t="shared" si="150"/>
        <v>235.68746142880792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201.4732637505823</v>
      </c>
      <c r="DU173" s="60">
        <f t="shared" si="152"/>
        <v>342.06887933351783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0.41285338982189129</v>
      </c>
      <c r="EB173" s="23">
        <f>EXP(-LN(2)/25)*EB172+(1-EXP(-LN(2)/25))/(LN(2)/25)*Calculateur!DW173*Calculateur!DY173*VLOOKUP('Données projet'!$B$14,Paramètres!$A$1:$I$89,3,0)*0.475*44/12</f>
        <v>0.54516190752624583</v>
      </c>
      <c r="EC173" s="23">
        <f>EXP(-LN(2)/2)*EC172+(1-EXP(-LN(2)/2))/(LN(2)/2)*DW173*DZ173*VLOOKUP('Données projet'!$B$14,Paramètres!$A$1:$I$89,3,0)*0.475*44/12</f>
        <v>1.1347833416648274E-20</v>
      </c>
      <c r="ED173" s="24">
        <f t="shared" si="178"/>
        <v>0.95801529734813706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-2.0395418687257919E-13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260.01925143568263</v>
      </c>
      <c r="EP173" s="60">
        <f t="shared" si="154"/>
        <v>269.95358755269427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0.8882149540355192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0.8882149540355192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-9.2222762759774927E-14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256.19915261735281</v>
      </c>
      <c r="FK173" s="60">
        <f t="shared" si="156"/>
        <v>297.47246687305056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2.8421709430404007E-14</v>
      </c>
      <c r="GA173" s="18">
        <f>FZ173*VLOOKUP('Données projet'!$B$17,Paramètres!$A$1:$I$89,3,0)*VLOOKUP('Données projet'!$B$17,Paramètres!$A$1:$I$89,5,0)</f>
        <v>1.6257217794191094E-14</v>
      </c>
      <c r="GB173" s="14">
        <f t="shared" si="185"/>
        <v>3.0173973759155586E-13</v>
      </c>
      <c r="GC173" s="22">
        <f t="shared" si="186"/>
        <v>5.538446972968425E-13</v>
      </c>
      <c r="GD173" s="60">
        <f t="shared" si="134"/>
        <v>293.33333333333388</v>
      </c>
      <c r="GE173" s="60">
        <f ca="1">AVERAGE(OFFSET($GD$3,0,0,'Données projet'!$E$17+1,1))-AVERAGE(OFFSET($H$3,0,0,'Données projet'!$E$17+1,1))</f>
        <v>268.71641789629319</v>
      </c>
      <c r="GF173" s="60">
        <f t="shared" si="158"/>
        <v>199.94048514486104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4.3292152558682656E-2</v>
      </c>
      <c r="GN173" s="23">
        <f>EXP(-LN(2)/2)*GN172+(1-EXP(-LN(2)/2))/(LN(2)/2)*GH173*GK173*VLOOKUP('Données projet'!$B$17,Paramètres!$A$1:$I$89,3,0)*0.475*44/12</f>
        <v>5.9086606643466364E-21</v>
      </c>
      <c r="GO173" s="23">
        <f t="shared" si="187"/>
        <v>4.3292152558682656E-2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-2.8421709430404007E-13</v>
      </c>
      <c r="GV173" s="18">
        <f>GU173*VLOOKUP('Données projet'!$B$18,Paramètres!$A$1:$I$89,3,0)*VLOOKUP('Données projet'!$B$18,Paramètres!$A$1:$I$89,5,0)</f>
        <v>-1.69961822393816E-13</v>
      </c>
      <c r="GW173" s="14" t="e">
        <f t="shared" si="188"/>
        <v>#NUM!</v>
      </c>
      <c r="GX173" s="22" t="e">
        <f t="shared" si="189"/>
        <v>#NUM!</v>
      </c>
      <c r="GY173" s="60" t="e">
        <f t="shared" si="137"/>
        <v>#NUM!</v>
      </c>
      <c r="GZ173" s="60">
        <f ca="1">AVERAGE(OFFSET($GY$3,0,0,'Données projet'!$E$18+1,1))-AVERAGE(OFFSET($H$3,0,0,'Données projet'!$E$18+1,1))</f>
        <v>289.12367833861299</v>
      </c>
      <c r="HA173" s="60">
        <f t="shared" si="160"/>
        <v>229.06617320689003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3.512505937917413E-21</v>
      </c>
      <c r="HJ173" s="24">
        <f t="shared" si="190"/>
        <v>3.512505937917413E-21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-8.2291080616414541E-13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430.11660085503223</v>
      </c>
      <c r="T174" s="60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1.2710188457276673E-13</v>
      </c>
      <c r="AK174" s="14">
        <f t="shared" si="164"/>
        <v>1.856866851063998E-12</v>
      </c>
      <c r="AL174" s="22">
        <f t="shared" si="165"/>
        <v>3.4554122145673649E-12</v>
      </c>
      <c r="AM174" s="60">
        <f t="shared" si="113"/>
        <v>293.33333333333678</v>
      </c>
      <c r="AN174" s="60">
        <f ca="1">AVERAGE(OFFSET($AM$3,0,0,'Données projet'!$E$10+1,1))-AVERAGE(OFFSET($H$3,0,0,'Données projet'!$E$10+1,1))</f>
        <v>323.98185264074681</v>
      </c>
      <c r="AO174" s="60">
        <f t="shared" si="144"/>
        <v>301.22207291854005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0.27342610177355892</v>
      </c>
      <c r="AV174" s="23">
        <f>EXP(-LN(2)/25)*AV173+(1-EXP(-LN(2)/25))/(LN(2)/25)*Calculateur!AQ174*Calculateur!AS174*VLOOKUP('Données projet'!$B$10,Paramètres!$A$1:$I$89,3,0)*0.475*44/12</f>
        <v>0.16538746788008699</v>
      </c>
      <c r="AW174" s="23">
        <f>EXP(-LN(2)/2)*AW173+(1-EXP(-LN(2)/2))/(LN(2)/2)*AQ174*AT174*VLOOKUP('Données projet'!$B$10,Paramètres!$A$1:$I$89,3,0)*0.475*44/12</f>
        <v>3.6462479181820664E-21</v>
      </c>
      <c r="AX174" s="23">
        <f t="shared" si="166"/>
        <v>0.43881356965364593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-2.9262992029543969E-13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556.75475431848258</v>
      </c>
      <c r="BJ174" s="60">
        <f t="shared" si="146"/>
        <v>256.77417912163997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3.4106051316484809E-13</v>
      </c>
      <c r="BZ174" s="14">
        <f>BY174*VLOOKUP('Données projet'!$B$12,Paramètres!$A$1:$I$89,3,0)*VLOOKUP('Données projet'!$B$12,Paramètres!$A$1:$I$89,5,0)</f>
        <v>2.5006556825246659E-13</v>
      </c>
      <c r="CA174" s="14">
        <f t="shared" si="170"/>
        <v>3.3765445850268018E-12</v>
      </c>
      <c r="CB174" s="22">
        <f t="shared" si="171"/>
        <v>6.3163460169613921E-12</v>
      </c>
      <c r="CC174" s="60">
        <f t="shared" si="119"/>
        <v>293.33333333333962</v>
      </c>
      <c r="CD174" s="60">
        <f ca="1">AVERAGE(OFFSET($CC$3,0,0,'Données projet'!$E$12+1,1))-AVERAGE(OFFSET($H$3,0,0,'Données projet'!$E$12+1,1))</f>
        <v>290.68086183422963</v>
      </c>
      <c r="CE174" s="60">
        <f t="shared" si="148"/>
        <v>317.88330630101785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1.9895196601282805E-13</v>
      </c>
      <c r="CU174" s="18">
        <f>CT174*VLOOKUP('Données projet'!$B$13,Paramètres!$A$1:$I$89,3,0)*VLOOKUP('Données projet'!$B$13,Paramètres!$A$1:$I$89,5,0)</f>
        <v>1.3035332813160495E-13</v>
      </c>
      <c r="CV174" s="14">
        <f t="shared" si="173"/>
        <v>1.8987770485018903E-12</v>
      </c>
      <c r="CW174" s="22">
        <f t="shared" si="174"/>
        <v>3.5340687393033375E-12</v>
      </c>
      <c r="CX174" s="60">
        <f t="shared" si="122"/>
        <v>293.33333333333684</v>
      </c>
      <c r="CY174" s="60">
        <f ca="1">AVERAGE(OFFSET($CX$3,0,0,'Données projet'!$E$13+1,1))-AVERAGE(OFFSET($H$3,0,0,'Données projet'!$E$13+1,1))</f>
        <v>243.04319555814601</v>
      </c>
      <c r="CZ174" s="60">
        <f t="shared" si="150"/>
        <v>235.68746142880792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201.4732637505823</v>
      </c>
      <c r="DU174" s="60">
        <f t="shared" si="152"/>
        <v>342.06887933351783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0.40475758666318706</v>
      </c>
      <c r="EB174" s="23">
        <f>EXP(-LN(2)/25)*EB173+(1-EXP(-LN(2)/25))/(LN(2)/25)*Calculateur!DW174*Calculateur!DY174*VLOOKUP('Données projet'!$B$14,Paramètres!$A$1:$I$89,3,0)*0.475*44/12</f>
        <v>0.53025442649612187</v>
      </c>
      <c r="EC174" s="23">
        <f>EXP(-LN(2)/2)*EC173+(1-EXP(-LN(2)/2))/(LN(2)/2)*DW174*DZ174*VLOOKUP('Données projet'!$B$14,Paramètres!$A$1:$I$89,3,0)*0.475*44/12</f>
        <v>8.0241299606873033E-21</v>
      </c>
      <c r="ED174" s="24">
        <f t="shared" si="178"/>
        <v>0.93501201315930893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-2.0395418687257919E-13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260.01925143568263</v>
      </c>
      <c r="EP174" s="60">
        <f t="shared" si="154"/>
        <v>269.95358755269427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0.8707976005445105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0.8707976005445105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-9.2222762759774927E-14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256.19915261735281</v>
      </c>
      <c r="FK174" s="60">
        <f t="shared" si="156"/>
        <v>297.47246687305056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2.8421709430404007E-14</v>
      </c>
      <c r="GA174" s="18">
        <f>FZ174*VLOOKUP('Données projet'!$B$17,Paramètres!$A$1:$I$89,3,0)*VLOOKUP('Données projet'!$B$17,Paramètres!$A$1:$I$89,5,0)</f>
        <v>1.6257217794191094E-14</v>
      </c>
      <c r="GB174" s="14">
        <f t="shared" si="185"/>
        <v>3.0173973759155586E-13</v>
      </c>
      <c r="GC174" s="22">
        <f t="shared" si="186"/>
        <v>5.538446972968425E-13</v>
      </c>
      <c r="GD174" s="60">
        <f t="shared" si="134"/>
        <v>293.33333333333388</v>
      </c>
      <c r="GE174" s="60">
        <f ca="1">AVERAGE(OFFSET($GD$3,0,0,'Données projet'!$E$17+1,1))-AVERAGE(OFFSET($H$3,0,0,'Données projet'!$E$17+1,1))</f>
        <v>268.71641789629319</v>
      </c>
      <c r="GF174" s="60">
        <f t="shared" si="158"/>
        <v>199.94048514486104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4.2108326370330122E-2</v>
      </c>
      <c r="GN174" s="23">
        <f>EXP(-LN(2)/2)*GN173+(1-EXP(-LN(2)/2))/(LN(2)/2)*GH174*GK174*VLOOKUP('Données projet'!$B$17,Paramètres!$A$1:$I$89,3,0)*0.475*44/12</f>
        <v>4.1780540234897175E-21</v>
      </c>
      <c r="GO174" s="23">
        <f t="shared" si="187"/>
        <v>4.2108326370330122E-2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-2.8421709430404007E-13</v>
      </c>
      <c r="GV174" s="18">
        <f>GU174*VLOOKUP('Données projet'!$B$18,Paramètres!$A$1:$I$89,3,0)*VLOOKUP('Données projet'!$B$18,Paramètres!$A$1:$I$89,5,0)</f>
        <v>-1.69961822393816E-13</v>
      </c>
      <c r="GW174" s="14" t="e">
        <f t="shared" si="188"/>
        <v>#NUM!</v>
      </c>
      <c r="GX174" s="22" t="e">
        <f t="shared" si="189"/>
        <v>#NUM!</v>
      </c>
      <c r="GY174" s="60" t="e">
        <f t="shared" si="137"/>
        <v>#NUM!</v>
      </c>
      <c r="GZ174" s="60">
        <f ca="1">AVERAGE(OFFSET($GY$3,0,0,'Données projet'!$E$18+1,1))-AVERAGE(OFFSET($H$3,0,0,'Données projet'!$E$18+1,1))</f>
        <v>289.12367833861299</v>
      </c>
      <c r="HA174" s="60">
        <f t="shared" si="160"/>
        <v>229.06617320689003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2.4837167676594171E-21</v>
      </c>
      <c r="HJ174" s="24">
        <f t="shared" si="190"/>
        <v>2.4837167676594171E-21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-8.2291080616414541E-13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430.11660085503223</v>
      </c>
      <c r="T175" s="60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1.2710188457276673E-13</v>
      </c>
      <c r="AK175" s="14">
        <f t="shared" si="164"/>
        <v>1.856866851063998E-12</v>
      </c>
      <c r="AL175" s="22">
        <f t="shared" si="165"/>
        <v>3.4554122145673649E-12</v>
      </c>
      <c r="AM175" s="60">
        <f t="shared" si="113"/>
        <v>293.33333333333678</v>
      </c>
      <c r="AN175" s="60">
        <f ca="1">AVERAGE(OFFSET($AM$3,0,0,'Données projet'!$E$10+1,1))-AVERAGE(OFFSET($H$3,0,0,'Données projet'!$E$10+1,1))</f>
        <v>323.98185264074681</v>
      </c>
      <c r="AO175" s="60">
        <f t="shared" si="144"/>
        <v>301.22207291854005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0.268064382691234</v>
      </c>
      <c r="AV175" s="23">
        <f>EXP(-LN(2)/25)*AV174+(1-EXP(-LN(2)/25))/(LN(2)/25)*Calculateur!AQ175*Calculateur!AS175*VLOOKUP('Données projet'!$B$10,Paramètres!$A$1:$I$89,3,0)*0.475*44/12</f>
        <v>0.16086493887355707</v>
      </c>
      <c r="AW175" s="23">
        <f>EXP(-LN(2)/2)*AW174+(1-EXP(-LN(2)/2))/(LN(2)/2)*AQ175*AT175*VLOOKUP('Données projet'!$B$10,Paramètres!$A$1:$I$89,3,0)*0.475*44/12</f>
        <v>2.5782866288338709E-21</v>
      </c>
      <c r="AX175" s="23">
        <f t="shared" si="166"/>
        <v>0.42892932156479108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-2.9262992029543969E-13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556.75475431848258</v>
      </c>
      <c r="BJ175" s="60">
        <f t="shared" si="146"/>
        <v>256.77417912163997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3.4106051316484809E-13</v>
      </c>
      <c r="BZ175" s="14">
        <f>BY175*VLOOKUP('Données projet'!$B$12,Paramètres!$A$1:$I$89,3,0)*VLOOKUP('Données projet'!$B$12,Paramètres!$A$1:$I$89,5,0)</f>
        <v>2.5006556825246659E-13</v>
      </c>
      <c r="CA175" s="14">
        <f t="shared" si="170"/>
        <v>3.3765445850268018E-12</v>
      </c>
      <c r="CB175" s="22">
        <f t="shared" si="171"/>
        <v>6.3163460169613921E-12</v>
      </c>
      <c r="CC175" s="60">
        <f t="shared" si="119"/>
        <v>293.33333333333962</v>
      </c>
      <c r="CD175" s="60">
        <f ca="1">AVERAGE(OFFSET($CC$3,0,0,'Données projet'!$E$12+1,1))-AVERAGE(OFFSET($H$3,0,0,'Données projet'!$E$12+1,1))</f>
        <v>290.68086183422963</v>
      </c>
      <c r="CE175" s="60">
        <f t="shared" si="148"/>
        <v>317.88330630101785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1.9895196601282805E-13</v>
      </c>
      <c r="CU175" s="18">
        <f>CT175*VLOOKUP('Données projet'!$B$13,Paramètres!$A$1:$I$89,3,0)*VLOOKUP('Données projet'!$B$13,Paramètres!$A$1:$I$89,5,0)</f>
        <v>1.3035332813160495E-13</v>
      </c>
      <c r="CV175" s="14">
        <f t="shared" si="173"/>
        <v>1.8987770485018903E-12</v>
      </c>
      <c r="CW175" s="22">
        <f t="shared" si="174"/>
        <v>3.5340687393033375E-12</v>
      </c>
      <c r="CX175" s="60">
        <f t="shared" si="122"/>
        <v>293.33333333333684</v>
      </c>
      <c r="CY175" s="60">
        <f ca="1">AVERAGE(OFFSET($CX$3,0,0,'Données projet'!$E$13+1,1))-AVERAGE(OFFSET($H$3,0,0,'Données projet'!$E$13+1,1))</f>
        <v>243.04319555814601</v>
      </c>
      <c r="CZ175" s="60">
        <f t="shared" si="150"/>
        <v>235.68746142880792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201.4732637505823</v>
      </c>
      <c r="DU175" s="60">
        <f t="shared" si="152"/>
        <v>342.06887933351783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0.39682053726647265</v>
      </c>
      <c r="EB175" s="23">
        <f>EXP(-LN(2)/25)*EB174+(1-EXP(-LN(2)/25))/(LN(2)/25)*Calculateur!DW175*Calculateur!DY175*VLOOKUP('Données projet'!$B$14,Paramètres!$A$1:$I$89,3,0)*0.475*44/12</f>
        <v>0.51575459131871704</v>
      </c>
      <c r="EC175" s="23">
        <f>EXP(-LN(2)/2)*EC174+(1-EXP(-LN(2)/2))/(LN(2)/2)*DW175*DZ175*VLOOKUP('Données projet'!$B$14,Paramètres!$A$1:$I$89,3,0)*0.475*44/12</f>
        <v>5.6739167083241372E-21</v>
      </c>
      <c r="ED175" s="24">
        <f t="shared" si="178"/>
        <v>0.91257512858518974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-2.0395418687257919E-13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260.01925143568263</v>
      </c>
      <c r="EP175" s="60">
        <f t="shared" si="154"/>
        <v>269.95358755269427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0.85372179073192389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0.85372179073192389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-9.2222762759774927E-14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256.19915261735281</v>
      </c>
      <c r="FK175" s="60">
        <f t="shared" si="156"/>
        <v>297.47246687305056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2.8421709430404007E-14</v>
      </c>
      <c r="GA175" s="18">
        <f>FZ175*VLOOKUP('Données projet'!$B$17,Paramètres!$A$1:$I$89,3,0)*VLOOKUP('Données projet'!$B$17,Paramètres!$A$1:$I$89,5,0)</f>
        <v>1.6257217794191094E-14</v>
      </c>
      <c r="GB175" s="14">
        <f t="shared" si="185"/>
        <v>3.0173973759155586E-13</v>
      </c>
      <c r="GC175" s="22">
        <f t="shared" si="186"/>
        <v>5.538446972968425E-13</v>
      </c>
      <c r="GD175" s="60">
        <f t="shared" si="134"/>
        <v>293.33333333333388</v>
      </c>
      <c r="GE175" s="60">
        <f ca="1">AVERAGE(OFFSET($GD$3,0,0,'Données projet'!$E$17+1,1))-AVERAGE(OFFSET($H$3,0,0,'Données projet'!$E$17+1,1))</f>
        <v>268.71641789629319</v>
      </c>
      <c r="GF175" s="60">
        <f t="shared" si="158"/>
        <v>199.94048514486104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4.0956871971352803E-2</v>
      </c>
      <c r="GN175" s="23">
        <f>EXP(-LN(2)/2)*GN174+(1-EXP(-LN(2)/2))/(LN(2)/2)*GH175*GK175*VLOOKUP('Données projet'!$B$17,Paramètres!$A$1:$I$89,3,0)*0.475*44/12</f>
        <v>2.9543303321733182E-21</v>
      </c>
      <c r="GO175" s="23">
        <f t="shared" si="187"/>
        <v>4.0956871971352803E-2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-2.8421709430404007E-13</v>
      </c>
      <c r="GV175" s="18">
        <f>GU175*VLOOKUP('Données projet'!$B$18,Paramètres!$A$1:$I$89,3,0)*VLOOKUP('Données projet'!$B$18,Paramètres!$A$1:$I$89,5,0)</f>
        <v>-1.69961822393816E-13</v>
      </c>
      <c r="GW175" s="14" t="e">
        <f t="shared" si="188"/>
        <v>#NUM!</v>
      </c>
      <c r="GX175" s="22" t="e">
        <f t="shared" si="189"/>
        <v>#NUM!</v>
      </c>
      <c r="GY175" s="60" t="e">
        <f t="shared" si="137"/>
        <v>#NUM!</v>
      </c>
      <c r="GZ175" s="60">
        <f ca="1">AVERAGE(OFFSET($GY$3,0,0,'Données projet'!$E$18+1,1))-AVERAGE(OFFSET($H$3,0,0,'Données projet'!$E$18+1,1))</f>
        <v>289.12367833861299</v>
      </c>
      <c r="HA175" s="60">
        <f t="shared" si="160"/>
        <v>229.06617320689003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1.7562529689587065E-21</v>
      </c>
      <c r="HJ175" s="24">
        <f t="shared" si="190"/>
        <v>1.7562529689587065E-21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-8.2291080616414541E-13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430.11660085503223</v>
      </c>
      <c r="T176" s="60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1.2710188457276673E-13</v>
      </c>
      <c r="AK176" s="14">
        <f t="shared" si="164"/>
        <v>1.856866851063998E-12</v>
      </c>
      <c r="AL176" s="22">
        <f t="shared" si="165"/>
        <v>3.4554122145673649E-12</v>
      </c>
      <c r="AM176" s="60">
        <f t="shared" si="113"/>
        <v>293.33333333333678</v>
      </c>
      <c r="AN176" s="60">
        <f ca="1">AVERAGE(OFFSET($AM$3,0,0,'Données projet'!$E$10+1,1))-AVERAGE(OFFSET($H$3,0,0,'Données projet'!$E$10+1,1))</f>
        <v>323.98185264074681</v>
      </c>
      <c r="AO176" s="60">
        <f t="shared" si="144"/>
        <v>301.22207291854005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0.26280780364978773</v>
      </c>
      <c r="AV176" s="23">
        <f>EXP(-LN(2)/25)*AV175+(1-EXP(-LN(2)/25))/(LN(2)/25)*Calculateur!AQ176*Calculateur!AS176*VLOOKUP('Données projet'!$B$10,Paramètres!$A$1:$I$89,3,0)*0.475*44/12</f>
        <v>0.15646607866054019</v>
      </c>
      <c r="AW176" s="23">
        <f>EXP(-LN(2)/2)*AW175+(1-EXP(-LN(2)/2))/(LN(2)/2)*AQ176*AT176*VLOOKUP('Données projet'!$B$10,Paramètres!$A$1:$I$89,3,0)*0.475*44/12</f>
        <v>1.8231239590910332E-21</v>
      </c>
      <c r="AX176" s="23">
        <f t="shared" si="166"/>
        <v>0.41927388231032792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-2.9262992029543969E-13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556.75475431848258</v>
      </c>
      <c r="BJ176" s="60">
        <f t="shared" si="146"/>
        <v>256.77417912163997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3.4106051316484809E-13</v>
      </c>
      <c r="BZ176" s="14">
        <f>BY176*VLOOKUP('Données projet'!$B$12,Paramètres!$A$1:$I$89,3,0)*VLOOKUP('Données projet'!$B$12,Paramètres!$A$1:$I$89,5,0)</f>
        <v>2.5006556825246659E-13</v>
      </c>
      <c r="CA176" s="14">
        <f t="shared" si="170"/>
        <v>3.3765445850268018E-12</v>
      </c>
      <c r="CB176" s="22">
        <f t="shared" si="171"/>
        <v>6.3163460169613921E-12</v>
      </c>
      <c r="CC176" s="60">
        <f t="shared" si="119"/>
        <v>293.33333333333962</v>
      </c>
      <c r="CD176" s="60">
        <f ca="1">AVERAGE(OFFSET($CC$3,0,0,'Données projet'!$E$12+1,1))-AVERAGE(OFFSET($H$3,0,0,'Données projet'!$E$12+1,1))</f>
        <v>290.68086183422963</v>
      </c>
      <c r="CE176" s="60">
        <f t="shared" si="148"/>
        <v>317.88330630101785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1.9895196601282805E-13</v>
      </c>
      <c r="CU176" s="18">
        <f>CT176*VLOOKUP('Données projet'!$B$13,Paramètres!$A$1:$I$89,3,0)*VLOOKUP('Données projet'!$B$13,Paramètres!$A$1:$I$89,5,0)</f>
        <v>1.3035332813160495E-13</v>
      </c>
      <c r="CV176" s="14">
        <f t="shared" si="173"/>
        <v>1.8987770485018903E-12</v>
      </c>
      <c r="CW176" s="22">
        <f t="shared" si="174"/>
        <v>3.5340687393033375E-12</v>
      </c>
      <c r="CX176" s="60">
        <f t="shared" si="122"/>
        <v>293.33333333333684</v>
      </c>
      <c r="CY176" s="60">
        <f ca="1">AVERAGE(OFFSET($CX$3,0,0,'Données projet'!$E$13+1,1))-AVERAGE(OFFSET($H$3,0,0,'Données projet'!$E$13+1,1))</f>
        <v>243.04319555814601</v>
      </c>
      <c r="CZ176" s="60">
        <f t="shared" si="150"/>
        <v>235.68746142880792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201.4732637505823</v>
      </c>
      <c r="DU176" s="60">
        <f t="shared" si="152"/>
        <v>342.06887933351783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0.38903912856730571</v>
      </c>
      <c r="EB176" s="23">
        <f>EXP(-LN(2)/25)*EB175+(1-EXP(-LN(2)/25))/(LN(2)/25)*Calculateur!DW176*Calculateur!DY176*VLOOKUP('Données projet'!$B$14,Paramètres!$A$1:$I$89,3,0)*0.475*44/12</f>
        <v>0.50165125489675155</v>
      </c>
      <c r="EC176" s="23">
        <f>EXP(-LN(2)/2)*EC175+(1-EXP(-LN(2)/2))/(LN(2)/2)*DW176*DZ176*VLOOKUP('Données projet'!$B$14,Paramètres!$A$1:$I$89,3,0)*0.475*44/12</f>
        <v>4.0120649803436517E-21</v>
      </c>
      <c r="ED176" s="24">
        <f t="shared" si="178"/>
        <v>0.89069038346405727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-2.0395418687257919E-13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260.01925143568263</v>
      </c>
      <c r="EP176" s="60">
        <f t="shared" si="154"/>
        <v>269.95358755269427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0.83698082713454647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0.83698082713454647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-9.2222762759774927E-14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256.19915261735281</v>
      </c>
      <c r="FK176" s="60">
        <f t="shared" si="156"/>
        <v>297.47246687305056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2.8421709430404007E-14</v>
      </c>
      <c r="GA176" s="18">
        <f>FZ176*VLOOKUP('Données projet'!$B$17,Paramètres!$A$1:$I$89,3,0)*VLOOKUP('Données projet'!$B$17,Paramètres!$A$1:$I$89,5,0)</f>
        <v>1.6257217794191094E-14</v>
      </c>
      <c r="GB176" s="14">
        <f t="shared" si="185"/>
        <v>3.0173973759155586E-13</v>
      </c>
      <c r="GC176" s="22">
        <f t="shared" si="186"/>
        <v>5.538446972968425E-13</v>
      </c>
      <c r="GD176" s="60">
        <f t="shared" si="134"/>
        <v>293.33333333333388</v>
      </c>
      <c r="GE176" s="60">
        <f ca="1">AVERAGE(OFFSET($GD$3,0,0,'Données projet'!$E$17+1,1))-AVERAGE(OFFSET($H$3,0,0,'Données projet'!$E$17+1,1))</f>
        <v>268.71641789629319</v>
      </c>
      <c r="GF176" s="60">
        <f t="shared" si="158"/>
        <v>199.94048514486104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3.983690415346787E-2</v>
      </c>
      <c r="GN176" s="23">
        <f>EXP(-LN(2)/2)*GN175+(1-EXP(-LN(2)/2))/(LN(2)/2)*GH176*GK176*VLOOKUP('Données projet'!$B$17,Paramètres!$A$1:$I$89,3,0)*0.475*44/12</f>
        <v>2.0890270117448587E-21</v>
      </c>
      <c r="GO176" s="23">
        <f t="shared" si="187"/>
        <v>3.983690415346787E-2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-2.8421709430404007E-13</v>
      </c>
      <c r="GV176" s="18">
        <f>GU176*VLOOKUP('Données projet'!$B$18,Paramètres!$A$1:$I$89,3,0)*VLOOKUP('Données projet'!$B$18,Paramètres!$A$1:$I$89,5,0)</f>
        <v>-1.69961822393816E-13</v>
      </c>
      <c r="GW176" s="14" t="e">
        <f t="shared" si="188"/>
        <v>#NUM!</v>
      </c>
      <c r="GX176" s="22" t="e">
        <f t="shared" si="189"/>
        <v>#NUM!</v>
      </c>
      <c r="GY176" s="60" t="e">
        <f t="shared" si="137"/>
        <v>#NUM!</v>
      </c>
      <c r="GZ176" s="60">
        <f ca="1">AVERAGE(OFFSET($GY$3,0,0,'Données projet'!$E$18+1,1))-AVERAGE(OFFSET($H$3,0,0,'Données projet'!$E$18+1,1))</f>
        <v>289.12367833861299</v>
      </c>
      <c r="HA176" s="60">
        <f t="shared" si="160"/>
        <v>229.06617320689003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1.2418583838297085E-21</v>
      </c>
      <c r="HJ176" s="24">
        <f t="shared" si="190"/>
        <v>1.2418583838297085E-21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-8.2291080616414541E-13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430.11660085503223</v>
      </c>
      <c r="T177" s="60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1.2710188457276673E-13</v>
      </c>
      <c r="AK177" s="14">
        <f t="shared" si="164"/>
        <v>1.856866851063998E-12</v>
      </c>
      <c r="AL177" s="22">
        <f t="shared" si="165"/>
        <v>3.4554122145673649E-12</v>
      </c>
      <c r="AM177" s="60">
        <f t="shared" si="113"/>
        <v>293.33333333333678</v>
      </c>
      <c r="AN177" s="60">
        <f ca="1">AVERAGE(OFFSET($AM$3,0,0,'Données projet'!$E$10+1,1))-AVERAGE(OFFSET($H$3,0,0,'Données projet'!$E$10+1,1))</f>
        <v>323.98185264074681</v>
      </c>
      <c r="AO177" s="60">
        <f t="shared" si="144"/>
        <v>301.22207291854005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0.25765430291714764</v>
      </c>
      <c r="AV177" s="23">
        <f>EXP(-LN(2)/25)*AV176+(1-EXP(-LN(2)/25))/(LN(2)/25)*Calculateur!AQ177*Calculateur!AS177*VLOOKUP('Données projet'!$B$10,Paramètres!$A$1:$I$89,3,0)*0.475*44/12</f>
        <v>0.15218750551137425</v>
      </c>
      <c r="AW177" s="23">
        <f>EXP(-LN(2)/2)*AW176+(1-EXP(-LN(2)/2))/(LN(2)/2)*AQ177*AT177*VLOOKUP('Données projet'!$B$10,Paramètres!$A$1:$I$89,3,0)*0.475*44/12</f>
        <v>1.2891433144169354E-21</v>
      </c>
      <c r="AX177" s="23">
        <f t="shared" si="166"/>
        <v>0.40984180842852191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-2.9262992029543969E-13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556.75475431848258</v>
      </c>
      <c r="BJ177" s="60">
        <f t="shared" si="146"/>
        <v>256.77417912163997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3.4106051316484809E-13</v>
      </c>
      <c r="BZ177" s="14">
        <f>BY177*VLOOKUP('Données projet'!$B$12,Paramètres!$A$1:$I$89,3,0)*VLOOKUP('Données projet'!$B$12,Paramètres!$A$1:$I$89,5,0)</f>
        <v>2.5006556825246659E-13</v>
      </c>
      <c r="CA177" s="14">
        <f t="shared" si="170"/>
        <v>3.3765445850268018E-12</v>
      </c>
      <c r="CB177" s="22">
        <f t="shared" si="171"/>
        <v>6.3163460169613921E-12</v>
      </c>
      <c r="CC177" s="60">
        <f t="shared" si="119"/>
        <v>293.33333333333962</v>
      </c>
      <c r="CD177" s="60">
        <f ca="1">AVERAGE(OFFSET($CC$3,0,0,'Données projet'!$E$12+1,1))-AVERAGE(OFFSET($H$3,0,0,'Données projet'!$E$12+1,1))</f>
        <v>290.68086183422963</v>
      </c>
      <c r="CE177" s="60">
        <f t="shared" si="148"/>
        <v>317.88330630101785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1.9895196601282805E-13</v>
      </c>
      <c r="CU177" s="18">
        <f>CT177*VLOOKUP('Données projet'!$B$13,Paramètres!$A$1:$I$89,3,0)*VLOOKUP('Données projet'!$B$13,Paramètres!$A$1:$I$89,5,0)</f>
        <v>1.3035332813160495E-13</v>
      </c>
      <c r="CV177" s="14">
        <f t="shared" si="173"/>
        <v>1.8987770485018903E-12</v>
      </c>
      <c r="CW177" s="22">
        <f t="shared" si="174"/>
        <v>3.5340687393033375E-12</v>
      </c>
      <c r="CX177" s="60">
        <f t="shared" si="122"/>
        <v>293.33333333333684</v>
      </c>
      <c r="CY177" s="60">
        <f ca="1">AVERAGE(OFFSET($CX$3,0,0,'Données projet'!$E$13+1,1))-AVERAGE(OFFSET($H$3,0,0,'Données projet'!$E$13+1,1))</f>
        <v>243.04319555814601</v>
      </c>
      <c r="CZ177" s="60">
        <f t="shared" si="150"/>
        <v>235.68746142880792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201.4732637505823</v>
      </c>
      <c r="DU177" s="60">
        <f t="shared" si="152"/>
        <v>342.06887933351783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0.38141030854653879</v>
      </c>
      <c r="EB177" s="23">
        <f>EXP(-LN(2)/25)*EB176+(1-EXP(-LN(2)/25))/(LN(2)/25)*Calculateur!DW177*Calculateur!DY177*VLOOKUP('Données projet'!$B$14,Paramètres!$A$1:$I$89,3,0)*0.475*44/12</f>
        <v>0.48793357495090695</v>
      </c>
      <c r="EC177" s="23">
        <f>EXP(-LN(2)/2)*EC176+(1-EXP(-LN(2)/2))/(LN(2)/2)*DW177*DZ177*VLOOKUP('Données projet'!$B$14,Paramètres!$A$1:$I$89,3,0)*0.475*44/12</f>
        <v>2.8369583541620686E-21</v>
      </c>
      <c r="ED177" s="24">
        <f t="shared" si="178"/>
        <v>0.86934388349744574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-2.0395418687257919E-13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260.01925143568263</v>
      </c>
      <c r="EP177" s="60">
        <f t="shared" si="154"/>
        <v>269.95358755269427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0.8205681436223341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0.8205681436223341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-9.2222762759774927E-14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256.19915261735281</v>
      </c>
      <c r="FK177" s="60">
        <f t="shared" si="156"/>
        <v>297.47246687305056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2.8421709430404007E-14</v>
      </c>
      <c r="GA177" s="18">
        <f>FZ177*VLOOKUP('Données projet'!$B$17,Paramètres!$A$1:$I$89,3,0)*VLOOKUP('Données projet'!$B$17,Paramètres!$A$1:$I$89,5,0)</f>
        <v>1.6257217794191094E-14</v>
      </c>
      <c r="GB177" s="14">
        <f t="shared" si="185"/>
        <v>3.0173973759155586E-13</v>
      </c>
      <c r="GC177" s="22">
        <f t="shared" si="186"/>
        <v>5.538446972968425E-13</v>
      </c>
      <c r="GD177" s="60">
        <f t="shared" si="134"/>
        <v>293.33333333333388</v>
      </c>
      <c r="GE177" s="60">
        <f ca="1">AVERAGE(OFFSET($GD$3,0,0,'Données projet'!$E$17+1,1))-AVERAGE(OFFSET($H$3,0,0,'Données projet'!$E$17+1,1))</f>
        <v>268.71641789629319</v>
      </c>
      <c r="GF177" s="60">
        <f t="shared" si="158"/>
        <v>199.94048514486104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3.874756191445955E-2</v>
      </c>
      <c r="GN177" s="23">
        <f>EXP(-LN(2)/2)*GN176+(1-EXP(-LN(2)/2))/(LN(2)/2)*GH177*GK177*VLOOKUP('Données projet'!$B$17,Paramètres!$A$1:$I$89,3,0)*0.475*44/12</f>
        <v>1.4771651660866591E-21</v>
      </c>
      <c r="GO177" s="23">
        <f t="shared" si="187"/>
        <v>3.874756191445955E-2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-2.8421709430404007E-13</v>
      </c>
      <c r="GV177" s="18">
        <f>GU177*VLOOKUP('Données projet'!$B$18,Paramètres!$A$1:$I$89,3,0)*VLOOKUP('Données projet'!$B$18,Paramètres!$A$1:$I$89,5,0)</f>
        <v>-1.69961822393816E-13</v>
      </c>
      <c r="GW177" s="14" t="e">
        <f t="shared" si="188"/>
        <v>#NUM!</v>
      </c>
      <c r="GX177" s="22" t="e">
        <f t="shared" si="189"/>
        <v>#NUM!</v>
      </c>
      <c r="GY177" s="60" t="e">
        <f t="shared" si="137"/>
        <v>#NUM!</v>
      </c>
      <c r="GZ177" s="60">
        <f ca="1">AVERAGE(OFFSET($GY$3,0,0,'Données projet'!$E$18+1,1))-AVERAGE(OFFSET($H$3,0,0,'Données projet'!$E$18+1,1))</f>
        <v>289.12367833861299</v>
      </c>
      <c r="HA177" s="60">
        <f t="shared" si="160"/>
        <v>229.06617320689003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8.7812648447935325E-22</v>
      </c>
      <c r="HJ177" s="24">
        <f t="shared" si="190"/>
        <v>8.7812648447935325E-22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-8.2291080616414541E-13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430.11660085503223</v>
      </c>
      <c r="T178" s="60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1.2710188457276673E-13</v>
      </c>
      <c r="AK178" s="14">
        <f t="shared" si="164"/>
        <v>1.856866851063998E-12</v>
      </c>
      <c r="AL178" s="22">
        <f t="shared" si="165"/>
        <v>3.4554122145673649E-12</v>
      </c>
      <c r="AM178" s="60">
        <f t="shared" si="113"/>
        <v>293.33333333333678</v>
      </c>
      <c r="AN178" s="60">
        <f ca="1">AVERAGE(OFFSET($AM$3,0,0,'Données projet'!$E$10+1,1))-AVERAGE(OFFSET($H$3,0,0,'Données projet'!$E$10+1,1))</f>
        <v>323.98185264074681</v>
      </c>
      <c r="AO178" s="60">
        <f t="shared" si="144"/>
        <v>301.22207291854005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0.2526018591905495</v>
      </c>
      <c r="AV178" s="23">
        <f>EXP(-LN(2)/25)*AV177+(1-EXP(-LN(2)/25))/(LN(2)/25)*Calculateur!AQ178*Calculateur!AS178*VLOOKUP('Données projet'!$B$10,Paramètres!$A$1:$I$89,3,0)*0.475*44/12</f>
        <v>0.14802593016997265</v>
      </c>
      <c r="AW178" s="23">
        <f>EXP(-LN(2)/2)*AW177+(1-EXP(-LN(2)/2))/(LN(2)/2)*AQ178*AT178*VLOOKUP('Données projet'!$B$10,Paramètres!$A$1:$I$89,3,0)*0.475*44/12</f>
        <v>9.1156197954551659E-22</v>
      </c>
      <c r="AX178" s="23">
        <f t="shared" si="166"/>
        <v>0.40062778936052212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-2.9262992029543969E-13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556.75475431848258</v>
      </c>
      <c r="BJ178" s="60">
        <f t="shared" si="146"/>
        <v>256.77417912163997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3.4106051316484809E-13</v>
      </c>
      <c r="BZ178" s="14">
        <f>BY178*VLOOKUP('Données projet'!$B$12,Paramètres!$A$1:$I$89,3,0)*VLOOKUP('Données projet'!$B$12,Paramètres!$A$1:$I$89,5,0)</f>
        <v>2.5006556825246659E-13</v>
      </c>
      <c r="CA178" s="14">
        <f t="shared" si="170"/>
        <v>3.3765445850268018E-12</v>
      </c>
      <c r="CB178" s="22">
        <f t="shared" si="171"/>
        <v>6.3163460169613921E-12</v>
      </c>
      <c r="CC178" s="60">
        <f t="shared" si="119"/>
        <v>293.33333333333962</v>
      </c>
      <c r="CD178" s="60">
        <f ca="1">AVERAGE(OFFSET($CC$3,0,0,'Données projet'!$E$12+1,1))-AVERAGE(OFFSET($H$3,0,0,'Données projet'!$E$12+1,1))</f>
        <v>290.68086183422963</v>
      </c>
      <c r="CE178" s="60">
        <f t="shared" si="148"/>
        <v>317.88330630101785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1.9895196601282805E-13</v>
      </c>
      <c r="CU178" s="18">
        <f>CT178*VLOOKUP('Données projet'!$B$13,Paramètres!$A$1:$I$89,3,0)*VLOOKUP('Données projet'!$B$13,Paramètres!$A$1:$I$89,5,0)</f>
        <v>1.3035332813160495E-13</v>
      </c>
      <c r="CV178" s="14">
        <f t="shared" si="173"/>
        <v>1.8987770485018903E-12</v>
      </c>
      <c r="CW178" s="22">
        <f t="shared" si="174"/>
        <v>3.5340687393033375E-12</v>
      </c>
      <c r="CX178" s="60">
        <f t="shared" si="122"/>
        <v>293.33333333333684</v>
      </c>
      <c r="CY178" s="60">
        <f ca="1">AVERAGE(OFFSET($CX$3,0,0,'Données projet'!$E$13+1,1))-AVERAGE(OFFSET($H$3,0,0,'Données projet'!$E$13+1,1))</f>
        <v>243.04319555814601</v>
      </c>
      <c r="CZ178" s="60">
        <f t="shared" si="150"/>
        <v>235.68746142880792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201.4732637505823</v>
      </c>
      <c r="DU178" s="60">
        <f t="shared" si="152"/>
        <v>342.06887933351783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0.37393108503325834</v>
      </c>
      <c r="EB178" s="23">
        <f>EXP(-LN(2)/25)*EB177+(1-EXP(-LN(2)/25))/(LN(2)/25)*Calculateur!DW178*Calculateur!DY178*VLOOKUP('Données projet'!$B$14,Paramètres!$A$1:$I$89,3,0)*0.475*44/12</f>
        <v>0.47459100568456286</v>
      </c>
      <c r="EC178" s="23">
        <f>EXP(-LN(2)/2)*EC177+(1-EXP(-LN(2)/2))/(LN(2)/2)*DW178*DZ178*VLOOKUP('Données projet'!$B$14,Paramètres!$A$1:$I$89,3,0)*0.475*44/12</f>
        <v>2.0060324901718258E-21</v>
      </c>
      <c r="ED178" s="24">
        <f t="shared" si="178"/>
        <v>0.84852209071782125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-2.0395418687257919E-13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260.01925143568263</v>
      </c>
      <c r="EP178" s="60">
        <f t="shared" si="154"/>
        <v>269.95358755269427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0.80447730282304775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0.80447730282304775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-9.2222762759774927E-14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256.19915261735281</v>
      </c>
      <c r="FK178" s="60">
        <f t="shared" si="156"/>
        <v>297.47246687305056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2.8421709430404007E-14</v>
      </c>
      <c r="GA178" s="18">
        <f>FZ178*VLOOKUP('Données projet'!$B$17,Paramètres!$A$1:$I$89,3,0)*VLOOKUP('Données projet'!$B$17,Paramètres!$A$1:$I$89,5,0)</f>
        <v>1.6257217794191094E-14</v>
      </c>
      <c r="GB178" s="14">
        <f t="shared" si="185"/>
        <v>3.0173973759155586E-13</v>
      </c>
      <c r="GC178" s="22">
        <f t="shared" si="186"/>
        <v>5.538446972968425E-13</v>
      </c>
      <c r="GD178" s="60">
        <f t="shared" si="134"/>
        <v>293.33333333333388</v>
      </c>
      <c r="GE178" s="60">
        <f ca="1">AVERAGE(OFFSET($GD$3,0,0,'Données projet'!$E$17+1,1))-AVERAGE(OFFSET($H$3,0,0,'Données projet'!$E$17+1,1))</f>
        <v>268.71641789629319</v>
      </c>
      <c r="GF178" s="60">
        <f t="shared" si="158"/>
        <v>199.94048514486104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3.7688007796262933E-2</v>
      </c>
      <c r="GN178" s="23">
        <f>EXP(-LN(2)/2)*GN177+(1-EXP(-LN(2)/2))/(LN(2)/2)*GH178*GK178*VLOOKUP('Données projet'!$B$17,Paramètres!$A$1:$I$89,3,0)*0.475*44/12</f>
        <v>1.0445135058724294E-21</v>
      </c>
      <c r="GO178" s="23">
        <f t="shared" si="187"/>
        <v>3.7688007796262933E-2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-2.8421709430404007E-13</v>
      </c>
      <c r="GV178" s="18">
        <f>GU178*VLOOKUP('Données projet'!$B$18,Paramètres!$A$1:$I$89,3,0)*VLOOKUP('Données projet'!$B$18,Paramètres!$A$1:$I$89,5,0)</f>
        <v>-1.69961822393816E-13</v>
      </c>
      <c r="GW178" s="14" t="e">
        <f t="shared" si="188"/>
        <v>#NUM!</v>
      </c>
      <c r="GX178" s="22" t="e">
        <f t="shared" si="189"/>
        <v>#NUM!</v>
      </c>
      <c r="GY178" s="60" t="e">
        <f t="shared" si="137"/>
        <v>#NUM!</v>
      </c>
      <c r="GZ178" s="60">
        <f ca="1">AVERAGE(OFFSET($GY$3,0,0,'Données projet'!$E$18+1,1))-AVERAGE(OFFSET($H$3,0,0,'Données projet'!$E$18+1,1))</f>
        <v>289.12367833861299</v>
      </c>
      <c r="HA178" s="60">
        <f t="shared" si="160"/>
        <v>229.06617320689003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6.2092919191485427E-22</v>
      </c>
      <c r="HJ178" s="24">
        <f t="shared" si="190"/>
        <v>6.2092919191485427E-22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-8.2291080616414541E-13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430.11660085503223</v>
      </c>
      <c r="T179" s="60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1.2710188457276673E-13</v>
      </c>
      <c r="AK179" s="14">
        <f t="shared" si="164"/>
        <v>1.856866851063998E-12</v>
      </c>
      <c r="AL179" s="22">
        <f t="shared" si="165"/>
        <v>3.4554122145673649E-12</v>
      </c>
      <c r="AM179" s="60">
        <f t="shared" si="113"/>
        <v>293.33333333333678</v>
      </c>
      <c r="AN179" s="60">
        <f ca="1">AVERAGE(OFFSET($AM$3,0,0,'Données projet'!$E$10+1,1))-AVERAGE(OFFSET($H$3,0,0,'Données projet'!$E$10+1,1))</f>
        <v>323.98185264074681</v>
      </c>
      <c r="AO179" s="60">
        <f t="shared" si="144"/>
        <v>301.22207291854005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0.2476484908037436</v>
      </c>
      <c r="AV179" s="23">
        <f>EXP(-LN(2)/25)*AV178+(1-EXP(-LN(2)/25))/(LN(2)/25)*Calculateur!AQ179*Calculateur!AS179*VLOOKUP('Données projet'!$B$10,Paramètres!$A$1:$I$89,3,0)*0.475*44/12</f>
        <v>0.14397815332512939</v>
      </c>
      <c r="AW179" s="23">
        <f>EXP(-LN(2)/2)*AW178+(1-EXP(-LN(2)/2))/(LN(2)/2)*AQ179*AT179*VLOOKUP('Données projet'!$B$10,Paramètres!$A$1:$I$89,3,0)*0.475*44/12</f>
        <v>6.4457165720846772E-22</v>
      </c>
      <c r="AX179" s="23">
        <f t="shared" si="166"/>
        <v>0.39162664412887299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-2.9262992029543969E-13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556.75475431848258</v>
      </c>
      <c r="BJ179" s="60">
        <f t="shared" si="146"/>
        <v>256.77417912163997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3.4106051316484809E-13</v>
      </c>
      <c r="BZ179" s="14">
        <f>BY179*VLOOKUP('Données projet'!$B$12,Paramètres!$A$1:$I$89,3,0)*VLOOKUP('Données projet'!$B$12,Paramètres!$A$1:$I$89,5,0)</f>
        <v>2.5006556825246659E-13</v>
      </c>
      <c r="CA179" s="14">
        <f t="shared" si="170"/>
        <v>3.3765445850268018E-12</v>
      </c>
      <c r="CB179" s="22">
        <f t="shared" si="171"/>
        <v>6.3163460169613921E-12</v>
      </c>
      <c r="CC179" s="60">
        <f t="shared" si="119"/>
        <v>293.33333333333962</v>
      </c>
      <c r="CD179" s="60">
        <f ca="1">AVERAGE(OFFSET($CC$3,0,0,'Données projet'!$E$12+1,1))-AVERAGE(OFFSET($H$3,0,0,'Données projet'!$E$12+1,1))</f>
        <v>290.68086183422963</v>
      </c>
      <c r="CE179" s="60">
        <f t="shared" si="148"/>
        <v>317.88330630101785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1.9895196601282805E-13</v>
      </c>
      <c r="CU179" s="18">
        <f>CT179*VLOOKUP('Données projet'!$B$13,Paramètres!$A$1:$I$89,3,0)*VLOOKUP('Données projet'!$B$13,Paramètres!$A$1:$I$89,5,0)</f>
        <v>1.3035332813160495E-13</v>
      </c>
      <c r="CV179" s="14">
        <f t="shared" si="173"/>
        <v>1.8987770485018903E-12</v>
      </c>
      <c r="CW179" s="22">
        <f t="shared" si="174"/>
        <v>3.5340687393033375E-12</v>
      </c>
      <c r="CX179" s="60">
        <f t="shared" si="122"/>
        <v>293.33333333333684</v>
      </c>
      <c r="CY179" s="60">
        <f ca="1">AVERAGE(OFFSET($CX$3,0,0,'Données projet'!$E$13+1,1))-AVERAGE(OFFSET($H$3,0,0,'Données projet'!$E$13+1,1))</f>
        <v>243.04319555814601</v>
      </c>
      <c r="CZ179" s="60">
        <f t="shared" si="150"/>
        <v>235.68746142880792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201.4732637505823</v>
      </c>
      <c r="DU179" s="60">
        <f t="shared" si="152"/>
        <v>342.06887933351783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0.36659852453119746</v>
      </c>
      <c r="EB179" s="23">
        <f>EXP(-LN(2)/25)*EB178+(1-EXP(-LN(2)/25))/(LN(2)/25)*Calculateur!DW179*Calculateur!DY179*VLOOKUP('Données projet'!$B$14,Paramètres!$A$1:$I$89,3,0)*0.475*44/12</f>
        <v>0.4616132896764622</v>
      </c>
      <c r="EC179" s="23">
        <f>EXP(-LN(2)/2)*EC178+(1-EXP(-LN(2)/2))/(LN(2)/2)*DW179*DZ179*VLOOKUP('Données projet'!$B$14,Paramètres!$A$1:$I$89,3,0)*0.475*44/12</f>
        <v>1.4184791770810343E-21</v>
      </c>
      <c r="ED179" s="24">
        <f t="shared" si="178"/>
        <v>0.82821181420765966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-2.0395418687257919E-13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260.01925143568263</v>
      </c>
      <c r="EP179" s="60">
        <f t="shared" si="154"/>
        <v>269.95358755269427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0.78870199359739157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0.78870199359739157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-9.2222762759774927E-14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256.19915261735281</v>
      </c>
      <c r="FK179" s="60">
        <f t="shared" si="156"/>
        <v>297.47246687305056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2.8421709430404007E-14</v>
      </c>
      <c r="GA179" s="18">
        <f>FZ179*VLOOKUP('Données projet'!$B$17,Paramètres!$A$1:$I$89,3,0)*VLOOKUP('Données projet'!$B$17,Paramètres!$A$1:$I$89,5,0)</f>
        <v>1.6257217794191094E-14</v>
      </c>
      <c r="GB179" s="14">
        <f t="shared" si="185"/>
        <v>3.0173973759155586E-13</v>
      </c>
      <c r="GC179" s="22">
        <f t="shared" si="186"/>
        <v>5.538446972968425E-13</v>
      </c>
      <c r="GD179" s="60">
        <f t="shared" si="134"/>
        <v>293.33333333333388</v>
      </c>
      <c r="GE179" s="60">
        <f ca="1">AVERAGE(OFFSET($GD$3,0,0,'Données projet'!$E$17+1,1))-AVERAGE(OFFSET($H$3,0,0,'Données projet'!$E$17+1,1))</f>
        <v>268.71641789629319</v>
      </c>
      <c r="GF179" s="60">
        <f t="shared" si="158"/>
        <v>199.94048514486104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3.6657427241147927E-2</v>
      </c>
      <c r="GN179" s="23">
        <f>EXP(-LN(2)/2)*GN178+(1-EXP(-LN(2)/2))/(LN(2)/2)*GH179*GK179*VLOOKUP('Données projet'!$B$17,Paramètres!$A$1:$I$89,3,0)*0.475*44/12</f>
        <v>7.3858258304332955E-22</v>
      </c>
      <c r="GO179" s="23">
        <f t="shared" si="187"/>
        <v>3.6657427241147927E-2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-2.8421709430404007E-13</v>
      </c>
      <c r="GV179" s="18">
        <f>GU179*VLOOKUP('Données projet'!$B$18,Paramètres!$A$1:$I$89,3,0)*VLOOKUP('Données projet'!$B$18,Paramètres!$A$1:$I$89,5,0)</f>
        <v>-1.69961822393816E-13</v>
      </c>
      <c r="GW179" s="14" t="e">
        <f t="shared" si="188"/>
        <v>#NUM!</v>
      </c>
      <c r="GX179" s="22" t="e">
        <f t="shared" si="189"/>
        <v>#NUM!</v>
      </c>
      <c r="GY179" s="60" t="e">
        <f t="shared" si="137"/>
        <v>#NUM!</v>
      </c>
      <c r="GZ179" s="60">
        <f ca="1">AVERAGE(OFFSET($GY$3,0,0,'Données projet'!$E$18+1,1))-AVERAGE(OFFSET($H$3,0,0,'Données projet'!$E$18+1,1))</f>
        <v>289.12367833861299</v>
      </c>
      <c r="HA179" s="60">
        <f t="shared" si="160"/>
        <v>229.06617320689003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4.3906324223967662E-22</v>
      </c>
      <c r="HJ179" s="24">
        <f t="shared" si="190"/>
        <v>4.3906324223967662E-22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-8.2291080616414541E-13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430.11660085503223</v>
      </c>
      <c r="T180" s="60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1.2710188457276673E-13</v>
      </c>
      <c r="AK180" s="14">
        <f t="shared" si="164"/>
        <v>1.856866851063998E-12</v>
      </c>
      <c r="AL180" s="22">
        <f t="shared" si="165"/>
        <v>3.4554122145673649E-12</v>
      </c>
      <c r="AM180" s="60">
        <f t="shared" si="113"/>
        <v>293.33333333333678</v>
      </c>
      <c r="AN180" s="60">
        <f ca="1">AVERAGE(OFFSET($AM$3,0,0,'Données projet'!$E$10+1,1))-AVERAGE(OFFSET($H$3,0,0,'Données projet'!$E$10+1,1))</f>
        <v>323.98185264074681</v>
      </c>
      <c r="AO180" s="60">
        <f t="shared" si="144"/>
        <v>301.22207291854005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0.24279225494974657</v>
      </c>
      <c r="AV180" s="23">
        <f>EXP(-LN(2)/25)*AV179+(1-EXP(-LN(2)/25))/(LN(2)/25)*Calculateur!AQ180*Calculateur!AS180*VLOOKUP('Données projet'!$B$10,Paramètres!$A$1:$I$89,3,0)*0.475*44/12</f>
        <v>0.1400410631509717</v>
      </c>
      <c r="AW180" s="23">
        <f>EXP(-LN(2)/2)*AW179+(1-EXP(-LN(2)/2))/(LN(2)/2)*AQ180*AT180*VLOOKUP('Données projet'!$B$10,Paramètres!$A$1:$I$89,3,0)*0.475*44/12</f>
        <v>4.557809897727583E-22</v>
      </c>
      <c r="AX180" s="23">
        <f t="shared" si="166"/>
        <v>0.3828333181007183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-2.9262992029543969E-13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556.75475431848258</v>
      </c>
      <c r="BJ180" s="60">
        <f t="shared" si="146"/>
        <v>256.77417912163997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3.4106051316484809E-13</v>
      </c>
      <c r="BZ180" s="14">
        <f>BY180*VLOOKUP('Données projet'!$B$12,Paramètres!$A$1:$I$89,3,0)*VLOOKUP('Données projet'!$B$12,Paramètres!$A$1:$I$89,5,0)</f>
        <v>2.5006556825246659E-13</v>
      </c>
      <c r="CA180" s="14">
        <f t="shared" si="170"/>
        <v>3.3765445850268018E-12</v>
      </c>
      <c r="CB180" s="22">
        <f t="shared" si="171"/>
        <v>6.3163460169613921E-12</v>
      </c>
      <c r="CC180" s="60">
        <f t="shared" si="119"/>
        <v>293.33333333333962</v>
      </c>
      <c r="CD180" s="60">
        <f ca="1">AVERAGE(OFFSET($CC$3,0,0,'Données projet'!$E$12+1,1))-AVERAGE(OFFSET($H$3,0,0,'Données projet'!$E$12+1,1))</f>
        <v>290.68086183422963</v>
      </c>
      <c r="CE180" s="60">
        <f t="shared" si="148"/>
        <v>317.88330630101785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1.9895196601282805E-13</v>
      </c>
      <c r="CU180" s="18">
        <f>CT180*VLOOKUP('Données projet'!$B$13,Paramètres!$A$1:$I$89,3,0)*VLOOKUP('Données projet'!$B$13,Paramètres!$A$1:$I$89,5,0)</f>
        <v>1.3035332813160495E-13</v>
      </c>
      <c r="CV180" s="14">
        <f t="shared" si="173"/>
        <v>1.8987770485018903E-12</v>
      </c>
      <c r="CW180" s="22">
        <f t="shared" si="174"/>
        <v>3.5340687393033375E-12</v>
      </c>
      <c r="CX180" s="60">
        <f t="shared" si="122"/>
        <v>293.33333333333684</v>
      </c>
      <c r="CY180" s="60">
        <f ca="1">AVERAGE(OFFSET($CX$3,0,0,'Données projet'!$E$13+1,1))-AVERAGE(OFFSET($H$3,0,0,'Données projet'!$E$13+1,1))</f>
        <v>243.04319555814601</v>
      </c>
      <c r="CZ180" s="60">
        <f t="shared" si="150"/>
        <v>235.68746142880792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201.4732637505823</v>
      </c>
      <c r="DU180" s="60">
        <f t="shared" si="152"/>
        <v>342.06887933351783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0.3594097510681617</v>
      </c>
      <c r="EB180" s="23">
        <f>EXP(-LN(2)/25)*EB179+(1-EXP(-LN(2)/25))/(LN(2)/25)*Calculateur!DW180*Calculateur!DY180*VLOOKUP('Données projet'!$B$14,Paramètres!$A$1:$I$89,3,0)*0.475*44/12</f>
        <v>0.44899044999507148</v>
      </c>
      <c r="EC180" s="23">
        <f>EXP(-LN(2)/2)*EC179+(1-EXP(-LN(2)/2))/(LN(2)/2)*DW180*DZ180*VLOOKUP('Données projet'!$B$14,Paramètres!$A$1:$I$89,3,0)*0.475*44/12</f>
        <v>1.0030162450859129E-21</v>
      </c>
      <c r="ED180" s="24">
        <f t="shared" si="178"/>
        <v>0.80840020106323318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-2.0395418687257919E-13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260.01925143568263</v>
      </c>
      <c r="EP180" s="60">
        <f t="shared" si="154"/>
        <v>269.95358755269427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0.77323602856366203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0.77323602856366203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-9.2222762759774927E-14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256.19915261735281</v>
      </c>
      <c r="FK180" s="60">
        <f t="shared" si="156"/>
        <v>297.47246687305056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2.8421709430404007E-14</v>
      </c>
      <c r="GA180" s="18">
        <f>FZ180*VLOOKUP('Données projet'!$B$17,Paramètres!$A$1:$I$89,3,0)*VLOOKUP('Données projet'!$B$17,Paramètres!$A$1:$I$89,5,0)</f>
        <v>1.6257217794191094E-14</v>
      </c>
      <c r="GB180" s="14">
        <f t="shared" si="185"/>
        <v>3.0173973759155586E-13</v>
      </c>
      <c r="GC180" s="22">
        <f t="shared" si="186"/>
        <v>5.538446972968425E-13</v>
      </c>
      <c r="GD180" s="60">
        <f t="shared" si="134"/>
        <v>293.33333333333388</v>
      </c>
      <c r="GE180" s="60">
        <f ca="1">AVERAGE(OFFSET($GD$3,0,0,'Données projet'!$E$17+1,1))-AVERAGE(OFFSET($H$3,0,0,'Données projet'!$E$17+1,1))</f>
        <v>268.71641789629319</v>
      </c>
      <c r="GF180" s="60">
        <f t="shared" si="158"/>
        <v>199.94048514486104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3.5655027965508422E-2</v>
      </c>
      <c r="GN180" s="23">
        <f>EXP(-LN(2)/2)*GN179+(1-EXP(-LN(2)/2))/(LN(2)/2)*GH180*GK180*VLOOKUP('Données projet'!$B$17,Paramètres!$A$1:$I$89,3,0)*0.475*44/12</f>
        <v>5.2225675293621469E-22</v>
      </c>
      <c r="GO180" s="23">
        <f t="shared" si="187"/>
        <v>3.5655027965508422E-2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-2.8421709430404007E-13</v>
      </c>
      <c r="GV180" s="18">
        <f>GU180*VLOOKUP('Données projet'!$B$18,Paramètres!$A$1:$I$89,3,0)*VLOOKUP('Données projet'!$B$18,Paramètres!$A$1:$I$89,5,0)</f>
        <v>-1.69961822393816E-13</v>
      </c>
      <c r="GW180" s="14" t="e">
        <f t="shared" si="188"/>
        <v>#NUM!</v>
      </c>
      <c r="GX180" s="22" t="e">
        <f t="shared" si="189"/>
        <v>#NUM!</v>
      </c>
      <c r="GY180" s="60" t="e">
        <f t="shared" si="137"/>
        <v>#NUM!</v>
      </c>
      <c r="GZ180" s="60">
        <f ca="1">AVERAGE(OFFSET($GY$3,0,0,'Données projet'!$E$18+1,1))-AVERAGE(OFFSET($H$3,0,0,'Données projet'!$E$18+1,1))</f>
        <v>289.12367833861299</v>
      </c>
      <c r="HA180" s="60">
        <f t="shared" si="160"/>
        <v>229.06617320689003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3.1046459595742713E-22</v>
      </c>
      <c r="HJ180" s="24">
        <f t="shared" si="190"/>
        <v>3.1046459595742713E-22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-8.2291080616414541E-13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430.11660085503223</v>
      </c>
      <c r="T181" s="60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1.2710188457276673E-13</v>
      </c>
      <c r="AK181" s="14">
        <f t="shared" si="164"/>
        <v>1.856866851063998E-12</v>
      </c>
      <c r="AL181" s="22">
        <f t="shared" si="165"/>
        <v>3.4554122145673649E-12</v>
      </c>
      <c r="AM181" s="60">
        <f t="shared" si="113"/>
        <v>293.33333333333678</v>
      </c>
      <c r="AN181" s="60">
        <f ca="1">AVERAGE(OFFSET($AM$3,0,0,'Données projet'!$E$10+1,1))-AVERAGE(OFFSET($H$3,0,0,'Données projet'!$E$10+1,1))</f>
        <v>323.98185264074681</v>
      </c>
      <c r="AO181" s="60">
        <f t="shared" si="144"/>
        <v>301.22207291854005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0.23803124691883501</v>
      </c>
      <c r="AV181" s="23">
        <f>EXP(-LN(2)/25)*AV180+(1-EXP(-LN(2)/25))/(LN(2)/25)*Calculateur!AQ181*Calculateur!AS181*VLOOKUP('Données projet'!$B$10,Paramètres!$A$1:$I$89,3,0)*0.475*44/12</f>
        <v>0.13621163291466892</v>
      </c>
      <c r="AW181" s="23">
        <f>EXP(-LN(2)/2)*AW180+(1-EXP(-LN(2)/2))/(LN(2)/2)*AQ181*AT181*VLOOKUP('Données projet'!$B$10,Paramètres!$A$1:$I$89,3,0)*0.475*44/12</f>
        <v>3.2228582860423386E-22</v>
      </c>
      <c r="AX181" s="23">
        <f t="shared" si="166"/>
        <v>0.37424287983350391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-2.9262992029543969E-13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556.75475431848258</v>
      </c>
      <c r="BJ181" s="60">
        <f t="shared" si="146"/>
        <v>256.77417912163997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3.4106051316484809E-13</v>
      </c>
      <c r="BZ181" s="14">
        <f>BY181*VLOOKUP('Données projet'!$B$12,Paramètres!$A$1:$I$89,3,0)*VLOOKUP('Données projet'!$B$12,Paramètres!$A$1:$I$89,5,0)</f>
        <v>2.5006556825246659E-13</v>
      </c>
      <c r="CA181" s="14">
        <f t="shared" si="170"/>
        <v>3.3765445850268018E-12</v>
      </c>
      <c r="CB181" s="22">
        <f t="shared" si="171"/>
        <v>6.3163460169613921E-12</v>
      </c>
      <c r="CC181" s="60">
        <f t="shared" si="119"/>
        <v>293.33333333333962</v>
      </c>
      <c r="CD181" s="60">
        <f ca="1">AVERAGE(OFFSET($CC$3,0,0,'Données projet'!$E$12+1,1))-AVERAGE(OFFSET($H$3,0,0,'Données projet'!$E$12+1,1))</f>
        <v>290.68086183422963</v>
      </c>
      <c r="CE181" s="60">
        <f t="shared" si="148"/>
        <v>317.88330630101785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1.9895196601282805E-13</v>
      </c>
      <c r="CU181" s="18">
        <f>CT181*VLOOKUP('Données projet'!$B$13,Paramètres!$A$1:$I$89,3,0)*VLOOKUP('Données projet'!$B$13,Paramètres!$A$1:$I$89,5,0)</f>
        <v>1.3035332813160495E-13</v>
      </c>
      <c r="CV181" s="14">
        <f t="shared" si="173"/>
        <v>1.8987770485018903E-12</v>
      </c>
      <c r="CW181" s="22">
        <f t="shared" si="174"/>
        <v>3.5340687393033375E-12</v>
      </c>
      <c r="CX181" s="60">
        <f t="shared" si="122"/>
        <v>293.33333333333684</v>
      </c>
      <c r="CY181" s="60">
        <f ca="1">AVERAGE(OFFSET($CX$3,0,0,'Données projet'!$E$13+1,1))-AVERAGE(OFFSET($H$3,0,0,'Données projet'!$E$13+1,1))</f>
        <v>243.04319555814601</v>
      </c>
      <c r="CZ181" s="60">
        <f t="shared" si="150"/>
        <v>235.68746142880792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201.4732637505823</v>
      </c>
      <c r="DU181" s="60">
        <f t="shared" si="152"/>
        <v>342.06887933351783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0.35236194506801721</v>
      </c>
      <c r="EB181" s="23">
        <f>EXP(-LN(2)/25)*EB180+(1-EXP(-LN(2)/25))/(LN(2)/25)*Calculateur!DW181*Calculateur!DY181*VLOOKUP('Données projet'!$B$14,Paramètres!$A$1:$I$89,3,0)*0.475*44/12</f>
        <v>0.43671278252857465</v>
      </c>
      <c r="EC181" s="23">
        <f>EXP(-LN(2)/2)*EC180+(1-EXP(-LN(2)/2))/(LN(2)/2)*DW181*DZ181*VLOOKUP('Données projet'!$B$14,Paramètres!$A$1:$I$89,3,0)*0.475*44/12</f>
        <v>7.0923958854051715E-22</v>
      </c>
      <c r="ED181" s="24">
        <f t="shared" si="178"/>
        <v>0.78907472759659192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-2.0395418687257919E-13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260.01925143568263</v>
      </c>
      <c r="EP181" s="60">
        <f t="shared" si="154"/>
        <v>269.95358755269427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0.75807334167093665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0.75807334167093665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-9.2222762759774927E-14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256.19915261735281</v>
      </c>
      <c r="FK181" s="60">
        <f t="shared" si="156"/>
        <v>297.47246687305056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2.8421709430404007E-14</v>
      </c>
      <c r="GA181" s="18">
        <f>FZ181*VLOOKUP('Données projet'!$B$17,Paramètres!$A$1:$I$89,3,0)*VLOOKUP('Données projet'!$B$17,Paramètres!$A$1:$I$89,5,0)</f>
        <v>1.6257217794191094E-14</v>
      </c>
      <c r="GB181" s="14">
        <f t="shared" si="185"/>
        <v>3.0173973759155586E-13</v>
      </c>
      <c r="GC181" s="22">
        <f t="shared" si="186"/>
        <v>5.538446972968425E-13</v>
      </c>
      <c r="GD181" s="60">
        <f t="shared" si="134"/>
        <v>293.33333333333388</v>
      </c>
      <c r="GE181" s="60">
        <f ca="1">AVERAGE(OFFSET($GD$3,0,0,'Données projet'!$E$17+1,1))-AVERAGE(OFFSET($H$3,0,0,'Données projet'!$E$17+1,1))</f>
        <v>268.71641789629319</v>
      </c>
      <c r="GF181" s="60">
        <f t="shared" si="158"/>
        <v>199.94048514486104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3.4680039350775162E-2</v>
      </c>
      <c r="GN181" s="23">
        <f>EXP(-LN(2)/2)*GN180+(1-EXP(-LN(2)/2))/(LN(2)/2)*GH181*GK181*VLOOKUP('Données projet'!$B$17,Paramètres!$A$1:$I$89,3,0)*0.475*44/12</f>
        <v>3.6929129152166477E-22</v>
      </c>
      <c r="GO181" s="23">
        <f t="shared" si="187"/>
        <v>3.4680039350775162E-2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-2.8421709430404007E-13</v>
      </c>
      <c r="GV181" s="18">
        <f>GU181*VLOOKUP('Données projet'!$B$18,Paramètres!$A$1:$I$89,3,0)*VLOOKUP('Données projet'!$B$18,Paramètres!$A$1:$I$89,5,0)</f>
        <v>-1.69961822393816E-13</v>
      </c>
      <c r="GW181" s="14" t="e">
        <f t="shared" si="188"/>
        <v>#NUM!</v>
      </c>
      <c r="GX181" s="22" t="e">
        <f t="shared" si="189"/>
        <v>#NUM!</v>
      </c>
      <c r="GY181" s="60" t="e">
        <f t="shared" si="137"/>
        <v>#NUM!</v>
      </c>
      <c r="GZ181" s="60">
        <f ca="1">AVERAGE(OFFSET($GY$3,0,0,'Données projet'!$E$18+1,1))-AVERAGE(OFFSET($H$3,0,0,'Données projet'!$E$18+1,1))</f>
        <v>289.12367833861299</v>
      </c>
      <c r="HA181" s="60">
        <f t="shared" si="160"/>
        <v>229.06617320689003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2.1953162111983831E-22</v>
      </c>
      <c r="HJ181" s="24">
        <f t="shared" si="190"/>
        <v>2.1953162111983831E-22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-8.2291080616414541E-13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430.11660085503223</v>
      </c>
      <c r="T182" s="60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1.2710188457276673E-13</v>
      </c>
      <c r="AK182" s="14">
        <f t="shared" si="164"/>
        <v>1.856866851063998E-12</v>
      </c>
      <c r="AL182" s="22">
        <f t="shared" si="165"/>
        <v>3.4554122145673649E-12</v>
      </c>
      <c r="AM182" s="60">
        <f t="shared" si="113"/>
        <v>293.33333333333678</v>
      </c>
      <c r="AN182" s="60">
        <f ca="1">AVERAGE(OFFSET($AM$3,0,0,'Données projet'!$E$10+1,1))-AVERAGE(OFFSET($H$3,0,0,'Données projet'!$E$10+1,1))</f>
        <v>323.98185264074681</v>
      </c>
      <c r="AO182" s="60">
        <f t="shared" si="144"/>
        <v>301.22207291854005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0.23336359935148149</v>
      </c>
      <c r="AV182" s="23">
        <f>EXP(-LN(2)/25)*AV181+(1-EXP(-LN(2)/25))/(LN(2)/25)*Calculateur!AQ182*Calculateur!AS182*VLOOKUP('Données projet'!$B$10,Paramètres!$A$1:$I$89,3,0)*0.475*44/12</f>
        <v>0.13248691864955883</v>
      </c>
      <c r="AW182" s="23">
        <f>EXP(-LN(2)/2)*AW181+(1-EXP(-LN(2)/2))/(LN(2)/2)*AQ182*AT182*VLOOKUP('Données projet'!$B$10,Paramètres!$A$1:$I$89,3,0)*0.475*44/12</f>
        <v>2.2789049488637915E-22</v>
      </c>
      <c r="AX182" s="23">
        <f t="shared" si="166"/>
        <v>0.36585051800104029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-2.9262992029543969E-13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556.75475431848258</v>
      </c>
      <c r="BJ182" s="60">
        <f t="shared" si="146"/>
        <v>256.77417912163997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3.4106051316484809E-13</v>
      </c>
      <c r="BZ182" s="14">
        <f>BY182*VLOOKUP('Données projet'!$B$12,Paramètres!$A$1:$I$89,3,0)*VLOOKUP('Données projet'!$B$12,Paramètres!$A$1:$I$89,5,0)</f>
        <v>2.5006556825246659E-13</v>
      </c>
      <c r="CA182" s="14">
        <f t="shared" si="170"/>
        <v>3.3765445850268018E-12</v>
      </c>
      <c r="CB182" s="22">
        <f t="shared" si="171"/>
        <v>6.3163460169613921E-12</v>
      </c>
      <c r="CC182" s="60">
        <f t="shared" si="119"/>
        <v>293.33333333333962</v>
      </c>
      <c r="CD182" s="60">
        <f ca="1">AVERAGE(OFFSET($CC$3,0,0,'Données projet'!$E$12+1,1))-AVERAGE(OFFSET($H$3,0,0,'Données projet'!$E$12+1,1))</f>
        <v>290.68086183422963</v>
      </c>
      <c r="CE182" s="60">
        <f t="shared" si="148"/>
        <v>317.88330630101785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1.9895196601282805E-13</v>
      </c>
      <c r="CU182" s="18">
        <f>CT182*VLOOKUP('Données projet'!$B$13,Paramètres!$A$1:$I$89,3,0)*VLOOKUP('Données projet'!$B$13,Paramètres!$A$1:$I$89,5,0)</f>
        <v>1.3035332813160495E-13</v>
      </c>
      <c r="CV182" s="14">
        <f t="shared" si="173"/>
        <v>1.8987770485018903E-12</v>
      </c>
      <c r="CW182" s="22">
        <f t="shared" si="174"/>
        <v>3.5340687393033375E-12</v>
      </c>
      <c r="CX182" s="60">
        <f t="shared" si="122"/>
        <v>293.33333333333684</v>
      </c>
      <c r="CY182" s="60">
        <f ca="1">AVERAGE(OFFSET($CX$3,0,0,'Données projet'!$E$13+1,1))-AVERAGE(OFFSET($H$3,0,0,'Données projet'!$E$13+1,1))</f>
        <v>243.04319555814601</v>
      </c>
      <c r="CZ182" s="60">
        <f t="shared" si="150"/>
        <v>235.68746142880792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201.4732637505823</v>
      </c>
      <c r="DU182" s="60">
        <f t="shared" si="152"/>
        <v>342.06887933351783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0.34545234224479832</v>
      </c>
      <c r="EB182" s="23">
        <f>EXP(-LN(2)/25)*EB181+(1-EXP(-LN(2)/25))/(LN(2)/25)*Calculateur!DW182*Calculateur!DY182*VLOOKUP('Données projet'!$B$14,Paramètres!$A$1:$I$89,3,0)*0.475*44/12</f>
        <v>0.42477084852460367</v>
      </c>
      <c r="EC182" s="23">
        <f>EXP(-LN(2)/2)*EC181+(1-EXP(-LN(2)/2))/(LN(2)/2)*DW182*DZ182*VLOOKUP('Données projet'!$B$14,Paramètres!$A$1:$I$89,3,0)*0.475*44/12</f>
        <v>5.0150812254295646E-22</v>
      </c>
      <c r="ED182" s="24">
        <f t="shared" si="178"/>
        <v>0.77022319076940193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-2.0395418687257919E-13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260.01925143568263</v>
      </c>
      <c r="EP182" s="60">
        <f t="shared" si="154"/>
        <v>269.95358755269427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0.74320798581985181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0.74320798581985181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-9.2222762759774927E-14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256.19915261735281</v>
      </c>
      <c r="FK182" s="60">
        <f t="shared" si="156"/>
        <v>297.47246687305056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2.8421709430404007E-14</v>
      </c>
      <c r="GA182" s="18">
        <f>FZ182*VLOOKUP('Données projet'!$B$17,Paramètres!$A$1:$I$89,3,0)*VLOOKUP('Données projet'!$B$17,Paramètres!$A$1:$I$89,5,0)</f>
        <v>1.6257217794191094E-14</v>
      </c>
      <c r="GB182" s="14">
        <f t="shared" si="185"/>
        <v>3.0173973759155586E-13</v>
      </c>
      <c r="GC182" s="22">
        <f t="shared" si="186"/>
        <v>5.538446972968425E-13</v>
      </c>
      <c r="GD182" s="60">
        <f t="shared" si="134"/>
        <v>293.33333333333388</v>
      </c>
      <c r="GE182" s="60">
        <f ca="1">AVERAGE(OFFSET($GD$3,0,0,'Données projet'!$E$17+1,1))-AVERAGE(OFFSET($H$3,0,0,'Données projet'!$E$17+1,1))</f>
        <v>268.71641789629319</v>
      </c>
      <c r="GF182" s="60">
        <f t="shared" si="158"/>
        <v>199.94048514486104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3.3731711850984211E-2</v>
      </c>
      <c r="GN182" s="23">
        <f>EXP(-LN(2)/2)*GN181+(1-EXP(-LN(2)/2))/(LN(2)/2)*GH182*GK182*VLOOKUP('Données projet'!$B$17,Paramètres!$A$1:$I$89,3,0)*0.475*44/12</f>
        <v>2.6112837646810734E-22</v>
      </c>
      <c r="GO182" s="23">
        <f t="shared" si="187"/>
        <v>3.3731711850984211E-2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-2.8421709430404007E-13</v>
      </c>
      <c r="GV182" s="18">
        <f>GU182*VLOOKUP('Données projet'!$B$18,Paramètres!$A$1:$I$89,3,0)*VLOOKUP('Données projet'!$B$18,Paramètres!$A$1:$I$89,5,0)</f>
        <v>-1.69961822393816E-13</v>
      </c>
      <c r="GW182" s="14" t="e">
        <f t="shared" si="188"/>
        <v>#NUM!</v>
      </c>
      <c r="GX182" s="22" t="e">
        <f t="shared" si="189"/>
        <v>#NUM!</v>
      </c>
      <c r="GY182" s="60" t="e">
        <f t="shared" si="137"/>
        <v>#NUM!</v>
      </c>
      <c r="GZ182" s="60">
        <f ca="1">AVERAGE(OFFSET($GY$3,0,0,'Données projet'!$E$18+1,1))-AVERAGE(OFFSET($H$3,0,0,'Données projet'!$E$18+1,1))</f>
        <v>289.12367833861299</v>
      </c>
      <c r="HA182" s="60">
        <f t="shared" si="160"/>
        <v>229.06617320689003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1.5523229797871357E-22</v>
      </c>
      <c r="HJ182" s="24">
        <f t="shared" si="190"/>
        <v>1.5523229797871357E-22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-8.2291080616414541E-13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430.11660085503223</v>
      </c>
      <c r="T183" s="60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1.2710188457276673E-13</v>
      </c>
      <c r="AK183" s="14">
        <f t="shared" si="164"/>
        <v>1.856866851063998E-12</v>
      </c>
      <c r="AL183" s="22">
        <f t="shared" si="165"/>
        <v>3.4554122145673649E-12</v>
      </c>
      <c r="AM183" s="60">
        <f t="shared" si="113"/>
        <v>293.33333333333678</v>
      </c>
      <c r="AN183" s="60">
        <f ca="1">AVERAGE(OFFSET($AM$3,0,0,'Données projet'!$E$10+1,1))-AVERAGE(OFFSET($H$3,0,0,'Données projet'!$E$10+1,1))</f>
        <v>323.98185264074681</v>
      </c>
      <c r="AO183" s="60">
        <f t="shared" si="144"/>
        <v>301.22207291854005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0.22878748150593986</v>
      </c>
      <c r="AV183" s="23">
        <f>EXP(-LN(2)/25)*AV182+(1-EXP(-LN(2)/25))/(LN(2)/25)*Calculateur!AQ183*Calculateur!AS183*VLOOKUP('Données projet'!$B$10,Paramètres!$A$1:$I$89,3,0)*0.475*44/12</f>
        <v>0.12886405689190239</v>
      </c>
      <c r="AW183" s="23">
        <f>EXP(-LN(2)/2)*AW182+(1-EXP(-LN(2)/2))/(LN(2)/2)*AQ183*AT183*VLOOKUP('Données projet'!$B$10,Paramètres!$A$1:$I$89,3,0)*0.475*44/12</f>
        <v>1.6114291430211693E-22</v>
      </c>
      <c r="AX183" s="23">
        <f t="shared" si="166"/>
        <v>0.35765153839784225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-2.9262992029543969E-13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556.75475431848258</v>
      </c>
      <c r="BJ183" s="60">
        <f t="shared" si="146"/>
        <v>256.77417912163997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3.4106051316484809E-13</v>
      </c>
      <c r="BZ183" s="14">
        <f>BY183*VLOOKUP('Données projet'!$B$12,Paramètres!$A$1:$I$89,3,0)*VLOOKUP('Données projet'!$B$12,Paramètres!$A$1:$I$89,5,0)</f>
        <v>2.5006556825246659E-13</v>
      </c>
      <c r="CA183" s="14">
        <f t="shared" si="170"/>
        <v>3.3765445850268018E-12</v>
      </c>
      <c r="CB183" s="22">
        <f t="shared" si="171"/>
        <v>6.3163460169613921E-12</v>
      </c>
      <c r="CC183" s="60">
        <f t="shared" si="119"/>
        <v>293.33333333333962</v>
      </c>
      <c r="CD183" s="60">
        <f ca="1">AVERAGE(OFFSET($CC$3,0,0,'Données projet'!$E$12+1,1))-AVERAGE(OFFSET($H$3,0,0,'Données projet'!$E$12+1,1))</f>
        <v>290.68086183422963</v>
      </c>
      <c r="CE183" s="60">
        <f t="shared" si="148"/>
        <v>317.88330630101785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1.9895196601282805E-13</v>
      </c>
      <c r="CU183" s="18">
        <f>CT183*VLOOKUP('Données projet'!$B$13,Paramètres!$A$1:$I$89,3,0)*VLOOKUP('Données projet'!$B$13,Paramètres!$A$1:$I$89,5,0)</f>
        <v>1.3035332813160495E-13</v>
      </c>
      <c r="CV183" s="14">
        <f t="shared" si="173"/>
        <v>1.8987770485018903E-12</v>
      </c>
      <c r="CW183" s="22">
        <f t="shared" si="174"/>
        <v>3.5340687393033375E-12</v>
      </c>
      <c r="CX183" s="60">
        <f t="shared" si="122"/>
        <v>293.33333333333684</v>
      </c>
      <c r="CY183" s="60">
        <f ca="1">AVERAGE(OFFSET($CX$3,0,0,'Données projet'!$E$13+1,1))-AVERAGE(OFFSET($H$3,0,0,'Données projet'!$E$13+1,1))</f>
        <v>243.04319555814601</v>
      </c>
      <c r="CZ183" s="60">
        <f t="shared" si="150"/>
        <v>235.68746142880792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201.4732637505823</v>
      </c>
      <c r="DU183" s="60">
        <f t="shared" si="152"/>
        <v>342.06887933351783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0.33867823251850121</v>
      </c>
      <c r="EB183" s="23">
        <f>EXP(-LN(2)/25)*EB182+(1-EXP(-LN(2)/25))/(LN(2)/25)*Calculateur!DW183*Calculateur!DY183*VLOOKUP('Données projet'!$B$14,Paramètres!$A$1:$I$89,3,0)*0.475*44/12</f>
        <v>0.41315546733397029</v>
      </c>
      <c r="EC183" s="23">
        <f>EXP(-LN(2)/2)*EC182+(1-EXP(-LN(2)/2))/(LN(2)/2)*DW183*DZ183*VLOOKUP('Données projet'!$B$14,Paramètres!$A$1:$I$89,3,0)*0.475*44/12</f>
        <v>3.5461979427025858E-22</v>
      </c>
      <c r="ED183" s="24">
        <f t="shared" si="178"/>
        <v>0.7518336998524715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-2.0395418687257919E-13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260.01925143568263</v>
      </c>
      <c r="EP183" s="60">
        <f t="shared" si="154"/>
        <v>269.95358755269427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0.72863413053003501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0.72863413053003501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-9.2222762759774927E-14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256.19915261735281</v>
      </c>
      <c r="FK183" s="60">
        <f t="shared" si="156"/>
        <v>297.47246687305056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2.8421709430404007E-14</v>
      </c>
      <c r="GA183" s="18">
        <f>FZ183*VLOOKUP('Données projet'!$B$17,Paramètres!$A$1:$I$89,3,0)*VLOOKUP('Données projet'!$B$17,Paramètres!$A$1:$I$89,5,0)</f>
        <v>1.6257217794191094E-14</v>
      </c>
      <c r="GB183" s="14">
        <f t="shared" si="185"/>
        <v>3.0173973759155586E-13</v>
      </c>
      <c r="GC183" s="22">
        <f t="shared" si="186"/>
        <v>5.538446972968425E-13</v>
      </c>
      <c r="GD183" s="60">
        <f t="shared" si="134"/>
        <v>293.33333333333388</v>
      </c>
      <c r="GE183" s="60">
        <f ca="1">AVERAGE(OFFSET($GD$3,0,0,'Données projet'!$E$17+1,1))-AVERAGE(OFFSET($H$3,0,0,'Données projet'!$E$17+1,1))</f>
        <v>268.71641789629319</v>
      </c>
      <c r="GF183" s="60">
        <f t="shared" si="158"/>
        <v>199.94048514486104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3.2809316416545414E-2</v>
      </c>
      <c r="GN183" s="23">
        <f>EXP(-LN(2)/2)*GN182+(1-EXP(-LN(2)/2))/(LN(2)/2)*GH183*GK183*VLOOKUP('Données projet'!$B$17,Paramètres!$A$1:$I$89,3,0)*0.475*44/12</f>
        <v>1.8464564576083239E-22</v>
      </c>
      <c r="GO183" s="23">
        <f t="shared" si="187"/>
        <v>3.2809316416545414E-2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-2.8421709430404007E-13</v>
      </c>
      <c r="GV183" s="18">
        <f>GU183*VLOOKUP('Données projet'!$B$18,Paramètres!$A$1:$I$89,3,0)*VLOOKUP('Données projet'!$B$18,Paramètres!$A$1:$I$89,5,0)</f>
        <v>-1.69961822393816E-13</v>
      </c>
      <c r="GW183" s="14" t="e">
        <f t="shared" si="188"/>
        <v>#NUM!</v>
      </c>
      <c r="GX183" s="22" t="e">
        <f t="shared" si="189"/>
        <v>#NUM!</v>
      </c>
      <c r="GY183" s="60" t="e">
        <f t="shared" si="137"/>
        <v>#NUM!</v>
      </c>
      <c r="GZ183" s="60">
        <f ca="1">AVERAGE(OFFSET($GY$3,0,0,'Données projet'!$E$18+1,1))-AVERAGE(OFFSET($H$3,0,0,'Données projet'!$E$18+1,1))</f>
        <v>289.12367833861299</v>
      </c>
      <c r="HA183" s="60">
        <f t="shared" si="160"/>
        <v>229.06617320689003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1.0976581055991916E-22</v>
      </c>
      <c r="HJ183" s="24">
        <f t="shared" si="190"/>
        <v>1.0976581055991916E-22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-8.2291080616414541E-13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430.11660085503223</v>
      </c>
      <c r="T184" s="60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1.2710188457276673E-13</v>
      </c>
      <c r="AK184" s="14">
        <f t="shared" si="164"/>
        <v>1.856866851063998E-12</v>
      </c>
      <c r="AL184" s="22">
        <f t="shared" si="165"/>
        <v>3.4554122145673649E-12</v>
      </c>
      <c r="AM184" s="60">
        <f t="shared" si="113"/>
        <v>293.33333333333678</v>
      </c>
      <c r="AN184" s="60">
        <f ca="1">AVERAGE(OFFSET($AM$3,0,0,'Données projet'!$E$10+1,1))-AVERAGE(OFFSET($H$3,0,0,'Données projet'!$E$10+1,1))</f>
        <v>323.98185264074681</v>
      </c>
      <c r="AO184" s="60">
        <f t="shared" si="144"/>
        <v>301.22207291854005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0.22430109854019301</v>
      </c>
      <c r="AV184" s="23">
        <f>EXP(-LN(2)/25)*AV183+(1-EXP(-LN(2)/25))/(LN(2)/25)*Calculateur!AQ184*Calculateur!AS184*VLOOKUP('Données projet'!$B$10,Paramètres!$A$1:$I$89,3,0)*0.475*44/12</f>
        <v>0.12534026247952709</v>
      </c>
      <c r="AW184" s="23">
        <f>EXP(-LN(2)/2)*AW183+(1-EXP(-LN(2)/2))/(LN(2)/2)*AQ184*AT184*VLOOKUP('Données projet'!$B$10,Paramètres!$A$1:$I$89,3,0)*0.475*44/12</f>
        <v>1.1394524744318957E-22</v>
      </c>
      <c r="AX184" s="23">
        <f t="shared" si="166"/>
        <v>0.3496413610197201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-2.9262992029543969E-13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556.75475431848258</v>
      </c>
      <c r="BJ184" s="60">
        <f t="shared" si="146"/>
        <v>256.77417912163997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3.4106051316484809E-13</v>
      </c>
      <c r="BZ184" s="14">
        <f>BY184*VLOOKUP('Données projet'!$B$12,Paramètres!$A$1:$I$89,3,0)*VLOOKUP('Données projet'!$B$12,Paramètres!$A$1:$I$89,5,0)</f>
        <v>2.5006556825246659E-13</v>
      </c>
      <c r="CA184" s="14">
        <f t="shared" si="170"/>
        <v>3.3765445850268018E-12</v>
      </c>
      <c r="CB184" s="22">
        <f t="shared" si="171"/>
        <v>6.3163460169613921E-12</v>
      </c>
      <c r="CC184" s="60">
        <f t="shared" si="119"/>
        <v>293.33333333333962</v>
      </c>
      <c r="CD184" s="60">
        <f ca="1">AVERAGE(OFFSET($CC$3,0,0,'Données projet'!$E$12+1,1))-AVERAGE(OFFSET($H$3,0,0,'Données projet'!$E$12+1,1))</f>
        <v>290.68086183422963</v>
      </c>
      <c r="CE184" s="60">
        <f t="shared" si="148"/>
        <v>317.88330630101785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1.9895196601282805E-13</v>
      </c>
      <c r="CU184" s="18">
        <f>CT184*VLOOKUP('Données projet'!$B$13,Paramètres!$A$1:$I$89,3,0)*VLOOKUP('Données projet'!$B$13,Paramètres!$A$1:$I$89,5,0)</f>
        <v>1.3035332813160495E-13</v>
      </c>
      <c r="CV184" s="14">
        <f t="shared" si="173"/>
        <v>1.8987770485018903E-12</v>
      </c>
      <c r="CW184" s="22">
        <f t="shared" si="174"/>
        <v>3.5340687393033375E-12</v>
      </c>
      <c r="CX184" s="60">
        <f t="shared" si="122"/>
        <v>293.33333333333684</v>
      </c>
      <c r="CY184" s="60">
        <f ca="1">AVERAGE(OFFSET($CX$3,0,0,'Données projet'!$E$13+1,1))-AVERAGE(OFFSET($H$3,0,0,'Données projet'!$E$13+1,1))</f>
        <v>243.04319555814601</v>
      </c>
      <c r="CZ184" s="60">
        <f t="shared" si="150"/>
        <v>235.68746142880792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201.4732637505823</v>
      </c>
      <c r="DU184" s="60">
        <f t="shared" si="152"/>
        <v>342.06887933351783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0.33203695895213781</v>
      </c>
      <c r="EB184" s="23">
        <f>EXP(-LN(2)/25)*EB183+(1-EXP(-LN(2)/25))/(LN(2)/25)*Calculateur!DW184*Calculateur!DY184*VLOOKUP('Données projet'!$B$14,Paramètres!$A$1:$I$89,3,0)*0.475*44/12</f>
        <v>0.40185770935282111</v>
      </c>
      <c r="EC184" s="23">
        <f>EXP(-LN(2)/2)*EC183+(1-EXP(-LN(2)/2))/(LN(2)/2)*DW184*DZ184*VLOOKUP('Données projet'!$B$14,Paramètres!$A$1:$I$89,3,0)*0.475*44/12</f>
        <v>2.5075406127147823E-22</v>
      </c>
      <c r="ED184" s="24">
        <f t="shared" si="178"/>
        <v>0.73389466830495897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-2.0395418687257919E-13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260.01925143568263</v>
      </c>
      <c r="EP184" s="60">
        <f t="shared" si="154"/>
        <v>269.95358755269427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0.71434605965327758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0.71434605965327758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-9.2222762759774927E-14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256.19915261735281</v>
      </c>
      <c r="FK184" s="60">
        <f t="shared" si="156"/>
        <v>297.47246687305056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2.8421709430404007E-14</v>
      </c>
      <c r="GA184" s="18">
        <f>FZ184*VLOOKUP('Données projet'!$B$17,Paramètres!$A$1:$I$89,3,0)*VLOOKUP('Données projet'!$B$17,Paramètres!$A$1:$I$89,5,0)</f>
        <v>1.6257217794191094E-14</v>
      </c>
      <c r="GB184" s="14">
        <f t="shared" si="185"/>
        <v>3.0173973759155586E-13</v>
      </c>
      <c r="GC184" s="22">
        <f t="shared" si="186"/>
        <v>5.538446972968425E-13</v>
      </c>
      <c r="GD184" s="60">
        <f t="shared" si="134"/>
        <v>293.33333333333388</v>
      </c>
      <c r="GE184" s="60">
        <f ca="1">AVERAGE(OFFSET($GD$3,0,0,'Données projet'!$E$17+1,1))-AVERAGE(OFFSET($H$3,0,0,'Données projet'!$E$17+1,1))</f>
        <v>268.71641789629319</v>
      </c>
      <c r="GF184" s="60">
        <f t="shared" si="158"/>
        <v>199.94048514486104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3.1912143933768018E-2</v>
      </c>
      <c r="GN184" s="23">
        <f>EXP(-LN(2)/2)*GN183+(1-EXP(-LN(2)/2))/(LN(2)/2)*GH184*GK184*VLOOKUP('Données projet'!$B$17,Paramètres!$A$1:$I$89,3,0)*0.475*44/12</f>
        <v>1.3056418823405367E-22</v>
      </c>
      <c r="GO184" s="23">
        <f t="shared" si="187"/>
        <v>3.1912143933768018E-2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-2.8421709430404007E-13</v>
      </c>
      <c r="GV184" s="18">
        <f>GU184*VLOOKUP('Données projet'!$B$18,Paramètres!$A$1:$I$89,3,0)*VLOOKUP('Données projet'!$B$18,Paramètres!$A$1:$I$89,5,0)</f>
        <v>-1.69961822393816E-13</v>
      </c>
      <c r="GW184" s="14" t="e">
        <f t="shared" si="188"/>
        <v>#NUM!</v>
      </c>
      <c r="GX184" s="22" t="e">
        <f t="shared" si="189"/>
        <v>#NUM!</v>
      </c>
      <c r="GY184" s="60" t="e">
        <f t="shared" si="137"/>
        <v>#NUM!</v>
      </c>
      <c r="GZ184" s="60">
        <f ca="1">AVERAGE(OFFSET($GY$3,0,0,'Données projet'!$E$18+1,1))-AVERAGE(OFFSET($H$3,0,0,'Données projet'!$E$18+1,1))</f>
        <v>289.12367833861299</v>
      </c>
      <c r="HA184" s="60">
        <f t="shared" si="160"/>
        <v>229.06617320689003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7.7616148989356783E-23</v>
      </c>
      <c r="HJ184" s="24">
        <f t="shared" si="190"/>
        <v>7.7616148989356783E-23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-8.2291080616414541E-13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430.11660085503223</v>
      </c>
      <c r="T185" s="60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1.2710188457276673E-13</v>
      </c>
      <c r="AK185" s="14">
        <f t="shared" si="164"/>
        <v>1.856866851063998E-12</v>
      </c>
      <c r="AL185" s="22">
        <f t="shared" si="165"/>
        <v>3.4554122145673649E-12</v>
      </c>
      <c r="AM185" s="60">
        <f t="shared" si="113"/>
        <v>293.33333333333678</v>
      </c>
      <c r="AN185" s="60">
        <f ca="1">AVERAGE(OFFSET($AM$3,0,0,'Données projet'!$E$10+1,1))-AVERAGE(OFFSET($H$3,0,0,'Données projet'!$E$10+1,1))</f>
        <v>323.98185264074681</v>
      </c>
      <c r="AO185" s="60">
        <f t="shared" si="144"/>
        <v>301.22207291854005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0.21990269080798105</v>
      </c>
      <c r="AV185" s="23">
        <f>EXP(-LN(2)/25)*AV184+(1-EXP(-LN(2)/25))/(LN(2)/25)*Calculateur!AQ185*Calculateur!AS185*VLOOKUP('Données projet'!$B$10,Paramètres!$A$1:$I$89,3,0)*0.475*44/12</f>
        <v>0.12191282641066649</v>
      </c>
      <c r="AW185" s="23">
        <f>EXP(-LN(2)/2)*AW184+(1-EXP(-LN(2)/2))/(LN(2)/2)*AQ185*AT185*VLOOKUP('Données projet'!$B$10,Paramètres!$A$1:$I$89,3,0)*0.475*44/12</f>
        <v>8.0571457151058466E-23</v>
      </c>
      <c r="AX185" s="23">
        <f t="shared" si="166"/>
        <v>0.34181551721864756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-2.9262992029543969E-13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556.75475431848258</v>
      </c>
      <c r="BJ185" s="60">
        <f t="shared" si="146"/>
        <v>256.77417912163997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3.4106051316484809E-13</v>
      </c>
      <c r="BZ185" s="14">
        <f>BY185*VLOOKUP('Données projet'!$B$12,Paramètres!$A$1:$I$89,3,0)*VLOOKUP('Données projet'!$B$12,Paramètres!$A$1:$I$89,5,0)</f>
        <v>2.5006556825246659E-13</v>
      </c>
      <c r="CA185" s="14">
        <f t="shared" si="170"/>
        <v>3.3765445850268018E-12</v>
      </c>
      <c r="CB185" s="22">
        <f t="shared" si="171"/>
        <v>6.3163460169613921E-12</v>
      </c>
      <c r="CC185" s="60">
        <f t="shared" si="119"/>
        <v>293.33333333333962</v>
      </c>
      <c r="CD185" s="60">
        <f ca="1">AVERAGE(OFFSET($CC$3,0,0,'Données projet'!$E$12+1,1))-AVERAGE(OFFSET($H$3,0,0,'Données projet'!$E$12+1,1))</f>
        <v>290.68086183422963</v>
      </c>
      <c r="CE185" s="60">
        <f t="shared" si="148"/>
        <v>317.88330630101785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1.9895196601282805E-13</v>
      </c>
      <c r="CU185" s="18">
        <f>CT185*VLOOKUP('Données projet'!$B$13,Paramètres!$A$1:$I$89,3,0)*VLOOKUP('Données projet'!$B$13,Paramètres!$A$1:$I$89,5,0)</f>
        <v>1.3035332813160495E-13</v>
      </c>
      <c r="CV185" s="14">
        <f t="shared" si="173"/>
        <v>1.8987770485018903E-12</v>
      </c>
      <c r="CW185" s="22">
        <f t="shared" si="174"/>
        <v>3.5340687393033375E-12</v>
      </c>
      <c r="CX185" s="60">
        <f t="shared" si="122"/>
        <v>293.33333333333684</v>
      </c>
      <c r="CY185" s="60">
        <f ca="1">AVERAGE(OFFSET($CX$3,0,0,'Données projet'!$E$13+1,1))-AVERAGE(OFFSET($H$3,0,0,'Données projet'!$E$13+1,1))</f>
        <v>243.04319555814601</v>
      </c>
      <c r="CZ185" s="60">
        <f t="shared" si="150"/>
        <v>235.68746142880792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201.4732637505823</v>
      </c>
      <c r="DU185" s="60">
        <f t="shared" si="152"/>
        <v>342.06887933351783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0.32552591670963388</v>
      </c>
      <c r="EB185" s="23">
        <f>EXP(-LN(2)/25)*EB184+(1-EXP(-LN(2)/25))/(LN(2)/25)*Calculateur!DW185*Calculateur!DY185*VLOOKUP('Données projet'!$B$14,Paramètres!$A$1:$I$89,3,0)*0.475*44/12</f>
        <v>0.39086888915778972</v>
      </c>
      <c r="EC185" s="23">
        <f>EXP(-LN(2)/2)*EC184+(1-EXP(-LN(2)/2))/(LN(2)/2)*DW185*DZ185*VLOOKUP('Données projet'!$B$14,Paramètres!$A$1:$I$89,3,0)*0.475*44/12</f>
        <v>1.7730989713512929E-22</v>
      </c>
      <c r="ED185" s="24">
        <f t="shared" si="178"/>
        <v>0.71639480586742366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-2.0395418687257919E-13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260.01925143568263</v>
      </c>
      <c r="EP185" s="60">
        <f t="shared" si="154"/>
        <v>269.95358755269427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0.70033816913155056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0.70033816913155056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-9.2222762759774927E-14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256.19915261735281</v>
      </c>
      <c r="FK185" s="60">
        <f t="shared" si="156"/>
        <v>297.47246687305056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2.8421709430404007E-14</v>
      </c>
      <c r="GA185" s="18">
        <f>FZ185*VLOOKUP('Données projet'!$B$17,Paramètres!$A$1:$I$89,3,0)*VLOOKUP('Données projet'!$B$17,Paramètres!$A$1:$I$89,5,0)</f>
        <v>1.6257217794191094E-14</v>
      </c>
      <c r="GB185" s="14">
        <f t="shared" si="185"/>
        <v>3.0173973759155586E-13</v>
      </c>
      <c r="GC185" s="22">
        <f t="shared" si="186"/>
        <v>5.538446972968425E-13</v>
      </c>
      <c r="GD185" s="60">
        <f t="shared" si="134"/>
        <v>293.33333333333388</v>
      </c>
      <c r="GE185" s="60">
        <f ca="1">AVERAGE(OFFSET($GD$3,0,0,'Données projet'!$E$17+1,1))-AVERAGE(OFFSET($H$3,0,0,'Données projet'!$E$17+1,1))</f>
        <v>268.71641789629319</v>
      </c>
      <c r="GF185" s="60">
        <f t="shared" si="158"/>
        <v>199.94048514486104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3.1039504679712417E-2</v>
      </c>
      <c r="GN185" s="23">
        <f>EXP(-LN(2)/2)*GN184+(1-EXP(-LN(2)/2))/(LN(2)/2)*GH185*GK185*VLOOKUP('Données projet'!$B$17,Paramètres!$A$1:$I$89,3,0)*0.475*44/12</f>
        <v>9.2322822880416193E-23</v>
      </c>
      <c r="GO185" s="23">
        <f t="shared" si="187"/>
        <v>3.1039504679712417E-2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-2.8421709430404007E-13</v>
      </c>
      <c r="GV185" s="18">
        <f>GU185*VLOOKUP('Données projet'!$B$18,Paramètres!$A$1:$I$89,3,0)*VLOOKUP('Données projet'!$B$18,Paramètres!$A$1:$I$89,5,0)</f>
        <v>-1.69961822393816E-13</v>
      </c>
      <c r="GW185" s="14" t="e">
        <f t="shared" si="188"/>
        <v>#NUM!</v>
      </c>
      <c r="GX185" s="22" t="e">
        <f t="shared" si="189"/>
        <v>#NUM!</v>
      </c>
      <c r="GY185" s="60" t="e">
        <f t="shared" si="137"/>
        <v>#NUM!</v>
      </c>
      <c r="GZ185" s="60">
        <f ca="1">AVERAGE(OFFSET($GY$3,0,0,'Données projet'!$E$18+1,1))-AVERAGE(OFFSET($H$3,0,0,'Données projet'!$E$18+1,1))</f>
        <v>289.12367833861299</v>
      </c>
      <c r="HA185" s="60">
        <f t="shared" si="160"/>
        <v>229.06617320689003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5.4882905279959578E-23</v>
      </c>
      <c r="HJ185" s="24">
        <f t="shared" si="190"/>
        <v>5.4882905279959578E-23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-8.2291080616414541E-13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430.11660085503223</v>
      </c>
      <c r="T186" s="60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1.2710188457276673E-13</v>
      </c>
      <c r="AK186" s="14">
        <f t="shared" si="164"/>
        <v>1.856866851063998E-12</v>
      </c>
      <c r="AL186" s="22">
        <f t="shared" si="165"/>
        <v>3.4554122145673649E-12</v>
      </c>
      <c r="AM186" s="60">
        <f t="shared" si="113"/>
        <v>293.33333333333678</v>
      </c>
      <c r="AN186" s="60">
        <f ca="1">AVERAGE(OFFSET($AM$3,0,0,'Données projet'!$E$10+1,1))-AVERAGE(OFFSET($H$3,0,0,'Données projet'!$E$10+1,1))</f>
        <v>323.98185264074681</v>
      </c>
      <c r="AO186" s="60">
        <f t="shared" si="144"/>
        <v>301.22207291854005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0.21559053316863397</v>
      </c>
      <c r="AV186" s="23">
        <f>EXP(-LN(2)/25)*AV185+(1-EXP(-LN(2)/25))/(LN(2)/25)*Calculateur!AQ186*Calculateur!AS186*VLOOKUP('Données projet'!$B$10,Paramètres!$A$1:$I$89,3,0)*0.475*44/12</f>
        <v>0.11857911376134991</v>
      </c>
      <c r="AW186" s="23">
        <f>EXP(-LN(2)/2)*AW185+(1-EXP(-LN(2)/2))/(LN(2)/2)*AQ186*AT186*VLOOKUP('Données projet'!$B$10,Paramètres!$A$1:$I$89,3,0)*0.475*44/12</f>
        <v>5.6972623721594787E-23</v>
      </c>
      <c r="AX186" s="23">
        <f t="shared" si="166"/>
        <v>0.33416964692998385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-2.9262992029543969E-13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556.75475431848258</v>
      </c>
      <c r="BJ186" s="60">
        <f t="shared" si="146"/>
        <v>256.77417912163997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3.4106051316484809E-13</v>
      </c>
      <c r="BZ186" s="14">
        <f>BY186*VLOOKUP('Données projet'!$B$12,Paramètres!$A$1:$I$89,3,0)*VLOOKUP('Données projet'!$B$12,Paramètres!$A$1:$I$89,5,0)</f>
        <v>2.5006556825246659E-13</v>
      </c>
      <c r="CA186" s="14">
        <f t="shared" si="170"/>
        <v>3.3765445850268018E-12</v>
      </c>
      <c r="CB186" s="22">
        <f t="shared" si="171"/>
        <v>6.3163460169613921E-12</v>
      </c>
      <c r="CC186" s="60">
        <f t="shared" si="119"/>
        <v>293.33333333333962</v>
      </c>
      <c r="CD186" s="60">
        <f ca="1">AVERAGE(OFFSET($CC$3,0,0,'Données projet'!$E$12+1,1))-AVERAGE(OFFSET($H$3,0,0,'Données projet'!$E$12+1,1))</f>
        <v>290.68086183422963</v>
      </c>
      <c r="CE186" s="60">
        <f t="shared" si="148"/>
        <v>317.88330630101785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1.9895196601282805E-13</v>
      </c>
      <c r="CU186" s="18">
        <f>CT186*VLOOKUP('Données projet'!$B$13,Paramètres!$A$1:$I$89,3,0)*VLOOKUP('Données projet'!$B$13,Paramètres!$A$1:$I$89,5,0)</f>
        <v>1.3035332813160495E-13</v>
      </c>
      <c r="CV186" s="14">
        <f t="shared" si="173"/>
        <v>1.8987770485018903E-12</v>
      </c>
      <c r="CW186" s="22">
        <f t="shared" si="174"/>
        <v>3.5340687393033375E-12</v>
      </c>
      <c r="CX186" s="60">
        <f t="shared" si="122"/>
        <v>293.33333333333684</v>
      </c>
      <c r="CY186" s="60">
        <f ca="1">AVERAGE(OFFSET($CX$3,0,0,'Données projet'!$E$13+1,1))-AVERAGE(OFFSET($H$3,0,0,'Données projet'!$E$13+1,1))</f>
        <v>243.04319555814601</v>
      </c>
      <c r="CZ186" s="60">
        <f t="shared" si="150"/>
        <v>235.68746142880792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201.4732637505823</v>
      </c>
      <c r="DU186" s="60">
        <f t="shared" si="152"/>
        <v>342.06887933351783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0.31914255203416186</v>
      </c>
      <c r="EB186" s="23">
        <f>EXP(-LN(2)/25)*EB185+(1-EXP(-LN(2)/25))/(LN(2)/25)*Calculateur!DW186*Calculateur!DY186*VLOOKUP('Données projet'!$B$14,Paramètres!$A$1:$I$89,3,0)*0.475*44/12</f>
        <v>0.38018055882886842</v>
      </c>
      <c r="EC186" s="23">
        <f>EXP(-LN(2)/2)*EC185+(1-EXP(-LN(2)/2))/(LN(2)/2)*DW186*DZ186*VLOOKUP('Données projet'!$B$14,Paramètres!$A$1:$I$89,3,0)*0.475*44/12</f>
        <v>1.2537703063573911E-22</v>
      </c>
      <c r="ED186" s="24">
        <f t="shared" si="178"/>
        <v>0.69932311086303023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-2.0395418687257919E-13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260.01925143568263</v>
      </c>
      <c r="EP186" s="60">
        <f t="shared" si="154"/>
        <v>269.95358755269427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0.68660496479898503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0.68660496479898503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-9.2222762759774927E-14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256.19915261735281</v>
      </c>
      <c r="FK186" s="60">
        <f t="shared" si="156"/>
        <v>297.47246687305056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2.8421709430404007E-14</v>
      </c>
      <c r="GA186" s="18">
        <f>FZ186*VLOOKUP('Données projet'!$B$17,Paramètres!$A$1:$I$89,3,0)*VLOOKUP('Données projet'!$B$17,Paramètres!$A$1:$I$89,5,0)</f>
        <v>1.6257217794191094E-14</v>
      </c>
      <c r="GB186" s="14">
        <f t="shared" si="185"/>
        <v>3.0173973759155586E-13</v>
      </c>
      <c r="GC186" s="22">
        <f t="shared" si="186"/>
        <v>5.538446972968425E-13</v>
      </c>
      <c r="GD186" s="60">
        <f t="shared" si="134"/>
        <v>293.33333333333388</v>
      </c>
      <c r="GE186" s="60">
        <f ca="1">AVERAGE(OFFSET($GD$3,0,0,'Données projet'!$E$17+1,1))-AVERAGE(OFFSET($H$3,0,0,'Données projet'!$E$17+1,1))</f>
        <v>268.71641789629319</v>
      </c>
      <c r="GF186" s="60">
        <f t="shared" si="158"/>
        <v>199.94048514486104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3.0190727791949073E-2</v>
      </c>
      <c r="GN186" s="23">
        <f>EXP(-LN(2)/2)*GN185+(1-EXP(-LN(2)/2))/(LN(2)/2)*GH186*GK186*VLOOKUP('Données projet'!$B$17,Paramètres!$A$1:$I$89,3,0)*0.475*44/12</f>
        <v>6.5282094117026836E-23</v>
      </c>
      <c r="GO186" s="23">
        <f t="shared" si="187"/>
        <v>3.0190727791949073E-2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-2.8421709430404007E-13</v>
      </c>
      <c r="GV186" s="18">
        <f>GU186*VLOOKUP('Données projet'!$B$18,Paramètres!$A$1:$I$89,3,0)*VLOOKUP('Données projet'!$B$18,Paramètres!$A$1:$I$89,5,0)</f>
        <v>-1.69961822393816E-13</v>
      </c>
      <c r="GW186" s="14" t="e">
        <f t="shared" si="188"/>
        <v>#NUM!</v>
      </c>
      <c r="GX186" s="22" t="e">
        <f t="shared" si="189"/>
        <v>#NUM!</v>
      </c>
      <c r="GY186" s="60" t="e">
        <f t="shared" si="137"/>
        <v>#NUM!</v>
      </c>
      <c r="GZ186" s="60">
        <f ca="1">AVERAGE(OFFSET($GY$3,0,0,'Données projet'!$E$18+1,1))-AVERAGE(OFFSET($H$3,0,0,'Données projet'!$E$18+1,1))</f>
        <v>289.12367833861299</v>
      </c>
      <c r="HA186" s="60">
        <f t="shared" si="160"/>
        <v>229.06617320689003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3.8808074494678392E-23</v>
      </c>
      <c r="HJ186" s="24">
        <f t="shared" si="190"/>
        <v>3.8808074494678392E-23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-8.2291080616414541E-13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430.11660085503223</v>
      </c>
      <c r="T187" s="60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1.2710188457276673E-13</v>
      </c>
      <c r="AK187" s="14">
        <f t="shared" si="164"/>
        <v>1.856866851063998E-12</v>
      </c>
      <c r="AL187" s="22">
        <f t="shared" si="165"/>
        <v>3.4554122145673649E-12</v>
      </c>
      <c r="AM187" s="60">
        <f t="shared" si="113"/>
        <v>293.33333333333678</v>
      </c>
      <c r="AN187" s="60">
        <f ca="1">AVERAGE(OFFSET($AM$3,0,0,'Données projet'!$E$10+1,1))-AVERAGE(OFFSET($H$3,0,0,'Données projet'!$E$10+1,1))</f>
        <v>323.98185264074681</v>
      </c>
      <c r="AO187" s="60">
        <f t="shared" si="144"/>
        <v>301.22207291854005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0.21136293431043801</v>
      </c>
      <c r="AV187" s="23">
        <f>EXP(-LN(2)/25)*AV186+(1-EXP(-LN(2)/25))/(LN(2)/25)*Calculateur!AQ187*Calculateur!AS187*VLOOKUP('Données projet'!$B$10,Paramètres!$A$1:$I$89,3,0)*0.475*44/12</f>
        <v>0.11533656165974122</v>
      </c>
      <c r="AW187" s="23">
        <f>EXP(-LN(2)/2)*AW186+(1-EXP(-LN(2)/2))/(LN(2)/2)*AQ187*AT187*VLOOKUP('Données projet'!$B$10,Paramètres!$A$1:$I$89,3,0)*0.475*44/12</f>
        <v>4.0285728575529233E-23</v>
      </c>
      <c r="AX187" s="23">
        <f t="shared" si="166"/>
        <v>0.32669949597017922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-2.9262992029543969E-13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556.75475431848258</v>
      </c>
      <c r="BJ187" s="60">
        <f t="shared" si="146"/>
        <v>256.77417912163997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3.4106051316484809E-13</v>
      </c>
      <c r="BZ187" s="14">
        <f>BY187*VLOOKUP('Données projet'!$B$12,Paramètres!$A$1:$I$89,3,0)*VLOOKUP('Données projet'!$B$12,Paramètres!$A$1:$I$89,5,0)</f>
        <v>2.5006556825246659E-13</v>
      </c>
      <c r="CA187" s="14">
        <f t="shared" si="170"/>
        <v>3.3765445850268018E-12</v>
      </c>
      <c r="CB187" s="22">
        <f t="shared" si="171"/>
        <v>6.3163460169613921E-12</v>
      </c>
      <c r="CC187" s="60">
        <f t="shared" si="119"/>
        <v>293.33333333333962</v>
      </c>
      <c r="CD187" s="60">
        <f ca="1">AVERAGE(OFFSET($CC$3,0,0,'Données projet'!$E$12+1,1))-AVERAGE(OFFSET($H$3,0,0,'Données projet'!$E$12+1,1))</f>
        <v>290.68086183422963</v>
      </c>
      <c r="CE187" s="60">
        <f t="shared" si="148"/>
        <v>317.88330630101785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1.9895196601282805E-13</v>
      </c>
      <c r="CU187" s="18">
        <f>CT187*VLOOKUP('Données projet'!$B$13,Paramètres!$A$1:$I$89,3,0)*VLOOKUP('Données projet'!$B$13,Paramètres!$A$1:$I$89,5,0)</f>
        <v>1.3035332813160495E-13</v>
      </c>
      <c r="CV187" s="14">
        <f t="shared" si="173"/>
        <v>1.8987770485018903E-12</v>
      </c>
      <c r="CW187" s="22">
        <f t="shared" si="174"/>
        <v>3.5340687393033375E-12</v>
      </c>
      <c r="CX187" s="60">
        <f t="shared" si="122"/>
        <v>293.33333333333684</v>
      </c>
      <c r="CY187" s="60">
        <f ca="1">AVERAGE(OFFSET($CX$3,0,0,'Données projet'!$E$13+1,1))-AVERAGE(OFFSET($H$3,0,0,'Données projet'!$E$13+1,1))</f>
        <v>243.04319555814601</v>
      </c>
      <c r="CZ187" s="60">
        <f t="shared" si="150"/>
        <v>235.68746142880792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201.4732637505823</v>
      </c>
      <c r="DU187" s="60">
        <f t="shared" si="152"/>
        <v>342.06887933351783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0.31288436124650781</v>
      </c>
      <c r="EB187" s="23">
        <f>EXP(-LN(2)/25)*EB186+(1-EXP(-LN(2)/25))/(LN(2)/25)*Calculateur!DW187*Calculateur!DY187*VLOOKUP('Données projet'!$B$14,Paramètres!$A$1:$I$89,3,0)*0.475*44/12</f>
        <v>0.36978450145486635</v>
      </c>
      <c r="EC187" s="23">
        <f>EXP(-LN(2)/2)*EC186+(1-EXP(-LN(2)/2))/(LN(2)/2)*DW187*DZ187*VLOOKUP('Données projet'!$B$14,Paramètres!$A$1:$I$89,3,0)*0.475*44/12</f>
        <v>8.8654948567564644E-23</v>
      </c>
      <c r="ED187" s="24">
        <f t="shared" si="178"/>
        <v>0.68266886270137417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-2.0395418687257919E-13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260.01925143568263</v>
      </c>
      <c r="EP187" s="60">
        <f t="shared" si="154"/>
        <v>269.95358755269427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0.67314106022695364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0.67314106022695364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-9.2222762759774927E-14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256.19915261735281</v>
      </c>
      <c r="FK187" s="60">
        <f t="shared" si="156"/>
        <v>297.47246687305056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2.8421709430404007E-14</v>
      </c>
      <c r="GA187" s="18">
        <f>FZ187*VLOOKUP('Données projet'!$B$17,Paramètres!$A$1:$I$89,3,0)*VLOOKUP('Données projet'!$B$17,Paramètres!$A$1:$I$89,5,0)</f>
        <v>1.6257217794191094E-14</v>
      </c>
      <c r="GB187" s="14">
        <f t="shared" si="185"/>
        <v>3.0173973759155586E-13</v>
      </c>
      <c r="GC187" s="22">
        <f t="shared" si="186"/>
        <v>5.538446972968425E-13</v>
      </c>
      <c r="GD187" s="60">
        <f t="shared" si="134"/>
        <v>293.33333333333388</v>
      </c>
      <c r="GE187" s="60">
        <f ca="1">AVERAGE(OFFSET($GD$3,0,0,'Données projet'!$E$17+1,1))-AVERAGE(OFFSET($H$3,0,0,'Données projet'!$E$17+1,1))</f>
        <v>268.71641789629319</v>
      </c>
      <c r="GF187" s="60">
        <f t="shared" si="158"/>
        <v>199.94048514486104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2.9365160752816852E-2</v>
      </c>
      <c r="GN187" s="23">
        <f>EXP(-LN(2)/2)*GN186+(1-EXP(-LN(2)/2))/(LN(2)/2)*GH187*GK187*VLOOKUP('Données projet'!$B$17,Paramètres!$A$1:$I$89,3,0)*0.475*44/12</f>
        <v>4.6161411440208097E-23</v>
      </c>
      <c r="GO187" s="23">
        <f t="shared" si="187"/>
        <v>2.9365160752816852E-2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-2.8421709430404007E-13</v>
      </c>
      <c r="GV187" s="18">
        <f>GU187*VLOOKUP('Données projet'!$B$18,Paramètres!$A$1:$I$89,3,0)*VLOOKUP('Données projet'!$B$18,Paramètres!$A$1:$I$89,5,0)</f>
        <v>-1.69961822393816E-13</v>
      </c>
      <c r="GW187" s="14" t="e">
        <f t="shared" si="188"/>
        <v>#NUM!</v>
      </c>
      <c r="GX187" s="22" t="e">
        <f t="shared" si="189"/>
        <v>#NUM!</v>
      </c>
      <c r="GY187" s="60" t="e">
        <f t="shared" si="137"/>
        <v>#NUM!</v>
      </c>
      <c r="GZ187" s="60">
        <f ca="1">AVERAGE(OFFSET($GY$3,0,0,'Données projet'!$E$18+1,1))-AVERAGE(OFFSET($H$3,0,0,'Données projet'!$E$18+1,1))</f>
        <v>289.12367833861299</v>
      </c>
      <c r="HA187" s="60">
        <f t="shared" si="160"/>
        <v>229.06617320689003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2.7441452639979789E-23</v>
      </c>
      <c r="HJ187" s="24">
        <f t="shared" si="190"/>
        <v>2.7441452639979789E-23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-8.2291080616414541E-13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430.11660085503223</v>
      </c>
      <c r="T188" s="60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1.2710188457276673E-13</v>
      </c>
      <c r="AK188" s="14">
        <f t="shared" si="164"/>
        <v>1.856866851063998E-12</v>
      </c>
      <c r="AL188" s="22">
        <f t="shared" si="165"/>
        <v>3.4554122145673649E-12</v>
      </c>
      <c r="AM188" s="60">
        <f t="shared" si="113"/>
        <v>293.33333333333678</v>
      </c>
      <c r="AN188" s="60">
        <f ca="1">AVERAGE(OFFSET($AM$3,0,0,'Données projet'!$E$10+1,1))-AVERAGE(OFFSET($H$3,0,0,'Données projet'!$E$10+1,1))</f>
        <v>323.98185264074681</v>
      </c>
      <c r="AO188" s="60">
        <f t="shared" si="144"/>
        <v>301.22207291854005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0.20721823608727058</v>
      </c>
      <c r="AV188" s="23">
        <f>EXP(-LN(2)/25)*AV187+(1-EXP(-LN(2)/25))/(LN(2)/25)*Calculateur!AQ188*Calculateur!AS188*VLOOKUP('Données projet'!$B$10,Paramètres!$A$1:$I$89,3,0)*0.475*44/12</f>
        <v>0.11218267731586942</v>
      </c>
      <c r="AW188" s="23">
        <f>EXP(-LN(2)/2)*AW187+(1-EXP(-LN(2)/2))/(LN(2)/2)*AQ188*AT188*VLOOKUP('Données projet'!$B$10,Paramètres!$A$1:$I$89,3,0)*0.475*44/12</f>
        <v>2.8486311860797394E-23</v>
      </c>
      <c r="AX188" s="23">
        <f t="shared" si="166"/>
        <v>0.31940091340314003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-2.9262992029543969E-13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556.75475431848258</v>
      </c>
      <c r="BJ188" s="60">
        <f t="shared" si="146"/>
        <v>256.77417912163997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3.4106051316484809E-13</v>
      </c>
      <c r="BZ188" s="14">
        <f>BY188*VLOOKUP('Données projet'!$B$12,Paramètres!$A$1:$I$89,3,0)*VLOOKUP('Données projet'!$B$12,Paramètres!$A$1:$I$89,5,0)</f>
        <v>2.5006556825246659E-13</v>
      </c>
      <c r="CA188" s="14">
        <f t="shared" si="170"/>
        <v>3.3765445850268018E-12</v>
      </c>
      <c r="CB188" s="22">
        <f t="shared" si="171"/>
        <v>6.3163460169613921E-12</v>
      </c>
      <c r="CC188" s="60">
        <f t="shared" si="119"/>
        <v>293.33333333333962</v>
      </c>
      <c r="CD188" s="60">
        <f ca="1">AVERAGE(OFFSET($CC$3,0,0,'Données projet'!$E$12+1,1))-AVERAGE(OFFSET($H$3,0,0,'Données projet'!$E$12+1,1))</f>
        <v>290.68086183422963</v>
      </c>
      <c r="CE188" s="60">
        <f t="shared" si="148"/>
        <v>317.88330630101785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1.9895196601282805E-13</v>
      </c>
      <c r="CU188" s="18">
        <f>CT188*VLOOKUP('Données projet'!$B$13,Paramètres!$A$1:$I$89,3,0)*VLOOKUP('Données projet'!$B$13,Paramètres!$A$1:$I$89,5,0)</f>
        <v>1.3035332813160495E-13</v>
      </c>
      <c r="CV188" s="14">
        <f t="shared" si="173"/>
        <v>1.8987770485018903E-12</v>
      </c>
      <c r="CW188" s="22">
        <f t="shared" si="174"/>
        <v>3.5340687393033375E-12</v>
      </c>
      <c r="CX188" s="60">
        <f t="shared" si="122"/>
        <v>293.33333333333684</v>
      </c>
      <c r="CY188" s="60">
        <f ca="1">AVERAGE(OFFSET($CX$3,0,0,'Données projet'!$E$13+1,1))-AVERAGE(OFFSET($H$3,0,0,'Données projet'!$E$13+1,1))</f>
        <v>243.04319555814601</v>
      </c>
      <c r="CZ188" s="60">
        <f t="shared" si="150"/>
        <v>235.68746142880792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201.4732637505823</v>
      </c>
      <c r="DU188" s="60">
        <f t="shared" si="152"/>
        <v>342.06887933351783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0.30674888976308023</v>
      </c>
      <c r="EB188" s="23">
        <f>EXP(-LN(2)/25)*EB187+(1-EXP(-LN(2)/25))/(LN(2)/25)*Calculateur!DW188*Calculateur!DY188*VLOOKUP('Données projet'!$B$14,Paramètres!$A$1:$I$89,3,0)*0.475*44/12</f>
        <v>0.35967272481646123</v>
      </c>
      <c r="EC188" s="23">
        <f>EXP(-LN(2)/2)*EC187+(1-EXP(-LN(2)/2))/(LN(2)/2)*DW188*DZ188*VLOOKUP('Données projet'!$B$14,Paramètres!$A$1:$I$89,3,0)*0.475*44/12</f>
        <v>6.2688515317869557E-23</v>
      </c>
      <c r="ED188" s="24">
        <f t="shared" si="178"/>
        <v>0.66642161457954141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-2.0395418687257919E-13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260.01925143568263</v>
      </c>
      <c r="EP188" s="60">
        <f t="shared" si="154"/>
        <v>269.95358755269427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0.65994117461140889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0.65994117461140889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-9.2222762759774927E-14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256.19915261735281</v>
      </c>
      <c r="FK188" s="60">
        <f t="shared" si="156"/>
        <v>297.47246687305056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2.8421709430404007E-14</v>
      </c>
      <c r="GA188" s="18">
        <f>FZ188*VLOOKUP('Données projet'!$B$17,Paramètres!$A$1:$I$89,3,0)*VLOOKUP('Données projet'!$B$17,Paramètres!$A$1:$I$89,5,0)</f>
        <v>1.6257217794191094E-14</v>
      </c>
      <c r="GB188" s="14">
        <f t="shared" si="185"/>
        <v>3.0173973759155586E-13</v>
      </c>
      <c r="GC188" s="22">
        <f t="shared" si="186"/>
        <v>5.538446972968425E-13</v>
      </c>
      <c r="GD188" s="60">
        <f t="shared" si="134"/>
        <v>293.33333333333388</v>
      </c>
      <c r="GE188" s="60">
        <f ca="1">AVERAGE(OFFSET($GD$3,0,0,'Données projet'!$E$17+1,1))-AVERAGE(OFFSET($H$3,0,0,'Données projet'!$E$17+1,1))</f>
        <v>268.71641789629319</v>
      </c>
      <c r="GF188" s="60">
        <f t="shared" si="158"/>
        <v>199.94048514486104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2.8562168887784387E-2</v>
      </c>
      <c r="GN188" s="23">
        <f>EXP(-LN(2)/2)*GN187+(1-EXP(-LN(2)/2))/(LN(2)/2)*GH188*GK188*VLOOKUP('Données projet'!$B$17,Paramètres!$A$1:$I$89,3,0)*0.475*44/12</f>
        <v>3.2641047058513418E-23</v>
      </c>
      <c r="GO188" s="23">
        <f t="shared" si="187"/>
        <v>2.8562168887784387E-2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-2.8421709430404007E-13</v>
      </c>
      <c r="GV188" s="18">
        <f>GU188*VLOOKUP('Données projet'!$B$18,Paramètres!$A$1:$I$89,3,0)*VLOOKUP('Données projet'!$B$18,Paramètres!$A$1:$I$89,5,0)</f>
        <v>-1.69961822393816E-13</v>
      </c>
      <c r="GW188" s="14" t="e">
        <f t="shared" si="188"/>
        <v>#NUM!</v>
      </c>
      <c r="GX188" s="22" t="e">
        <f t="shared" si="189"/>
        <v>#NUM!</v>
      </c>
      <c r="GY188" s="60" t="e">
        <f t="shared" si="137"/>
        <v>#NUM!</v>
      </c>
      <c r="GZ188" s="60">
        <f ca="1">AVERAGE(OFFSET($GY$3,0,0,'Données projet'!$E$18+1,1))-AVERAGE(OFFSET($H$3,0,0,'Données projet'!$E$18+1,1))</f>
        <v>289.12367833861299</v>
      </c>
      <c r="HA188" s="60">
        <f t="shared" si="160"/>
        <v>229.06617320689003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1.9404037247339196E-23</v>
      </c>
      <c r="HJ188" s="24">
        <f t="shared" si="190"/>
        <v>1.9404037247339196E-23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-8.2291080616414541E-13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430.11660085503223</v>
      </c>
      <c r="T189" s="60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1.2710188457276673E-13</v>
      </c>
      <c r="AK189" s="14">
        <f t="shared" si="164"/>
        <v>1.856866851063998E-12</v>
      </c>
      <c r="AL189" s="22">
        <f t="shared" si="165"/>
        <v>3.4554122145673649E-12</v>
      </c>
      <c r="AM189" s="60">
        <f t="shared" si="113"/>
        <v>293.33333333333678</v>
      </c>
      <c r="AN189" s="60">
        <f ca="1">AVERAGE(OFFSET($AM$3,0,0,'Données projet'!$E$10+1,1))-AVERAGE(OFFSET($H$3,0,0,'Données projet'!$E$10+1,1))</f>
        <v>323.98185264074681</v>
      </c>
      <c r="AO189" s="60">
        <f t="shared" si="144"/>
        <v>301.22207291854005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0.20315481286824319</v>
      </c>
      <c r="AV189" s="23">
        <f>EXP(-LN(2)/25)*AV188+(1-EXP(-LN(2)/25))/(LN(2)/25)*Calculateur!AQ189*Calculateur!AS189*VLOOKUP('Données projet'!$B$10,Paramètres!$A$1:$I$89,3,0)*0.475*44/12</f>
        <v>0.10911503610523637</v>
      </c>
      <c r="AW189" s="23">
        <f>EXP(-LN(2)/2)*AW188+(1-EXP(-LN(2)/2))/(LN(2)/2)*AQ189*AT189*VLOOKUP('Données projet'!$B$10,Paramètres!$A$1:$I$89,3,0)*0.475*44/12</f>
        <v>2.0142864287764616E-23</v>
      </c>
      <c r="AX189" s="23">
        <f t="shared" si="166"/>
        <v>0.31226984897347954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-2.9262992029543969E-13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556.75475431848258</v>
      </c>
      <c r="BJ189" s="60">
        <f t="shared" si="146"/>
        <v>256.77417912163997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3.4106051316484809E-13</v>
      </c>
      <c r="BZ189" s="14">
        <f>BY189*VLOOKUP('Données projet'!$B$12,Paramètres!$A$1:$I$89,3,0)*VLOOKUP('Données projet'!$B$12,Paramètres!$A$1:$I$89,5,0)</f>
        <v>2.5006556825246659E-13</v>
      </c>
      <c r="CA189" s="14">
        <f t="shared" si="170"/>
        <v>3.3765445850268018E-12</v>
      </c>
      <c r="CB189" s="22">
        <f t="shared" si="171"/>
        <v>6.3163460169613921E-12</v>
      </c>
      <c r="CC189" s="60">
        <f t="shared" si="119"/>
        <v>293.33333333333962</v>
      </c>
      <c r="CD189" s="60">
        <f ca="1">AVERAGE(OFFSET($CC$3,0,0,'Données projet'!$E$12+1,1))-AVERAGE(OFFSET($H$3,0,0,'Données projet'!$E$12+1,1))</f>
        <v>290.68086183422963</v>
      </c>
      <c r="CE189" s="60">
        <f t="shared" si="148"/>
        <v>317.88330630101785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1.9895196601282805E-13</v>
      </c>
      <c r="CU189" s="18">
        <f>CT189*VLOOKUP('Données projet'!$B$13,Paramètres!$A$1:$I$89,3,0)*VLOOKUP('Données projet'!$B$13,Paramètres!$A$1:$I$89,5,0)</f>
        <v>1.3035332813160495E-13</v>
      </c>
      <c r="CV189" s="14">
        <f t="shared" si="173"/>
        <v>1.8987770485018903E-12</v>
      </c>
      <c r="CW189" s="22">
        <f t="shared" si="174"/>
        <v>3.5340687393033375E-12</v>
      </c>
      <c r="CX189" s="60">
        <f t="shared" si="122"/>
        <v>293.33333333333684</v>
      </c>
      <c r="CY189" s="60">
        <f ca="1">AVERAGE(OFFSET($CX$3,0,0,'Données projet'!$E$13+1,1))-AVERAGE(OFFSET($H$3,0,0,'Données projet'!$E$13+1,1))</f>
        <v>243.04319555814601</v>
      </c>
      <c r="CZ189" s="60">
        <f t="shared" si="150"/>
        <v>235.68746142880792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201.4732637505823</v>
      </c>
      <c r="DU189" s="60">
        <f t="shared" si="152"/>
        <v>342.06887933351783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0.30073373113317459</v>
      </c>
      <c r="EB189" s="23">
        <f>EXP(-LN(2)/25)*EB188+(1-EXP(-LN(2)/25))/(LN(2)/25)*Calculateur!DW189*Calculateur!DY189*VLOOKUP('Données projet'!$B$14,Paramètres!$A$1:$I$89,3,0)*0.475*44/12</f>
        <v>0.34983745524198856</v>
      </c>
      <c r="EC189" s="23">
        <f>EXP(-LN(2)/2)*EC188+(1-EXP(-LN(2)/2))/(LN(2)/2)*DW189*DZ189*VLOOKUP('Données projet'!$B$14,Paramètres!$A$1:$I$89,3,0)*0.475*44/12</f>
        <v>4.4327474283782322E-23</v>
      </c>
      <c r="ED189" s="24">
        <f t="shared" si="178"/>
        <v>0.65057118637516309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-2.0395418687257919E-13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260.01925143568263</v>
      </c>
      <c r="EP189" s="60">
        <f t="shared" si="154"/>
        <v>269.95358755269427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0.64700013070164974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0.64700013070164974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-9.2222762759774927E-14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256.19915261735281</v>
      </c>
      <c r="FK189" s="60">
        <f t="shared" si="156"/>
        <v>297.47246687305056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2.8421709430404007E-14</v>
      </c>
      <c r="GA189" s="18">
        <f>FZ189*VLOOKUP('Données projet'!$B$17,Paramètres!$A$1:$I$89,3,0)*VLOOKUP('Données projet'!$B$17,Paramètres!$A$1:$I$89,5,0)</f>
        <v>1.6257217794191094E-14</v>
      </c>
      <c r="GB189" s="14">
        <f t="shared" si="185"/>
        <v>3.0173973759155586E-13</v>
      </c>
      <c r="GC189" s="22">
        <f t="shared" si="186"/>
        <v>5.538446972968425E-13</v>
      </c>
      <c r="GD189" s="60">
        <f t="shared" si="134"/>
        <v>293.33333333333388</v>
      </c>
      <c r="GE189" s="60">
        <f ca="1">AVERAGE(OFFSET($GD$3,0,0,'Données projet'!$E$17+1,1))-AVERAGE(OFFSET($H$3,0,0,'Données projet'!$E$17+1,1))</f>
        <v>268.71641789629319</v>
      </c>
      <c r="GF189" s="60">
        <f t="shared" si="158"/>
        <v>199.94048514486104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2.778113487752874E-2</v>
      </c>
      <c r="GN189" s="23">
        <f>EXP(-LN(2)/2)*GN188+(1-EXP(-LN(2)/2))/(LN(2)/2)*GH189*GK189*VLOOKUP('Données projet'!$B$17,Paramètres!$A$1:$I$89,3,0)*0.475*44/12</f>
        <v>2.3080705720104048E-23</v>
      </c>
      <c r="GO189" s="23">
        <f t="shared" si="187"/>
        <v>2.778113487752874E-2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-2.8421709430404007E-13</v>
      </c>
      <c r="GV189" s="18">
        <f>GU189*VLOOKUP('Données projet'!$B$18,Paramètres!$A$1:$I$89,3,0)*VLOOKUP('Données projet'!$B$18,Paramètres!$A$1:$I$89,5,0)</f>
        <v>-1.69961822393816E-13</v>
      </c>
      <c r="GW189" s="14" t="e">
        <f t="shared" si="188"/>
        <v>#NUM!</v>
      </c>
      <c r="GX189" s="22" t="e">
        <f t="shared" si="189"/>
        <v>#NUM!</v>
      </c>
      <c r="GY189" s="60" t="e">
        <f t="shared" si="137"/>
        <v>#NUM!</v>
      </c>
      <c r="GZ189" s="60">
        <f ca="1">AVERAGE(OFFSET($GY$3,0,0,'Données projet'!$E$18+1,1))-AVERAGE(OFFSET($H$3,0,0,'Données projet'!$E$18+1,1))</f>
        <v>289.12367833861299</v>
      </c>
      <c r="HA189" s="60">
        <f t="shared" si="160"/>
        <v>229.06617320689003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1.3720726319989894E-23</v>
      </c>
      <c r="HJ189" s="24">
        <f t="shared" si="190"/>
        <v>1.3720726319989894E-23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-8.2291080616414541E-13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430.11660085503223</v>
      </c>
      <c r="T190" s="60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1.2710188457276673E-13</v>
      </c>
      <c r="AK190" s="14">
        <f t="shared" si="164"/>
        <v>1.856866851063998E-12</v>
      </c>
      <c r="AL190" s="22">
        <f t="shared" si="165"/>
        <v>3.4554122145673649E-12</v>
      </c>
      <c r="AM190" s="60">
        <f t="shared" si="113"/>
        <v>293.33333333333678</v>
      </c>
      <c r="AN190" s="60">
        <f ca="1">AVERAGE(OFFSET($AM$3,0,0,'Données projet'!$E$10+1,1))-AVERAGE(OFFSET($H$3,0,0,'Données projet'!$E$10+1,1))</f>
        <v>323.98185264074681</v>
      </c>
      <c r="AO190" s="60">
        <f t="shared" si="144"/>
        <v>301.22207291854005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0.19917107090009747</v>
      </c>
      <c r="AV190" s="23">
        <f>EXP(-LN(2)/25)*AV189+(1-EXP(-LN(2)/25))/(LN(2)/25)*Calculateur!AQ190*Calculateur!AS190*VLOOKUP('Données projet'!$B$10,Paramètres!$A$1:$I$89,3,0)*0.475*44/12</f>
        <v>0.10613127970482832</v>
      </c>
      <c r="AW190" s="23">
        <f>EXP(-LN(2)/2)*AW189+(1-EXP(-LN(2)/2))/(LN(2)/2)*AQ190*AT190*VLOOKUP('Données projet'!$B$10,Paramètres!$A$1:$I$89,3,0)*0.475*44/12</f>
        <v>1.4243155930398697E-23</v>
      </c>
      <c r="AX190" s="23">
        <f t="shared" si="166"/>
        <v>0.30530235060492578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-2.9262992029543969E-13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556.75475431848258</v>
      </c>
      <c r="BJ190" s="60">
        <f t="shared" si="146"/>
        <v>256.77417912163997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3.4106051316484809E-13</v>
      </c>
      <c r="BZ190" s="14">
        <f>BY190*VLOOKUP('Données projet'!$B$12,Paramètres!$A$1:$I$89,3,0)*VLOOKUP('Données projet'!$B$12,Paramètres!$A$1:$I$89,5,0)</f>
        <v>2.5006556825246659E-13</v>
      </c>
      <c r="CA190" s="14">
        <f t="shared" si="170"/>
        <v>3.3765445850268018E-12</v>
      </c>
      <c r="CB190" s="22">
        <f t="shared" si="171"/>
        <v>6.3163460169613921E-12</v>
      </c>
      <c r="CC190" s="60">
        <f t="shared" si="119"/>
        <v>293.33333333333962</v>
      </c>
      <c r="CD190" s="60">
        <f ca="1">AVERAGE(OFFSET($CC$3,0,0,'Données projet'!$E$12+1,1))-AVERAGE(OFFSET($H$3,0,0,'Données projet'!$E$12+1,1))</f>
        <v>290.68086183422963</v>
      </c>
      <c r="CE190" s="60">
        <f t="shared" si="148"/>
        <v>317.88330630101785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1.9895196601282805E-13</v>
      </c>
      <c r="CU190" s="18">
        <f>CT190*VLOOKUP('Données projet'!$B$13,Paramètres!$A$1:$I$89,3,0)*VLOOKUP('Données projet'!$B$13,Paramètres!$A$1:$I$89,5,0)</f>
        <v>1.3035332813160495E-13</v>
      </c>
      <c r="CV190" s="14">
        <f t="shared" si="173"/>
        <v>1.8987770485018903E-12</v>
      </c>
      <c r="CW190" s="22">
        <f t="shared" si="174"/>
        <v>3.5340687393033375E-12</v>
      </c>
      <c r="CX190" s="60">
        <f t="shared" si="122"/>
        <v>293.33333333333684</v>
      </c>
      <c r="CY190" s="60">
        <f ca="1">AVERAGE(OFFSET($CX$3,0,0,'Données projet'!$E$13+1,1))-AVERAGE(OFFSET($H$3,0,0,'Données projet'!$E$13+1,1))</f>
        <v>243.04319555814601</v>
      </c>
      <c r="CZ190" s="60">
        <f t="shared" si="150"/>
        <v>235.68746142880792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201.4732637505823</v>
      </c>
      <c r="DU190" s="60">
        <f t="shared" si="152"/>
        <v>342.06887933351783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0.29483652609511685</v>
      </c>
      <c r="EB190" s="23">
        <f>EXP(-LN(2)/25)*EB189+(1-EXP(-LN(2)/25))/(LN(2)/25)*Calculateur!DW190*Calculateur!DY190*VLOOKUP('Données projet'!$B$14,Paramètres!$A$1:$I$89,3,0)*0.475*44/12</f>
        <v>0.34027113163124417</v>
      </c>
      <c r="EC190" s="23">
        <f>EXP(-LN(2)/2)*EC189+(1-EXP(-LN(2)/2))/(LN(2)/2)*DW190*DZ190*VLOOKUP('Données projet'!$B$14,Paramètres!$A$1:$I$89,3,0)*0.475*44/12</f>
        <v>3.1344257658934779E-23</v>
      </c>
      <c r="ED190" s="24">
        <f t="shared" si="178"/>
        <v>0.63510765772636102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-2.0395418687257919E-13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260.01925143568263</v>
      </c>
      <c r="EP190" s="60">
        <f t="shared" si="154"/>
        <v>269.95358755269427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0.63431285276970351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0.63431285276970351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-9.2222762759774927E-14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256.19915261735281</v>
      </c>
      <c r="FK190" s="60">
        <f t="shared" si="156"/>
        <v>297.47246687305056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2.8421709430404007E-14</v>
      </c>
      <c r="GA190" s="18">
        <f>FZ190*VLOOKUP('Données projet'!$B$17,Paramètres!$A$1:$I$89,3,0)*VLOOKUP('Données projet'!$B$17,Paramètres!$A$1:$I$89,5,0)</f>
        <v>1.6257217794191094E-14</v>
      </c>
      <c r="GB190" s="14">
        <f t="shared" si="185"/>
        <v>3.0173973759155586E-13</v>
      </c>
      <c r="GC190" s="22">
        <f t="shared" si="186"/>
        <v>5.538446972968425E-13</v>
      </c>
      <c r="GD190" s="60">
        <f t="shared" si="134"/>
        <v>293.33333333333388</v>
      </c>
      <c r="GE190" s="60">
        <f ca="1">AVERAGE(OFFSET($GD$3,0,0,'Données projet'!$E$17+1,1))-AVERAGE(OFFSET($H$3,0,0,'Données projet'!$E$17+1,1))</f>
        <v>268.71641789629319</v>
      </c>
      <c r="GF190" s="60">
        <f t="shared" si="158"/>
        <v>199.94048514486104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2.7021458283356326E-2</v>
      </c>
      <c r="GN190" s="23">
        <f>EXP(-LN(2)/2)*GN189+(1-EXP(-LN(2)/2))/(LN(2)/2)*GH190*GK190*VLOOKUP('Données projet'!$B$17,Paramètres!$A$1:$I$89,3,0)*0.475*44/12</f>
        <v>1.6320523529256709E-23</v>
      </c>
      <c r="GO190" s="23">
        <f t="shared" si="187"/>
        <v>2.7021458283356326E-2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-2.8421709430404007E-13</v>
      </c>
      <c r="GV190" s="18">
        <f>GU190*VLOOKUP('Données projet'!$B$18,Paramètres!$A$1:$I$89,3,0)*VLOOKUP('Données projet'!$B$18,Paramètres!$A$1:$I$89,5,0)</f>
        <v>-1.69961822393816E-13</v>
      </c>
      <c r="GW190" s="14" t="e">
        <f t="shared" si="188"/>
        <v>#NUM!</v>
      </c>
      <c r="GX190" s="22" t="e">
        <f t="shared" si="189"/>
        <v>#NUM!</v>
      </c>
      <c r="GY190" s="60" t="e">
        <f t="shared" si="137"/>
        <v>#NUM!</v>
      </c>
      <c r="GZ190" s="60">
        <f ca="1">AVERAGE(OFFSET($GY$3,0,0,'Données projet'!$E$18+1,1))-AVERAGE(OFFSET($H$3,0,0,'Données projet'!$E$18+1,1))</f>
        <v>289.12367833861299</v>
      </c>
      <c r="HA190" s="60">
        <f t="shared" si="160"/>
        <v>229.06617320689003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9.7020186236695979E-24</v>
      </c>
      <c r="HJ190" s="24">
        <f t="shared" si="190"/>
        <v>9.7020186236695979E-24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-8.2291080616414541E-13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430.11660085503223</v>
      </c>
      <c r="T191" s="60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1.2710188457276673E-13</v>
      </c>
      <c r="AK191" s="14">
        <f t="shared" si="164"/>
        <v>1.856866851063998E-12</v>
      </c>
      <c r="AL191" s="22">
        <f t="shared" si="165"/>
        <v>3.4554122145673649E-12</v>
      </c>
      <c r="AM191" s="60">
        <f t="shared" si="113"/>
        <v>293.33333333333678</v>
      </c>
      <c r="AN191" s="60">
        <f ca="1">AVERAGE(OFFSET($AM$3,0,0,'Données projet'!$E$10+1,1))-AVERAGE(OFFSET($H$3,0,0,'Données projet'!$E$10+1,1))</f>
        <v>323.98185264074681</v>
      </c>
      <c r="AO191" s="60">
        <f t="shared" si="144"/>
        <v>301.22207291854005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0.19526544768210444</v>
      </c>
      <c r="AV191" s="23">
        <f>EXP(-LN(2)/25)*AV190+(1-EXP(-LN(2)/25))/(LN(2)/25)*Calculateur!AQ191*Calculateur!AS191*VLOOKUP('Données projet'!$B$10,Paramètres!$A$1:$I$89,3,0)*0.475*44/12</f>
        <v>0.10322911428009836</v>
      </c>
      <c r="AW191" s="23">
        <f>EXP(-LN(2)/2)*AW190+(1-EXP(-LN(2)/2))/(LN(2)/2)*AQ191*AT191*VLOOKUP('Données projet'!$B$10,Paramètres!$A$1:$I$89,3,0)*0.475*44/12</f>
        <v>1.0071432143882308E-23</v>
      </c>
      <c r="AX191" s="23">
        <f t="shared" si="166"/>
        <v>0.29849456196220281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-2.9262992029543969E-13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556.75475431848258</v>
      </c>
      <c r="BJ191" s="60">
        <f t="shared" si="146"/>
        <v>256.77417912163997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3.4106051316484809E-13</v>
      </c>
      <c r="BZ191" s="14">
        <f>BY191*VLOOKUP('Données projet'!$B$12,Paramètres!$A$1:$I$89,3,0)*VLOOKUP('Données projet'!$B$12,Paramètres!$A$1:$I$89,5,0)</f>
        <v>2.5006556825246659E-13</v>
      </c>
      <c r="CA191" s="14">
        <f t="shared" si="170"/>
        <v>3.3765445850268018E-12</v>
      </c>
      <c r="CB191" s="22">
        <f t="shared" si="171"/>
        <v>6.3163460169613921E-12</v>
      </c>
      <c r="CC191" s="60">
        <f t="shared" si="119"/>
        <v>293.33333333333962</v>
      </c>
      <c r="CD191" s="60">
        <f ca="1">AVERAGE(OFFSET($CC$3,0,0,'Données projet'!$E$12+1,1))-AVERAGE(OFFSET($H$3,0,0,'Données projet'!$E$12+1,1))</f>
        <v>290.68086183422963</v>
      </c>
      <c r="CE191" s="60">
        <f t="shared" si="148"/>
        <v>317.88330630101785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1.9895196601282805E-13</v>
      </c>
      <c r="CU191" s="18">
        <f>CT191*VLOOKUP('Données projet'!$B$13,Paramètres!$A$1:$I$89,3,0)*VLOOKUP('Données projet'!$B$13,Paramètres!$A$1:$I$89,5,0)</f>
        <v>1.3035332813160495E-13</v>
      </c>
      <c r="CV191" s="14">
        <f t="shared" si="173"/>
        <v>1.8987770485018903E-12</v>
      </c>
      <c r="CW191" s="22">
        <f t="shared" si="174"/>
        <v>3.5340687393033375E-12</v>
      </c>
      <c r="CX191" s="60">
        <f t="shared" si="122"/>
        <v>293.33333333333684</v>
      </c>
      <c r="CY191" s="60">
        <f ca="1">AVERAGE(OFFSET($CX$3,0,0,'Données projet'!$E$13+1,1))-AVERAGE(OFFSET($H$3,0,0,'Données projet'!$E$13+1,1))</f>
        <v>243.04319555814601</v>
      </c>
      <c r="CZ191" s="60">
        <f t="shared" si="150"/>
        <v>235.68746142880792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201.4732637505823</v>
      </c>
      <c r="DU191" s="60">
        <f t="shared" si="152"/>
        <v>342.06887933351783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0.28905496165091554</v>
      </c>
      <c r="EB191" s="23">
        <f>EXP(-LN(2)/25)*EB190+(1-EXP(-LN(2)/25))/(LN(2)/25)*Calculateur!DW191*Calculateur!DY191*VLOOKUP('Données projet'!$B$14,Paramètres!$A$1:$I$89,3,0)*0.475*44/12</f>
        <v>0.33096639964270669</v>
      </c>
      <c r="EC191" s="23">
        <f>EXP(-LN(2)/2)*EC190+(1-EXP(-LN(2)/2))/(LN(2)/2)*DW191*DZ191*VLOOKUP('Données projet'!$B$14,Paramètres!$A$1:$I$89,3,0)*0.475*44/12</f>
        <v>2.2163737141891161E-23</v>
      </c>
      <c r="ED191" s="24">
        <f t="shared" si="178"/>
        <v>0.62002136129362229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-2.0395418687257919E-13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260.01925143568263</v>
      </c>
      <c r="EP191" s="60">
        <f t="shared" si="154"/>
        <v>269.95358755269427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0.62187436461952739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0.62187436461952739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-9.2222762759774927E-14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256.19915261735281</v>
      </c>
      <c r="FK191" s="60">
        <f t="shared" si="156"/>
        <v>297.47246687305056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2.8421709430404007E-14</v>
      </c>
      <c r="GA191" s="18">
        <f>FZ191*VLOOKUP('Données projet'!$B$17,Paramètres!$A$1:$I$89,3,0)*VLOOKUP('Données projet'!$B$17,Paramètres!$A$1:$I$89,5,0)</f>
        <v>1.6257217794191094E-14</v>
      </c>
      <c r="GB191" s="14">
        <f t="shared" si="185"/>
        <v>3.0173973759155586E-13</v>
      </c>
      <c r="GC191" s="22">
        <f t="shared" si="186"/>
        <v>5.538446972968425E-13</v>
      </c>
      <c r="GD191" s="60">
        <f t="shared" si="134"/>
        <v>293.33333333333388</v>
      </c>
      <c r="GE191" s="60">
        <f ca="1">AVERAGE(OFFSET($GD$3,0,0,'Données projet'!$E$17+1,1))-AVERAGE(OFFSET($H$3,0,0,'Données projet'!$E$17+1,1))</f>
        <v>268.71641789629319</v>
      </c>
      <c r="GF191" s="60">
        <f t="shared" si="158"/>
        <v>199.94048514486104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2.6282555085601216E-2</v>
      </c>
      <c r="GN191" s="23">
        <f>EXP(-LN(2)/2)*GN190+(1-EXP(-LN(2)/2))/(LN(2)/2)*GH191*GK191*VLOOKUP('Données projet'!$B$17,Paramètres!$A$1:$I$89,3,0)*0.475*44/12</f>
        <v>1.1540352860052024E-23</v>
      </c>
      <c r="GO191" s="23">
        <f t="shared" si="187"/>
        <v>2.6282555085601216E-2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-2.8421709430404007E-13</v>
      </c>
      <c r="GV191" s="18">
        <f>GU191*VLOOKUP('Données projet'!$B$18,Paramètres!$A$1:$I$89,3,0)*VLOOKUP('Données projet'!$B$18,Paramètres!$A$1:$I$89,5,0)</f>
        <v>-1.69961822393816E-13</v>
      </c>
      <c r="GW191" s="14" t="e">
        <f t="shared" si="188"/>
        <v>#NUM!</v>
      </c>
      <c r="GX191" s="22" t="e">
        <f t="shared" si="189"/>
        <v>#NUM!</v>
      </c>
      <c r="GY191" s="60" t="e">
        <f t="shared" si="137"/>
        <v>#NUM!</v>
      </c>
      <c r="GZ191" s="60">
        <f ca="1">AVERAGE(OFFSET($GY$3,0,0,'Données projet'!$E$18+1,1))-AVERAGE(OFFSET($H$3,0,0,'Données projet'!$E$18+1,1))</f>
        <v>289.12367833861299</v>
      </c>
      <c r="HA191" s="60">
        <f t="shared" si="160"/>
        <v>229.06617320689003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6.8603631599949472E-24</v>
      </c>
      <c r="HJ191" s="24">
        <f t="shared" si="190"/>
        <v>6.8603631599949472E-24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-8.2291080616414541E-13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430.11660085503223</v>
      </c>
      <c r="T192" s="60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1.2710188457276673E-13</v>
      </c>
      <c r="AK192" s="14">
        <f t="shared" si="164"/>
        <v>1.856866851063998E-12</v>
      </c>
      <c r="AL192" s="22">
        <f t="shared" si="165"/>
        <v>3.4554122145673649E-12</v>
      </c>
      <c r="AM192" s="60">
        <f t="shared" si="113"/>
        <v>293.33333333333678</v>
      </c>
      <c r="AN192" s="60">
        <f ca="1">AVERAGE(OFFSET($AM$3,0,0,'Données projet'!$E$10+1,1))-AVERAGE(OFFSET($H$3,0,0,'Données projet'!$E$10+1,1))</f>
        <v>323.98185264074681</v>
      </c>
      <c r="AO192" s="60">
        <f t="shared" si="144"/>
        <v>301.22207291854005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0.19143641135322129</v>
      </c>
      <c r="AV192" s="23">
        <f>EXP(-LN(2)/25)*AV191+(1-EXP(-LN(2)/25))/(LN(2)/25)*Calculateur!AQ192*Calculateur!AS192*VLOOKUP('Données projet'!$B$10,Paramètres!$A$1:$I$89,3,0)*0.475*44/12</f>
        <v>0.10040630872152588</v>
      </c>
      <c r="AW192" s="23">
        <f>EXP(-LN(2)/2)*AW191+(1-EXP(-LN(2)/2))/(LN(2)/2)*AQ192*AT192*VLOOKUP('Données projet'!$B$10,Paramètres!$A$1:$I$89,3,0)*0.475*44/12</f>
        <v>7.1215779651993484E-24</v>
      </c>
      <c r="AX192" s="23">
        <f t="shared" si="166"/>
        <v>0.29184272007474715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-2.9262992029543969E-13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556.75475431848258</v>
      </c>
      <c r="BJ192" s="60">
        <f t="shared" si="146"/>
        <v>256.77417912163997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3.4106051316484809E-13</v>
      </c>
      <c r="BZ192" s="14">
        <f>BY192*VLOOKUP('Données projet'!$B$12,Paramètres!$A$1:$I$89,3,0)*VLOOKUP('Données projet'!$B$12,Paramètres!$A$1:$I$89,5,0)</f>
        <v>2.5006556825246659E-13</v>
      </c>
      <c r="CA192" s="14">
        <f t="shared" si="170"/>
        <v>3.3765445850268018E-12</v>
      </c>
      <c r="CB192" s="22">
        <f t="shared" si="171"/>
        <v>6.3163460169613921E-12</v>
      </c>
      <c r="CC192" s="60">
        <f t="shared" si="119"/>
        <v>293.33333333333962</v>
      </c>
      <c r="CD192" s="60">
        <f ca="1">AVERAGE(OFFSET($CC$3,0,0,'Données projet'!$E$12+1,1))-AVERAGE(OFFSET($H$3,0,0,'Données projet'!$E$12+1,1))</f>
        <v>290.68086183422963</v>
      </c>
      <c r="CE192" s="60">
        <f t="shared" si="148"/>
        <v>317.88330630101785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1.9895196601282805E-13</v>
      </c>
      <c r="CU192" s="18">
        <f>CT192*VLOOKUP('Données projet'!$B$13,Paramètres!$A$1:$I$89,3,0)*VLOOKUP('Données projet'!$B$13,Paramètres!$A$1:$I$89,5,0)</f>
        <v>1.3035332813160495E-13</v>
      </c>
      <c r="CV192" s="14">
        <f t="shared" si="173"/>
        <v>1.8987770485018903E-12</v>
      </c>
      <c r="CW192" s="22">
        <f t="shared" si="174"/>
        <v>3.5340687393033375E-12</v>
      </c>
      <c r="CX192" s="60">
        <f t="shared" si="122"/>
        <v>293.33333333333684</v>
      </c>
      <c r="CY192" s="60">
        <f ca="1">AVERAGE(OFFSET($CX$3,0,0,'Données projet'!$E$13+1,1))-AVERAGE(OFFSET($H$3,0,0,'Données projet'!$E$13+1,1))</f>
        <v>243.04319555814601</v>
      </c>
      <c r="CZ192" s="60">
        <f t="shared" si="150"/>
        <v>235.68746142880792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201.4732637505823</v>
      </c>
      <c r="DU192" s="60">
        <f t="shared" si="152"/>
        <v>342.06887933351783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0.28338677015905889</v>
      </c>
      <c r="EB192" s="23">
        <f>EXP(-LN(2)/25)*EB191+(1-EXP(-LN(2)/25))/(LN(2)/25)*Calculateur!DW192*Calculateur!DY192*VLOOKUP('Données projet'!$B$14,Paramètres!$A$1:$I$89,3,0)*0.475*44/12</f>
        <v>0.32191610603971033</v>
      </c>
      <c r="EC192" s="23">
        <f>EXP(-LN(2)/2)*EC191+(1-EXP(-LN(2)/2))/(LN(2)/2)*DW192*DZ192*VLOOKUP('Données projet'!$B$14,Paramètres!$A$1:$I$89,3,0)*0.475*44/12</f>
        <v>1.5672128829467389E-23</v>
      </c>
      <c r="ED192" s="24">
        <f t="shared" si="178"/>
        <v>0.60530287619876921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-2.0395418687257919E-13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260.01925143568263</v>
      </c>
      <c r="EP192" s="60">
        <f t="shared" si="154"/>
        <v>269.95358755269427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0.60967978763524755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0.60967978763524755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-9.2222762759774927E-14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256.19915261735281</v>
      </c>
      <c r="FK192" s="60">
        <f t="shared" si="156"/>
        <v>297.47246687305056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2.8421709430404007E-14</v>
      </c>
      <c r="GA192" s="18">
        <f>FZ192*VLOOKUP('Données projet'!$B$17,Paramètres!$A$1:$I$89,3,0)*VLOOKUP('Données projet'!$B$17,Paramètres!$A$1:$I$89,5,0)</f>
        <v>1.6257217794191094E-14</v>
      </c>
      <c r="GB192" s="14">
        <f t="shared" si="185"/>
        <v>3.0173973759155586E-13</v>
      </c>
      <c r="GC192" s="22">
        <f t="shared" si="186"/>
        <v>5.538446972968425E-13</v>
      </c>
      <c r="GD192" s="60">
        <f t="shared" si="134"/>
        <v>293.33333333333388</v>
      </c>
      <c r="GE192" s="60">
        <f ca="1">AVERAGE(OFFSET($GD$3,0,0,'Données projet'!$E$17+1,1))-AVERAGE(OFFSET($H$3,0,0,'Données projet'!$E$17+1,1))</f>
        <v>268.71641789629319</v>
      </c>
      <c r="GF192" s="60">
        <f t="shared" si="158"/>
        <v>199.94048514486104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2.5563857234645947E-2</v>
      </c>
      <c r="GN192" s="23">
        <f>EXP(-LN(2)/2)*GN191+(1-EXP(-LN(2)/2))/(LN(2)/2)*GH192*GK192*VLOOKUP('Données projet'!$B$17,Paramètres!$A$1:$I$89,3,0)*0.475*44/12</f>
        <v>8.1602617646283545E-24</v>
      </c>
      <c r="GO192" s="23">
        <f t="shared" si="187"/>
        <v>2.5563857234645947E-2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-2.8421709430404007E-13</v>
      </c>
      <c r="GV192" s="18">
        <f>GU192*VLOOKUP('Données projet'!$B$18,Paramètres!$A$1:$I$89,3,0)*VLOOKUP('Données projet'!$B$18,Paramètres!$A$1:$I$89,5,0)</f>
        <v>-1.69961822393816E-13</v>
      </c>
      <c r="GW192" s="14" t="e">
        <f t="shared" si="188"/>
        <v>#NUM!</v>
      </c>
      <c r="GX192" s="22" t="e">
        <f t="shared" si="189"/>
        <v>#NUM!</v>
      </c>
      <c r="GY192" s="60" t="e">
        <f t="shared" si="137"/>
        <v>#NUM!</v>
      </c>
      <c r="GZ192" s="60">
        <f ca="1">AVERAGE(OFFSET($GY$3,0,0,'Données projet'!$E$18+1,1))-AVERAGE(OFFSET($H$3,0,0,'Données projet'!$E$18+1,1))</f>
        <v>289.12367833861299</v>
      </c>
      <c r="HA192" s="60">
        <f t="shared" si="160"/>
        <v>229.06617320689003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4.851009311834799E-24</v>
      </c>
      <c r="HJ192" s="24">
        <f t="shared" si="190"/>
        <v>4.851009311834799E-24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-8.2291080616414541E-13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430.11660085503223</v>
      </c>
      <c r="T193" s="60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1.2710188457276673E-13</v>
      </c>
      <c r="AK193" s="14">
        <f t="shared" si="164"/>
        <v>1.856866851063998E-12</v>
      </c>
      <c r="AL193" s="22">
        <f t="shared" si="165"/>
        <v>3.4554122145673649E-12</v>
      </c>
      <c r="AM193" s="60">
        <f t="shared" si="113"/>
        <v>293.33333333333678</v>
      </c>
      <c r="AN193" s="60">
        <f ca="1">AVERAGE(OFFSET($AM$3,0,0,'Données projet'!$E$10+1,1))-AVERAGE(OFFSET($H$3,0,0,'Données projet'!$E$10+1,1))</f>
        <v>323.98185264074681</v>
      </c>
      <c r="AO193" s="60">
        <f t="shared" si="144"/>
        <v>301.22207291854005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0.18768246009126599</v>
      </c>
      <c r="AV193" s="23">
        <f>EXP(-LN(2)/25)*AV192+(1-EXP(-LN(2)/25))/(LN(2)/25)*Calculateur!AQ193*Calculateur!AS193*VLOOKUP('Données projet'!$B$10,Paramètres!$A$1:$I$89,3,0)*0.475*44/12</f>
        <v>9.7660692929397455E-2</v>
      </c>
      <c r="AW193" s="23">
        <f>EXP(-LN(2)/2)*AW192+(1-EXP(-LN(2)/2))/(LN(2)/2)*AQ193*AT193*VLOOKUP('Données projet'!$B$10,Paramètres!$A$1:$I$89,3,0)*0.475*44/12</f>
        <v>5.0357160719411541E-24</v>
      </c>
      <c r="AX193" s="23">
        <f t="shared" si="166"/>
        <v>0.28534315302066343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-2.9262992029543969E-13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556.75475431848258</v>
      </c>
      <c r="BJ193" s="60">
        <f t="shared" si="146"/>
        <v>256.77417912163997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3.4106051316484809E-13</v>
      </c>
      <c r="BZ193" s="14">
        <f>BY193*VLOOKUP('Données projet'!$B$12,Paramètres!$A$1:$I$89,3,0)*VLOOKUP('Données projet'!$B$12,Paramètres!$A$1:$I$89,5,0)</f>
        <v>2.5006556825246659E-13</v>
      </c>
      <c r="CA193" s="14">
        <f t="shared" si="170"/>
        <v>3.3765445850268018E-12</v>
      </c>
      <c r="CB193" s="22">
        <f t="shared" si="171"/>
        <v>6.3163460169613921E-12</v>
      </c>
      <c r="CC193" s="60">
        <f t="shared" si="119"/>
        <v>293.33333333333962</v>
      </c>
      <c r="CD193" s="60">
        <f ca="1">AVERAGE(OFFSET($CC$3,0,0,'Données projet'!$E$12+1,1))-AVERAGE(OFFSET($H$3,0,0,'Données projet'!$E$12+1,1))</f>
        <v>290.68086183422963</v>
      </c>
      <c r="CE193" s="60">
        <f t="shared" si="148"/>
        <v>317.88330630101785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1.9895196601282805E-13</v>
      </c>
      <c r="CU193" s="18">
        <f>CT193*VLOOKUP('Données projet'!$B$13,Paramètres!$A$1:$I$89,3,0)*VLOOKUP('Données projet'!$B$13,Paramètres!$A$1:$I$89,5,0)</f>
        <v>1.3035332813160495E-13</v>
      </c>
      <c r="CV193" s="14">
        <f t="shared" si="173"/>
        <v>1.8987770485018903E-12</v>
      </c>
      <c r="CW193" s="22">
        <f t="shared" si="174"/>
        <v>3.5340687393033375E-12</v>
      </c>
      <c r="CX193" s="60">
        <f t="shared" si="122"/>
        <v>293.33333333333684</v>
      </c>
      <c r="CY193" s="60">
        <f ca="1">AVERAGE(OFFSET($CX$3,0,0,'Données projet'!$E$13+1,1))-AVERAGE(OFFSET($H$3,0,0,'Données projet'!$E$13+1,1))</f>
        <v>243.04319555814601</v>
      </c>
      <c r="CZ193" s="60">
        <f t="shared" si="150"/>
        <v>235.68746142880792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201.4732637505823</v>
      </c>
      <c r="DU193" s="60">
        <f t="shared" si="152"/>
        <v>342.06887933351783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0.27782972844510212</v>
      </c>
      <c r="EB193" s="23">
        <f>EXP(-LN(2)/25)*EB192+(1-EXP(-LN(2)/25))/(LN(2)/25)*Calculateur!DW193*Calculateur!DY193*VLOOKUP('Données projet'!$B$14,Paramètres!$A$1:$I$89,3,0)*0.475*44/12</f>
        <v>0.31311329319122216</v>
      </c>
      <c r="EC193" s="23">
        <f>EXP(-LN(2)/2)*EC192+(1-EXP(-LN(2)/2))/(LN(2)/2)*DW193*DZ193*VLOOKUP('Données projet'!$B$14,Paramètres!$A$1:$I$89,3,0)*0.475*44/12</f>
        <v>1.108186857094558E-23</v>
      </c>
      <c r="ED193" s="24">
        <f t="shared" si="178"/>
        <v>0.59094302163632428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-2.0395418687257919E-13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260.01925143568263</v>
      </c>
      <c r="EP193" s="60">
        <f t="shared" si="154"/>
        <v>269.95358755269427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0.59772433886767184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0.59772433886767184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-9.2222762759774927E-14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256.19915261735281</v>
      </c>
      <c r="FK193" s="60">
        <f t="shared" si="156"/>
        <v>297.47246687305056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2.8421709430404007E-14</v>
      </c>
      <c r="GA193" s="18">
        <f>FZ193*VLOOKUP('Données projet'!$B$17,Paramètres!$A$1:$I$89,3,0)*VLOOKUP('Données projet'!$B$17,Paramètres!$A$1:$I$89,5,0)</f>
        <v>1.6257217794191094E-14</v>
      </c>
      <c r="GB193" s="14">
        <f t="shared" si="185"/>
        <v>3.0173973759155586E-13</v>
      </c>
      <c r="GC193" s="22">
        <f t="shared" si="186"/>
        <v>5.538446972968425E-13</v>
      </c>
      <c r="GD193" s="60">
        <f t="shared" si="134"/>
        <v>293.33333333333388</v>
      </c>
      <c r="GE193" s="60">
        <f ca="1">AVERAGE(OFFSET($GD$3,0,0,'Données projet'!$E$17+1,1))-AVERAGE(OFFSET($H$3,0,0,'Données projet'!$E$17+1,1))</f>
        <v>268.71641789629319</v>
      </c>
      <c r="GF193" s="60">
        <f t="shared" si="158"/>
        <v>199.94048514486104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2.4864812214219729E-2</v>
      </c>
      <c r="GN193" s="23">
        <f>EXP(-LN(2)/2)*GN192+(1-EXP(-LN(2)/2))/(LN(2)/2)*GH193*GK193*VLOOKUP('Données projet'!$B$17,Paramètres!$A$1:$I$89,3,0)*0.475*44/12</f>
        <v>5.7701764300260121E-24</v>
      </c>
      <c r="GO193" s="23">
        <f t="shared" si="187"/>
        <v>2.4864812214219729E-2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-2.8421709430404007E-13</v>
      </c>
      <c r="GV193" s="18">
        <f>GU193*VLOOKUP('Données projet'!$B$18,Paramètres!$A$1:$I$89,3,0)*VLOOKUP('Données projet'!$B$18,Paramètres!$A$1:$I$89,5,0)</f>
        <v>-1.69961822393816E-13</v>
      </c>
      <c r="GW193" s="14" t="e">
        <f t="shared" si="188"/>
        <v>#NUM!</v>
      </c>
      <c r="GX193" s="22" t="e">
        <f t="shared" si="189"/>
        <v>#NUM!</v>
      </c>
      <c r="GY193" s="60" t="e">
        <f t="shared" si="137"/>
        <v>#NUM!</v>
      </c>
      <c r="GZ193" s="60">
        <f ca="1">AVERAGE(OFFSET($GY$3,0,0,'Données projet'!$E$18+1,1))-AVERAGE(OFFSET($H$3,0,0,'Données projet'!$E$18+1,1))</f>
        <v>289.12367833861299</v>
      </c>
      <c r="HA193" s="60">
        <f t="shared" si="160"/>
        <v>229.06617320689003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3.4301815799974736E-24</v>
      </c>
      <c r="HJ193" s="24">
        <f t="shared" si="190"/>
        <v>3.4301815799974736E-24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-8.2291080616414541E-13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430.11660085503223</v>
      </c>
      <c r="T194" s="60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1.2710188457276673E-13</v>
      </c>
      <c r="AK194" s="14">
        <f t="shared" si="164"/>
        <v>1.856866851063998E-12</v>
      </c>
      <c r="AL194" s="22">
        <f t="shared" si="165"/>
        <v>3.4554122145673649E-12</v>
      </c>
      <c r="AM194" s="60">
        <f t="shared" si="113"/>
        <v>293.33333333333678</v>
      </c>
      <c r="AN194" s="60">
        <f ca="1">AVERAGE(OFFSET($AM$3,0,0,'Données projet'!$E$10+1,1))-AVERAGE(OFFSET($H$3,0,0,'Données projet'!$E$10+1,1))</f>
        <v>323.98185264074681</v>
      </c>
      <c r="AO194" s="60">
        <f t="shared" si="144"/>
        <v>301.22207291854005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0.18400212152387346</v>
      </c>
      <c r="AV194" s="23">
        <f>EXP(-LN(2)/25)*AV193+(1-EXP(-LN(2)/25))/(LN(2)/25)*Calculateur!AQ194*Calculateur!AS194*VLOOKUP('Données projet'!$B$10,Paramètres!$A$1:$I$89,3,0)*0.475*44/12</f>
        <v>9.4990156145490445E-2</v>
      </c>
      <c r="AW194" s="23">
        <f>EXP(-LN(2)/2)*AW193+(1-EXP(-LN(2)/2))/(LN(2)/2)*AQ194*AT194*VLOOKUP('Données projet'!$B$10,Paramètres!$A$1:$I$89,3,0)*0.475*44/12</f>
        <v>3.5607889825996742E-24</v>
      </c>
      <c r="AX194" s="23">
        <f t="shared" si="166"/>
        <v>0.27899227766936391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-2.9262992029543969E-13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556.75475431848258</v>
      </c>
      <c r="BJ194" s="60">
        <f t="shared" si="146"/>
        <v>256.77417912163997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3.4106051316484809E-13</v>
      </c>
      <c r="BZ194" s="14">
        <f>BY194*VLOOKUP('Données projet'!$B$12,Paramètres!$A$1:$I$89,3,0)*VLOOKUP('Données projet'!$B$12,Paramètres!$A$1:$I$89,5,0)</f>
        <v>2.5006556825246659E-13</v>
      </c>
      <c r="CA194" s="14">
        <f t="shared" si="170"/>
        <v>3.3765445850268018E-12</v>
      </c>
      <c r="CB194" s="22">
        <f t="shared" si="171"/>
        <v>6.3163460169613921E-12</v>
      </c>
      <c r="CC194" s="60">
        <f t="shared" si="119"/>
        <v>293.33333333333962</v>
      </c>
      <c r="CD194" s="60">
        <f ca="1">AVERAGE(OFFSET($CC$3,0,0,'Données projet'!$E$12+1,1))-AVERAGE(OFFSET($H$3,0,0,'Données projet'!$E$12+1,1))</f>
        <v>290.68086183422963</v>
      </c>
      <c r="CE194" s="60">
        <f t="shared" si="148"/>
        <v>317.88330630101785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1.9895196601282805E-13</v>
      </c>
      <c r="CU194" s="18">
        <f>CT194*VLOOKUP('Données projet'!$B$13,Paramètres!$A$1:$I$89,3,0)*VLOOKUP('Données projet'!$B$13,Paramètres!$A$1:$I$89,5,0)</f>
        <v>1.3035332813160495E-13</v>
      </c>
      <c r="CV194" s="14">
        <f t="shared" si="173"/>
        <v>1.8987770485018903E-12</v>
      </c>
      <c r="CW194" s="22">
        <f t="shared" si="174"/>
        <v>3.5340687393033375E-12</v>
      </c>
      <c r="CX194" s="60">
        <f t="shared" si="122"/>
        <v>293.33333333333684</v>
      </c>
      <c r="CY194" s="60">
        <f ca="1">AVERAGE(OFFSET($CX$3,0,0,'Données projet'!$E$13+1,1))-AVERAGE(OFFSET($H$3,0,0,'Données projet'!$E$13+1,1))</f>
        <v>243.04319555814601</v>
      </c>
      <c r="CZ194" s="60">
        <f t="shared" si="150"/>
        <v>235.68746142880792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201.4732637505823</v>
      </c>
      <c r="DU194" s="60">
        <f t="shared" si="152"/>
        <v>342.06887933351783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0.27238165692969529</v>
      </c>
      <c r="EB194" s="23">
        <f>EXP(-LN(2)/25)*EB193+(1-EXP(-LN(2)/25))/(LN(2)/25)*Calculateur!DW194*Calculateur!DY194*VLOOKUP('Données projet'!$B$14,Paramètres!$A$1:$I$89,3,0)*0.475*44/12</f>
        <v>0.30455119372299572</v>
      </c>
      <c r="EC194" s="23">
        <f>EXP(-LN(2)/2)*EC193+(1-EXP(-LN(2)/2))/(LN(2)/2)*DW194*DZ194*VLOOKUP('Données projet'!$B$14,Paramètres!$A$1:$I$89,3,0)*0.475*44/12</f>
        <v>7.8360644147336947E-24</v>
      </c>
      <c r="ED194" s="24">
        <f t="shared" si="178"/>
        <v>0.57693285065269095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-2.0395418687257919E-13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260.01925143568263</v>
      </c>
      <c r="EP194" s="60">
        <f t="shared" si="154"/>
        <v>269.95358755269427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0.58600332915832465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0.58600332915832465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-9.2222762759774927E-14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256.19915261735281</v>
      </c>
      <c r="FK194" s="60">
        <f t="shared" si="156"/>
        <v>297.47246687305056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2.8421709430404007E-14</v>
      </c>
      <c r="GA194" s="18">
        <f>FZ194*VLOOKUP('Données projet'!$B$17,Paramètres!$A$1:$I$89,3,0)*VLOOKUP('Données projet'!$B$17,Paramètres!$A$1:$I$89,5,0)</f>
        <v>1.6257217794191094E-14</v>
      </c>
      <c r="GB194" s="14">
        <f t="shared" si="185"/>
        <v>3.0173973759155586E-13</v>
      </c>
      <c r="GC194" s="22">
        <f t="shared" si="186"/>
        <v>5.538446972968425E-13</v>
      </c>
      <c r="GD194" s="60">
        <f t="shared" si="134"/>
        <v>293.33333333333388</v>
      </c>
      <c r="GE194" s="60">
        <f ca="1">AVERAGE(OFFSET($GD$3,0,0,'Données projet'!$E$17+1,1))-AVERAGE(OFFSET($H$3,0,0,'Données projet'!$E$17+1,1))</f>
        <v>268.71641789629319</v>
      </c>
      <c r="GF194" s="60">
        <f t="shared" si="158"/>
        <v>199.94048514486104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2.4184882616638245E-2</v>
      </c>
      <c r="GN194" s="23">
        <f>EXP(-LN(2)/2)*GN193+(1-EXP(-LN(2)/2))/(LN(2)/2)*GH194*GK194*VLOOKUP('Données projet'!$B$17,Paramètres!$A$1:$I$89,3,0)*0.475*44/12</f>
        <v>4.0801308823141772E-24</v>
      </c>
      <c r="GO194" s="23">
        <f t="shared" si="187"/>
        <v>2.4184882616638245E-2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-2.8421709430404007E-13</v>
      </c>
      <c r="GV194" s="18">
        <f>GU194*VLOOKUP('Données projet'!$B$18,Paramètres!$A$1:$I$89,3,0)*VLOOKUP('Données projet'!$B$18,Paramètres!$A$1:$I$89,5,0)</f>
        <v>-1.69961822393816E-13</v>
      </c>
      <c r="GW194" s="14" t="e">
        <f t="shared" si="188"/>
        <v>#NUM!</v>
      </c>
      <c r="GX194" s="22" t="e">
        <f t="shared" si="189"/>
        <v>#NUM!</v>
      </c>
      <c r="GY194" s="60" t="e">
        <f t="shared" si="137"/>
        <v>#NUM!</v>
      </c>
      <c r="GZ194" s="60">
        <f ca="1">AVERAGE(OFFSET($GY$3,0,0,'Données projet'!$E$18+1,1))-AVERAGE(OFFSET($H$3,0,0,'Données projet'!$E$18+1,1))</f>
        <v>289.12367833861299</v>
      </c>
      <c r="HA194" s="60">
        <f t="shared" si="160"/>
        <v>229.06617320689003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2.4255046559173995E-24</v>
      </c>
      <c r="HJ194" s="24">
        <f t="shared" si="190"/>
        <v>2.4255046559173995E-24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-8.2291080616414541E-13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430.11660085503223</v>
      </c>
      <c r="T195" s="60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1.2710188457276673E-13</v>
      </c>
      <c r="AK195" s="14">
        <f t="shared" si="164"/>
        <v>1.856866851063998E-12</v>
      </c>
      <c r="AL195" s="22">
        <f t="shared" si="165"/>
        <v>3.4554122145673649E-12</v>
      </c>
      <c r="AM195" s="60">
        <f t="shared" si="113"/>
        <v>293.33333333333678</v>
      </c>
      <c r="AN195" s="60">
        <f ca="1">AVERAGE(OFFSET($AM$3,0,0,'Données projet'!$E$10+1,1))-AVERAGE(OFFSET($H$3,0,0,'Données projet'!$E$10+1,1))</f>
        <v>323.98185264074681</v>
      </c>
      <c r="AO195" s="60">
        <f t="shared" si="144"/>
        <v>301.22207291854005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0.18039395215100262</v>
      </c>
      <c r="AV195" s="23">
        <f>EXP(-LN(2)/25)*AV194+(1-EXP(-LN(2)/25))/(LN(2)/25)*Calculateur!AQ195*Calculateur!AS195*VLOOKUP('Données projet'!$B$10,Paramètres!$A$1:$I$89,3,0)*0.475*44/12</f>
        <v>9.2392645330376805E-2</v>
      </c>
      <c r="AW195" s="23">
        <f>EXP(-LN(2)/2)*AW194+(1-EXP(-LN(2)/2))/(LN(2)/2)*AQ195*AT195*VLOOKUP('Données projet'!$B$10,Paramètres!$A$1:$I$89,3,0)*0.475*44/12</f>
        <v>2.517858035970577E-24</v>
      </c>
      <c r="AX195" s="23">
        <f t="shared" si="166"/>
        <v>0.27278659748137946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-2.9262992029543969E-13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556.75475431848258</v>
      </c>
      <c r="BJ195" s="60">
        <f t="shared" si="146"/>
        <v>256.77417912163997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3.4106051316484809E-13</v>
      </c>
      <c r="BZ195" s="14">
        <f>BY195*VLOOKUP('Données projet'!$B$12,Paramètres!$A$1:$I$89,3,0)*VLOOKUP('Données projet'!$B$12,Paramètres!$A$1:$I$89,5,0)</f>
        <v>2.5006556825246659E-13</v>
      </c>
      <c r="CA195" s="14">
        <f t="shared" si="170"/>
        <v>3.3765445850268018E-12</v>
      </c>
      <c r="CB195" s="22">
        <f t="shared" si="171"/>
        <v>6.3163460169613921E-12</v>
      </c>
      <c r="CC195" s="60">
        <f t="shared" si="119"/>
        <v>293.33333333333962</v>
      </c>
      <c r="CD195" s="60">
        <f ca="1">AVERAGE(OFFSET($CC$3,0,0,'Données projet'!$E$12+1,1))-AVERAGE(OFFSET($H$3,0,0,'Données projet'!$E$12+1,1))</f>
        <v>290.68086183422963</v>
      </c>
      <c r="CE195" s="60">
        <f t="shared" si="148"/>
        <v>317.88330630101785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1.9895196601282805E-13</v>
      </c>
      <c r="CU195" s="18">
        <f>CT195*VLOOKUP('Données projet'!$B$13,Paramètres!$A$1:$I$89,3,0)*VLOOKUP('Données projet'!$B$13,Paramètres!$A$1:$I$89,5,0)</f>
        <v>1.3035332813160495E-13</v>
      </c>
      <c r="CV195" s="14">
        <f t="shared" si="173"/>
        <v>1.8987770485018903E-12</v>
      </c>
      <c r="CW195" s="22">
        <f t="shared" si="174"/>
        <v>3.5340687393033375E-12</v>
      </c>
      <c r="CX195" s="60">
        <f t="shared" si="122"/>
        <v>293.33333333333684</v>
      </c>
      <c r="CY195" s="60">
        <f ca="1">AVERAGE(OFFSET($CX$3,0,0,'Données projet'!$E$13+1,1))-AVERAGE(OFFSET($H$3,0,0,'Données projet'!$E$13+1,1))</f>
        <v>243.04319555814601</v>
      </c>
      <c r="CZ195" s="60">
        <f t="shared" si="150"/>
        <v>235.68746142880792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201.4732637505823</v>
      </c>
      <c r="DU195" s="60">
        <f t="shared" si="152"/>
        <v>342.06887933351783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0.2670404187737101</v>
      </c>
      <c r="EB195" s="23">
        <f>EXP(-LN(2)/25)*EB194+(1-EXP(-LN(2)/25))/(LN(2)/25)*Calculateur!DW195*Calculateur!DY195*VLOOKUP('Données projet'!$B$14,Paramètres!$A$1:$I$89,3,0)*0.475*44/12</f>
        <v>0.29622322531498918</v>
      </c>
      <c r="EC195" s="23">
        <f>EXP(-LN(2)/2)*EC194+(1-EXP(-LN(2)/2))/(LN(2)/2)*DW195*DZ195*VLOOKUP('Données projet'!$B$14,Paramètres!$A$1:$I$89,3,0)*0.475*44/12</f>
        <v>5.5409342854727902E-24</v>
      </c>
      <c r="ED195" s="24">
        <f t="shared" si="178"/>
        <v>0.56326364408869933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-2.0395418687257919E-13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260.01925143568263</v>
      </c>
      <c r="EP195" s="60">
        <f t="shared" si="154"/>
        <v>269.95358755269427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0.57451216130026772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0.57451216130026772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-9.2222762759774927E-14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256.19915261735281</v>
      </c>
      <c r="FK195" s="60">
        <f t="shared" si="156"/>
        <v>297.47246687305056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2.8421709430404007E-14</v>
      </c>
      <c r="GA195" s="18">
        <f>FZ195*VLOOKUP('Données projet'!$B$17,Paramètres!$A$1:$I$89,3,0)*VLOOKUP('Données projet'!$B$17,Paramètres!$A$1:$I$89,5,0)</f>
        <v>1.6257217794191094E-14</v>
      </c>
      <c r="GB195" s="14">
        <f t="shared" si="185"/>
        <v>3.0173973759155586E-13</v>
      </c>
      <c r="GC195" s="22">
        <f t="shared" si="186"/>
        <v>5.538446972968425E-13</v>
      </c>
      <c r="GD195" s="60">
        <f t="shared" si="134"/>
        <v>293.33333333333388</v>
      </c>
      <c r="GE195" s="60">
        <f ca="1">AVERAGE(OFFSET($GD$3,0,0,'Données projet'!$E$17+1,1))-AVERAGE(OFFSET($H$3,0,0,'Données projet'!$E$17+1,1))</f>
        <v>268.71641789629319</v>
      </c>
      <c r="GF195" s="60">
        <f t="shared" si="158"/>
        <v>199.94048514486104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2.352354572965857E-2</v>
      </c>
      <c r="GN195" s="23">
        <f>EXP(-LN(2)/2)*GN194+(1-EXP(-LN(2)/2))/(LN(2)/2)*GH195*GK195*VLOOKUP('Données projet'!$B$17,Paramètres!$A$1:$I$89,3,0)*0.475*44/12</f>
        <v>2.885088215013006E-24</v>
      </c>
      <c r="GO195" s="23">
        <f t="shared" si="187"/>
        <v>2.352354572965857E-2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-2.8421709430404007E-13</v>
      </c>
      <c r="GV195" s="18">
        <f>GU195*VLOOKUP('Données projet'!$B$18,Paramètres!$A$1:$I$89,3,0)*VLOOKUP('Données projet'!$B$18,Paramètres!$A$1:$I$89,5,0)</f>
        <v>-1.69961822393816E-13</v>
      </c>
      <c r="GW195" s="14" t="e">
        <f t="shared" si="188"/>
        <v>#NUM!</v>
      </c>
      <c r="GX195" s="22" t="e">
        <f t="shared" si="189"/>
        <v>#NUM!</v>
      </c>
      <c r="GY195" s="60" t="e">
        <f t="shared" si="137"/>
        <v>#NUM!</v>
      </c>
      <c r="GZ195" s="60">
        <f ca="1">AVERAGE(OFFSET($GY$3,0,0,'Données projet'!$E$18+1,1))-AVERAGE(OFFSET($H$3,0,0,'Données projet'!$E$18+1,1))</f>
        <v>289.12367833861299</v>
      </c>
      <c r="HA195" s="60">
        <f t="shared" si="160"/>
        <v>229.06617320689003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1.7150907899987368E-24</v>
      </c>
      <c r="HJ195" s="24">
        <f t="shared" si="190"/>
        <v>1.7150907899987368E-24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-8.2291080616414541E-13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430.11660085503223</v>
      </c>
      <c r="T196" s="60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1.2710188457276673E-13</v>
      </c>
      <c r="AK196" s="14">
        <f t="shared" si="164"/>
        <v>1.856866851063998E-12</v>
      </c>
      <c r="AL196" s="22">
        <f t="shared" si="165"/>
        <v>3.4554122145673649E-12</v>
      </c>
      <c r="AM196" s="60">
        <f t="shared" ref="AM196:AM203" si="193">AL196+(AD196+AE196)*44/12</f>
        <v>293.33333333333678</v>
      </c>
      <c r="AN196" s="60">
        <f ca="1">AVERAGE(OFFSET($AM$3,0,0,'Données projet'!$E$10+1,1))-AVERAGE(OFFSET($H$3,0,0,'Données projet'!$E$10+1,1))</f>
        <v>323.98185264074681</v>
      </c>
      <c r="AO196" s="60">
        <f t="shared" si="144"/>
        <v>301.22207291854005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0.17685653677876778</v>
      </c>
      <c r="AV196" s="23">
        <f>EXP(-LN(2)/25)*AV195+(1-EXP(-LN(2)/25))/(LN(2)/25)*Calculateur!AQ196*Calculateur!AS196*VLOOKUP('Données projet'!$B$10,Paramètres!$A$1:$I$89,3,0)*0.475*44/12</f>
        <v>8.9866163585099593E-2</v>
      </c>
      <c r="AW196" s="23">
        <f>EXP(-LN(2)/2)*AW195+(1-EXP(-LN(2)/2))/(LN(2)/2)*AQ196*AT196*VLOOKUP('Données projet'!$B$10,Paramètres!$A$1:$I$89,3,0)*0.475*44/12</f>
        <v>1.7803944912998371E-24</v>
      </c>
      <c r="AX196" s="23">
        <f t="shared" si="166"/>
        <v>0.26672270036386736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-2.9262992029543969E-13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556.75475431848258</v>
      </c>
      <c r="BJ196" s="60">
        <f t="shared" si="146"/>
        <v>256.77417912163997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3.4106051316484809E-13</v>
      </c>
      <c r="BZ196" s="14">
        <f>BY196*VLOOKUP('Données projet'!$B$12,Paramètres!$A$1:$I$89,3,0)*VLOOKUP('Données projet'!$B$12,Paramètres!$A$1:$I$89,5,0)</f>
        <v>2.5006556825246659E-13</v>
      </c>
      <c r="CA196" s="14">
        <f t="shared" si="170"/>
        <v>3.3765445850268018E-12</v>
      </c>
      <c r="CB196" s="22">
        <f t="shared" si="171"/>
        <v>6.3163460169613921E-12</v>
      </c>
      <c r="CC196" s="60">
        <f t="shared" ref="CC196:CC203" si="195">CB196+(BT196+BU196)*44/12</f>
        <v>293.33333333333962</v>
      </c>
      <c r="CD196" s="60">
        <f ca="1">AVERAGE(OFFSET($CC$3,0,0,'Données projet'!$E$12+1,1))-AVERAGE(OFFSET($H$3,0,0,'Données projet'!$E$12+1,1))</f>
        <v>290.68086183422963</v>
      </c>
      <c r="CE196" s="60">
        <f t="shared" si="148"/>
        <v>317.88330630101785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1.9895196601282805E-13</v>
      </c>
      <c r="CU196" s="18">
        <f>CT196*VLOOKUP('Données projet'!$B$13,Paramètres!$A$1:$I$89,3,0)*VLOOKUP('Données projet'!$B$13,Paramètres!$A$1:$I$89,5,0)</f>
        <v>1.3035332813160495E-13</v>
      </c>
      <c r="CV196" s="14">
        <f t="shared" si="173"/>
        <v>1.8987770485018903E-12</v>
      </c>
      <c r="CW196" s="22">
        <f t="shared" si="174"/>
        <v>3.5340687393033375E-12</v>
      </c>
      <c r="CX196" s="60">
        <f t="shared" ref="CX196:CX203" si="196">CW196+(CO196+CP196)*44/12</f>
        <v>293.33333333333684</v>
      </c>
      <c r="CY196" s="60">
        <f ca="1">AVERAGE(OFFSET($CX$3,0,0,'Données projet'!$E$13+1,1))-AVERAGE(OFFSET($H$3,0,0,'Données projet'!$E$13+1,1))</f>
        <v>243.04319555814601</v>
      </c>
      <c r="CZ196" s="60">
        <f t="shared" si="150"/>
        <v>235.68746142880792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201.4732637505823</v>
      </c>
      <c r="DU196" s="60">
        <f t="shared" si="152"/>
        <v>342.06887933351783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0.26180391904013017</v>
      </c>
      <c r="EB196" s="23">
        <f>EXP(-LN(2)/25)*EB195+(1-EXP(-LN(2)/25))/(LN(2)/25)*Calculateur!DW196*Calculateur!DY196*VLOOKUP('Données projet'!$B$14,Paramètres!$A$1:$I$89,3,0)*0.475*44/12</f>
        <v>0.28812298564104843</v>
      </c>
      <c r="EC196" s="23">
        <f>EXP(-LN(2)/2)*EC195+(1-EXP(-LN(2)/2))/(LN(2)/2)*DW196*DZ196*VLOOKUP('Données projet'!$B$14,Paramètres!$A$1:$I$89,3,0)*0.475*44/12</f>
        <v>3.9180322073668473E-24</v>
      </c>
      <c r="ED196" s="24">
        <f t="shared" si="178"/>
        <v>0.54992690468117855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-2.0395418687257919E-13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260.01925143568263</v>
      </c>
      <c r="EP196" s="60">
        <f t="shared" si="154"/>
        <v>269.95358755269427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0.56324632823498699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0.56324632823498699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-9.2222762759774927E-14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256.19915261735281</v>
      </c>
      <c r="FK196" s="60">
        <f t="shared" si="156"/>
        <v>297.47246687305056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2.8421709430404007E-14</v>
      </c>
      <c r="GA196" s="18">
        <f>FZ196*VLOOKUP('Données projet'!$B$17,Paramètres!$A$1:$I$89,3,0)*VLOOKUP('Données projet'!$B$17,Paramètres!$A$1:$I$89,5,0)</f>
        <v>1.6257217794191094E-14</v>
      </c>
      <c r="GB196" s="14">
        <f t="shared" si="185"/>
        <v>3.0173973759155586E-13</v>
      </c>
      <c r="GC196" s="22">
        <f t="shared" si="186"/>
        <v>5.538446972968425E-13</v>
      </c>
      <c r="GD196" s="60">
        <f t="shared" ref="GD196:GD203" si="200">GC196+(FU196+FV196)*44/12</f>
        <v>293.33333333333388</v>
      </c>
      <c r="GE196" s="60">
        <f ca="1">AVERAGE(OFFSET($GD$3,0,0,'Données projet'!$E$17+1,1))-AVERAGE(OFFSET($H$3,0,0,'Données projet'!$E$17+1,1))</f>
        <v>268.71641789629319</v>
      </c>
      <c r="GF196" s="60">
        <f t="shared" si="158"/>
        <v>199.94048514486104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2.2880293134631548E-2</v>
      </c>
      <c r="GN196" s="23">
        <f>EXP(-LN(2)/2)*GN195+(1-EXP(-LN(2)/2))/(LN(2)/2)*GH196*GK196*VLOOKUP('Données projet'!$B$17,Paramètres!$A$1:$I$89,3,0)*0.475*44/12</f>
        <v>2.0400654411570886E-24</v>
      </c>
      <c r="GO196" s="23">
        <f t="shared" si="187"/>
        <v>2.2880293134631548E-2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-2.8421709430404007E-13</v>
      </c>
      <c r="GV196" s="18">
        <f>GU196*VLOOKUP('Données projet'!$B$18,Paramètres!$A$1:$I$89,3,0)*VLOOKUP('Données projet'!$B$18,Paramètres!$A$1:$I$89,5,0)</f>
        <v>-1.69961822393816E-13</v>
      </c>
      <c r="GW196" s="14" t="e">
        <f t="shared" si="188"/>
        <v>#NUM!</v>
      </c>
      <c r="GX196" s="22" t="e">
        <f t="shared" si="189"/>
        <v>#NUM!</v>
      </c>
      <c r="GY196" s="60" t="e">
        <f t="shared" ref="GY196:GY203" si="201">GX196+(GP196+GQ196)*44/12</f>
        <v>#NUM!</v>
      </c>
      <c r="GZ196" s="60">
        <f ca="1">AVERAGE(OFFSET($GY$3,0,0,'Données projet'!$E$18+1,1))-AVERAGE(OFFSET($H$3,0,0,'Données projet'!$E$18+1,1))</f>
        <v>289.12367833861299</v>
      </c>
      <c r="HA196" s="60">
        <f t="shared" si="160"/>
        <v>229.06617320689003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1.2127523279586997E-24</v>
      </c>
      <c r="HJ196" s="24">
        <f t="shared" si="190"/>
        <v>1.2127523279586997E-24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-8.2291080616414541E-13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430.11660085503223</v>
      </c>
      <c r="T197" s="60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1.2710188457276673E-13</v>
      </c>
      <c r="AK197" s="14">
        <f t="shared" si="164"/>
        <v>1.856866851063998E-12</v>
      </c>
      <c r="AL197" s="22">
        <f t="shared" si="165"/>
        <v>3.4554122145673649E-12</v>
      </c>
      <c r="AM197" s="60">
        <f t="shared" si="193"/>
        <v>293.33333333333678</v>
      </c>
      <c r="AN197" s="60">
        <f ca="1">AVERAGE(OFFSET($AM$3,0,0,'Données projet'!$E$10+1,1))-AVERAGE(OFFSET($H$3,0,0,'Données projet'!$E$10+1,1))</f>
        <v>323.98185264074681</v>
      </c>
      <c r="AO197" s="60">
        <f t="shared" ref="AO197:AO203" si="205">$AO$3</f>
        <v>301.22207291854005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0.17338848796437212</v>
      </c>
      <c r="AV197" s="23">
        <f>EXP(-LN(2)/25)*AV196+(1-EXP(-LN(2)/25))/(LN(2)/25)*Calculateur!AQ197*Calculateur!AS197*VLOOKUP('Données projet'!$B$10,Paramètres!$A$1:$I$89,3,0)*0.475*44/12</f>
        <v>8.7408768616008894E-2</v>
      </c>
      <c r="AW197" s="23">
        <f>EXP(-LN(2)/2)*AW196+(1-EXP(-LN(2)/2))/(LN(2)/2)*AQ197*AT197*VLOOKUP('Données projet'!$B$10,Paramètres!$A$1:$I$89,3,0)*0.475*44/12</f>
        <v>1.2589290179852885E-24</v>
      </c>
      <c r="AX197" s="23">
        <f t="shared" si="166"/>
        <v>0.260797256580381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-2.9262992029543969E-13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556.75475431848258</v>
      </c>
      <c r="BJ197" s="60">
        <f t="shared" ref="BJ197:BJ203" si="206">$BJ$3</f>
        <v>256.77417912163997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3.4106051316484809E-13</v>
      </c>
      <c r="BZ197" s="14">
        <f>BY197*VLOOKUP('Données projet'!$B$12,Paramètres!$A$1:$I$89,3,0)*VLOOKUP('Données projet'!$B$12,Paramètres!$A$1:$I$89,5,0)</f>
        <v>2.5006556825246659E-13</v>
      </c>
      <c r="CA197" s="14">
        <f t="shared" si="170"/>
        <v>3.3765445850268018E-12</v>
      </c>
      <c r="CB197" s="22">
        <f t="shared" si="171"/>
        <v>6.3163460169613921E-12</v>
      </c>
      <c r="CC197" s="60">
        <f t="shared" si="195"/>
        <v>293.33333333333962</v>
      </c>
      <c r="CD197" s="60">
        <f ca="1">AVERAGE(OFFSET($CC$3,0,0,'Données projet'!$E$12+1,1))-AVERAGE(OFFSET($H$3,0,0,'Données projet'!$E$12+1,1))</f>
        <v>290.68086183422963</v>
      </c>
      <c r="CE197" s="60">
        <f t="shared" ref="CE197:CE203" si="207">$CE$3</f>
        <v>317.88330630101785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1.9895196601282805E-13</v>
      </c>
      <c r="CU197" s="18">
        <f>CT197*VLOOKUP('Données projet'!$B$13,Paramètres!$A$1:$I$89,3,0)*VLOOKUP('Données projet'!$B$13,Paramètres!$A$1:$I$89,5,0)</f>
        <v>1.3035332813160495E-13</v>
      </c>
      <c r="CV197" s="14">
        <f t="shared" si="173"/>
        <v>1.8987770485018903E-12</v>
      </c>
      <c r="CW197" s="22">
        <f t="shared" si="174"/>
        <v>3.5340687393033375E-12</v>
      </c>
      <c r="CX197" s="60">
        <f t="shared" si="196"/>
        <v>293.33333333333684</v>
      </c>
      <c r="CY197" s="60">
        <f ca="1">AVERAGE(OFFSET($CX$3,0,0,'Données projet'!$E$13+1,1))-AVERAGE(OFFSET($H$3,0,0,'Données projet'!$E$13+1,1))</f>
        <v>243.04319555814601</v>
      </c>
      <c r="CZ197" s="60">
        <f t="shared" ref="CZ197:CZ203" si="208">$CZ$3</f>
        <v>235.68746142880792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201.4732637505823</v>
      </c>
      <c r="DU197" s="60">
        <f t="shared" ref="DU197:DU203" si="209">$DU$3</f>
        <v>342.06887933351783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0.25667010387237627</v>
      </c>
      <c r="EB197" s="23">
        <f>EXP(-LN(2)/25)*EB196+(1-EXP(-LN(2)/25))/(LN(2)/25)*Calculateur!DW197*Calculateur!DY197*VLOOKUP('Données projet'!$B$14,Paramètres!$A$1:$I$89,3,0)*0.475*44/12</f>
        <v>0.28024424744696469</v>
      </c>
      <c r="EC197" s="23">
        <f>EXP(-LN(2)/2)*EC196+(1-EXP(-LN(2)/2))/(LN(2)/2)*DW197*DZ197*VLOOKUP('Données projet'!$B$14,Paramètres!$A$1:$I$89,3,0)*0.475*44/12</f>
        <v>2.7704671427363951E-24</v>
      </c>
      <c r="ED197" s="24">
        <f t="shared" si="178"/>
        <v>0.53691435131934095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-2.0395418687257919E-13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260.01925143568263</v>
      </c>
      <c r="EP197" s="60">
        <f t="shared" ref="EP197:EP203" si="210">$EP$3</f>
        <v>269.95358755269427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0.55220141128463673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0.55220141128463673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-9.2222762759774927E-14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256.19915261735281</v>
      </c>
      <c r="FK197" s="60">
        <f t="shared" ref="FK197:FK203" si="211">$FK$3</f>
        <v>297.47246687305056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2.8421709430404007E-14</v>
      </c>
      <c r="GA197" s="18">
        <f>FZ197*VLOOKUP('Données projet'!$B$17,Paramètres!$A$1:$I$89,3,0)*VLOOKUP('Données projet'!$B$17,Paramètres!$A$1:$I$89,5,0)</f>
        <v>1.6257217794191094E-14</v>
      </c>
      <c r="GB197" s="14">
        <f t="shared" si="185"/>
        <v>3.0173973759155586E-13</v>
      </c>
      <c r="GC197" s="22">
        <f t="shared" si="186"/>
        <v>5.538446972968425E-13</v>
      </c>
      <c r="GD197" s="60">
        <f t="shared" si="200"/>
        <v>293.33333333333388</v>
      </c>
      <c r="GE197" s="60">
        <f ca="1">AVERAGE(OFFSET($GD$3,0,0,'Données projet'!$E$17+1,1))-AVERAGE(OFFSET($H$3,0,0,'Données projet'!$E$17+1,1))</f>
        <v>268.71641789629319</v>
      </c>
      <c r="GF197" s="60">
        <f t="shared" ref="GF197:GF203" si="212">$GF$3</f>
        <v>199.94048514486104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2.2254630315642725E-2</v>
      </c>
      <c r="GN197" s="23">
        <f>EXP(-LN(2)/2)*GN196+(1-EXP(-LN(2)/2))/(LN(2)/2)*GH197*GK197*VLOOKUP('Données projet'!$B$17,Paramètres!$A$1:$I$89,3,0)*0.475*44/12</f>
        <v>1.442544107506503E-24</v>
      </c>
      <c r="GO197" s="23">
        <f t="shared" si="187"/>
        <v>2.2254630315642725E-2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-2.8421709430404007E-13</v>
      </c>
      <c r="GV197" s="18">
        <f>GU197*VLOOKUP('Données projet'!$B$18,Paramètres!$A$1:$I$89,3,0)*VLOOKUP('Données projet'!$B$18,Paramètres!$A$1:$I$89,5,0)</f>
        <v>-1.69961822393816E-13</v>
      </c>
      <c r="GW197" s="14" t="e">
        <f t="shared" si="188"/>
        <v>#NUM!</v>
      </c>
      <c r="GX197" s="22" t="e">
        <f t="shared" si="189"/>
        <v>#NUM!</v>
      </c>
      <c r="GY197" s="60" t="e">
        <f t="shared" si="201"/>
        <v>#NUM!</v>
      </c>
      <c r="GZ197" s="60">
        <f ca="1">AVERAGE(OFFSET($GY$3,0,0,'Données projet'!$E$18+1,1))-AVERAGE(OFFSET($H$3,0,0,'Données projet'!$E$18+1,1))</f>
        <v>289.12367833861299</v>
      </c>
      <c r="HA197" s="60">
        <f t="shared" ref="HA197:HA203" si="213">$HA$3</f>
        <v>229.06617320689003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8.575453949993684E-25</v>
      </c>
      <c r="HJ197" s="24">
        <f t="shared" si="190"/>
        <v>8.575453949993684E-25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-8.2291080616414541E-13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430.11660085503223</v>
      </c>
      <c r="T198" s="60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1.2710188457276673E-13</v>
      </c>
      <c r="AK198" s="14">
        <f t="shared" si="164"/>
        <v>1.856866851063998E-12</v>
      </c>
      <c r="AL198" s="22">
        <f t="shared" si="165"/>
        <v>3.4554122145673649E-12</v>
      </c>
      <c r="AM198" s="60">
        <f t="shared" si="193"/>
        <v>293.33333333333678</v>
      </c>
      <c r="AN198" s="60">
        <f ca="1">AVERAGE(OFFSET($AM$3,0,0,'Données projet'!$E$10+1,1))-AVERAGE(OFFSET($H$3,0,0,'Données projet'!$E$10+1,1))</f>
        <v>323.98185264074681</v>
      </c>
      <c r="AO198" s="60">
        <f t="shared" si="205"/>
        <v>301.22207291854005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0.16998844547192585</v>
      </c>
      <c r="AV198" s="23">
        <f>EXP(-LN(2)/25)*AV197+(1-EXP(-LN(2)/25))/(LN(2)/25)*Calculateur!AQ198*Calculateur!AS198*VLOOKUP('Données projet'!$B$10,Paramètres!$A$1:$I$89,3,0)*0.475*44/12</f>
        <v>8.501857124157676E-2</v>
      </c>
      <c r="AW198" s="23">
        <f>EXP(-LN(2)/2)*AW197+(1-EXP(-LN(2)/2))/(LN(2)/2)*AQ198*AT198*VLOOKUP('Données projet'!$B$10,Paramètres!$A$1:$I$89,3,0)*0.475*44/12</f>
        <v>8.9019724564991855E-25</v>
      </c>
      <c r="AX198" s="23">
        <f t="shared" si="166"/>
        <v>0.25500701671350262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-2.9262992029543969E-13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556.75475431848258</v>
      </c>
      <c r="BJ198" s="60">
        <f t="shared" si="206"/>
        <v>256.77417912163997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3.4106051316484809E-13</v>
      </c>
      <c r="BZ198" s="14">
        <f>BY198*VLOOKUP('Données projet'!$B$12,Paramètres!$A$1:$I$89,3,0)*VLOOKUP('Données projet'!$B$12,Paramètres!$A$1:$I$89,5,0)</f>
        <v>2.5006556825246659E-13</v>
      </c>
      <c r="CA198" s="14">
        <f t="shared" si="170"/>
        <v>3.3765445850268018E-12</v>
      </c>
      <c r="CB198" s="22">
        <f t="shared" si="171"/>
        <v>6.3163460169613921E-12</v>
      </c>
      <c r="CC198" s="60">
        <f t="shared" si="195"/>
        <v>293.33333333333962</v>
      </c>
      <c r="CD198" s="60">
        <f ca="1">AVERAGE(OFFSET($CC$3,0,0,'Données projet'!$E$12+1,1))-AVERAGE(OFFSET($H$3,0,0,'Données projet'!$E$12+1,1))</f>
        <v>290.68086183422963</v>
      </c>
      <c r="CE198" s="60">
        <f t="shared" si="207"/>
        <v>317.88330630101785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1.9895196601282805E-13</v>
      </c>
      <c r="CU198" s="18">
        <f>CT198*VLOOKUP('Données projet'!$B$13,Paramètres!$A$1:$I$89,3,0)*VLOOKUP('Données projet'!$B$13,Paramètres!$A$1:$I$89,5,0)</f>
        <v>1.3035332813160495E-13</v>
      </c>
      <c r="CV198" s="14">
        <f t="shared" si="173"/>
        <v>1.8987770485018903E-12</v>
      </c>
      <c r="CW198" s="22">
        <f t="shared" si="174"/>
        <v>3.5340687393033375E-12</v>
      </c>
      <c r="CX198" s="60">
        <f t="shared" si="196"/>
        <v>293.33333333333684</v>
      </c>
      <c r="CY198" s="60">
        <f ca="1">AVERAGE(OFFSET($CX$3,0,0,'Données projet'!$E$13+1,1))-AVERAGE(OFFSET($H$3,0,0,'Données projet'!$E$13+1,1))</f>
        <v>243.04319555814601</v>
      </c>
      <c r="CZ198" s="60">
        <f t="shared" si="208"/>
        <v>235.68746142880792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201.4732637505823</v>
      </c>
      <c r="DU198" s="60">
        <f t="shared" si="209"/>
        <v>342.06887933351783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0.251636959688744</v>
      </c>
      <c r="EB198" s="23">
        <f>EXP(-LN(2)/25)*EB197+(1-EXP(-LN(2)/25))/(LN(2)/25)*Calculateur!DW198*Calculateur!DY198*VLOOKUP('Données projet'!$B$14,Paramètres!$A$1:$I$89,3,0)*0.475*44/12</f>
        <v>0.27258095376312297</v>
      </c>
      <c r="EC198" s="23">
        <f>EXP(-LN(2)/2)*EC197+(1-EXP(-LN(2)/2))/(LN(2)/2)*DW198*DZ198*VLOOKUP('Données projet'!$B$14,Paramètres!$A$1:$I$89,3,0)*0.475*44/12</f>
        <v>1.9590161036834237E-24</v>
      </c>
      <c r="ED198" s="24">
        <f t="shared" si="178"/>
        <v>0.52421791345186697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-2.0395418687257919E-13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260.01925143568263</v>
      </c>
      <c r="EP198" s="60">
        <f t="shared" si="210"/>
        <v>269.95358755269427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0.54137307841894866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0.54137307841894866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-9.2222762759774927E-14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256.19915261735281</v>
      </c>
      <c r="FK198" s="60">
        <f t="shared" si="211"/>
        <v>297.47246687305056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2.8421709430404007E-14</v>
      </c>
      <c r="GA198" s="18">
        <f>FZ198*VLOOKUP('Données projet'!$B$17,Paramètres!$A$1:$I$89,3,0)*VLOOKUP('Données projet'!$B$17,Paramètres!$A$1:$I$89,5,0)</f>
        <v>1.6257217794191094E-14</v>
      </c>
      <c r="GB198" s="14">
        <f t="shared" si="185"/>
        <v>3.0173973759155586E-13</v>
      </c>
      <c r="GC198" s="22">
        <f t="shared" si="186"/>
        <v>5.538446972968425E-13</v>
      </c>
      <c r="GD198" s="60">
        <f t="shared" si="200"/>
        <v>293.33333333333388</v>
      </c>
      <c r="GE198" s="60">
        <f ca="1">AVERAGE(OFFSET($GD$3,0,0,'Données projet'!$E$17+1,1))-AVERAGE(OFFSET($H$3,0,0,'Données projet'!$E$17+1,1))</f>
        <v>268.71641789629319</v>
      </c>
      <c r="GF198" s="60">
        <f t="shared" si="212"/>
        <v>199.94048514486104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2.1646076279341328E-2</v>
      </c>
      <c r="GN198" s="23">
        <f>EXP(-LN(2)/2)*GN197+(1-EXP(-LN(2)/2))/(LN(2)/2)*GH198*GK198*VLOOKUP('Données projet'!$B$17,Paramètres!$A$1:$I$89,3,0)*0.475*44/12</f>
        <v>1.0200327205785443E-24</v>
      </c>
      <c r="GO198" s="23">
        <f t="shared" si="187"/>
        <v>2.1646076279341328E-2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-2.8421709430404007E-13</v>
      </c>
      <c r="GV198" s="18">
        <f>GU198*VLOOKUP('Données projet'!$B$18,Paramètres!$A$1:$I$89,3,0)*VLOOKUP('Données projet'!$B$18,Paramètres!$A$1:$I$89,5,0)</f>
        <v>-1.69961822393816E-13</v>
      </c>
      <c r="GW198" s="14" t="e">
        <f t="shared" si="188"/>
        <v>#NUM!</v>
      </c>
      <c r="GX198" s="22" t="e">
        <f t="shared" si="189"/>
        <v>#NUM!</v>
      </c>
      <c r="GY198" s="60" t="e">
        <f t="shared" si="201"/>
        <v>#NUM!</v>
      </c>
      <c r="GZ198" s="60">
        <f ca="1">AVERAGE(OFFSET($GY$3,0,0,'Données projet'!$E$18+1,1))-AVERAGE(OFFSET($H$3,0,0,'Données projet'!$E$18+1,1))</f>
        <v>289.12367833861299</v>
      </c>
      <c r="HA198" s="60">
        <f t="shared" si="213"/>
        <v>229.06617320689003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6.0637616397934987E-25</v>
      </c>
      <c r="HJ198" s="24">
        <f t="shared" si="190"/>
        <v>6.0637616397934987E-25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-8.2291080616414541E-13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430.11660085503223</v>
      </c>
      <c r="T199" s="60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1.2710188457276673E-13</v>
      </c>
      <c r="AK199" s="14">
        <f t="shared" si="164"/>
        <v>1.856866851063998E-12</v>
      </c>
      <c r="AL199" s="22">
        <f t="shared" si="165"/>
        <v>3.4554122145673649E-12</v>
      </c>
      <c r="AM199" s="60">
        <f t="shared" si="193"/>
        <v>293.33333333333678</v>
      </c>
      <c r="AN199" s="60">
        <f ca="1">AVERAGE(OFFSET($AM$3,0,0,'Données projet'!$E$10+1,1))-AVERAGE(OFFSET($H$3,0,0,'Données projet'!$E$10+1,1))</f>
        <v>323.98185264074681</v>
      </c>
      <c r="AO199" s="60">
        <f t="shared" si="205"/>
        <v>301.22207291854005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0.16665507573893532</v>
      </c>
      <c r="AV199" s="23">
        <f>EXP(-LN(2)/25)*AV198+(1-EXP(-LN(2)/25))/(LN(2)/25)*Calculateur!AQ199*Calculateur!AS199*VLOOKUP('Données projet'!$B$10,Paramètres!$A$1:$I$89,3,0)*0.475*44/12</f>
        <v>8.2693733940043493E-2</v>
      </c>
      <c r="AW199" s="23">
        <f>EXP(-LN(2)/2)*AW198+(1-EXP(-LN(2)/2))/(LN(2)/2)*AQ199*AT199*VLOOKUP('Données projet'!$B$10,Paramètres!$A$1:$I$89,3,0)*0.475*44/12</f>
        <v>6.2946450899264426E-25</v>
      </c>
      <c r="AX199" s="23">
        <f t="shared" si="166"/>
        <v>0.24934880967897882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-2.9262992029543969E-13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556.75475431848258</v>
      </c>
      <c r="BJ199" s="60">
        <f t="shared" si="206"/>
        <v>256.77417912163997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3.4106051316484809E-13</v>
      </c>
      <c r="BZ199" s="14">
        <f>BY199*VLOOKUP('Données projet'!$B$12,Paramètres!$A$1:$I$89,3,0)*VLOOKUP('Données projet'!$B$12,Paramètres!$A$1:$I$89,5,0)</f>
        <v>2.5006556825246659E-13</v>
      </c>
      <c r="CA199" s="14">
        <f t="shared" si="170"/>
        <v>3.3765445850268018E-12</v>
      </c>
      <c r="CB199" s="22">
        <f t="shared" si="171"/>
        <v>6.3163460169613921E-12</v>
      </c>
      <c r="CC199" s="60">
        <f t="shared" si="195"/>
        <v>293.33333333333962</v>
      </c>
      <c r="CD199" s="60">
        <f ca="1">AVERAGE(OFFSET($CC$3,0,0,'Données projet'!$E$12+1,1))-AVERAGE(OFFSET($H$3,0,0,'Données projet'!$E$12+1,1))</f>
        <v>290.68086183422963</v>
      </c>
      <c r="CE199" s="60">
        <f t="shared" si="207"/>
        <v>317.88330630101785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1.9895196601282805E-13</v>
      </c>
      <c r="CU199" s="18">
        <f>CT199*VLOOKUP('Données projet'!$B$13,Paramètres!$A$1:$I$89,3,0)*VLOOKUP('Données projet'!$B$13,Paramètres!$A$1:$I$89,5,0)</f>
        <v>1.3035332813160495E-13</v>
      </c>
      <c r="CV199" s="14">
        <f t="shared" si="173"/>
        <v>1.8987770485018903E-12</v>
      </c>
      <c r="CW199" s="22">
        <f t="shared" si="174"/>
        <v>3.5340687393033375E-12</v>
      </c>
      <c r="CX199" s="60">
        <f t="shared" si="196"/>
        <v>293.33333333333684</v>
      </c>
      <c r="CY199" s="60">
        <f ca="1">AVERAGE(OFFSET($CX$3,0,0,'Données projet'!$E$13+1,1))-AVERAGE(OFFSET($H$3,0,0,'Données projet'!$E$13+1,1))</f>
        <v>243.04319555814601</v>
      </c>
      <c r="CZ199" s="60">
        <f t="shared" si="208"/>
        <v>235.68746142880792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201.4732637505823</v>
      </c>
      <c r="DU199" s="60">
        <f t="shared" si="209"/>
        <v>342.06887933351783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0.24670251239263791</v>
      </c>
      <c r="EB199" s="23">
        <f>EXP(-LN(2)/25)*EB198+(1-EXP(-LN(2)/25))/(LN(2)/25)*Calculateur!DW199*Calculateur!DY199*VLOOKUP('Données projet'!$B$14,Paramètres!$A$1:$I$89,3,0)*0.475*44/12</f>
        <v>0.26512721324806099</v>
      </c>
      <c r="EC199" s="23">
        <f>EXP(-LN(2)/2)*EC198+(1-EXP(-LN(2)/2))/(LN(2)/2)*DW199*DZ199*VLOOKUP('Données projet'!$B$14,Paramètres!$A$1:$I$89,3,0)*0.475*44/12</f>
        <v>1.3852335713681976E-24</v>
      </c>
      <c r="ED199" s="24">
        <f t="shared" si="178"/>
        <v>0.51182972564069895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-2.0395418687257919E-13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260.01925143568263</v>
      </c>
      <c r="EP199" s="60">
        <f t="shared" si="210"/>
        <v>269.95358755269427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0.53075708255612586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0.53075708255612586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-9.2222762759774927E-14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256.19915261735281</v>
      </c>
      <c r="FK199" s="60">
        <f t="shared" si="211"/>
        <v>297.47246687305056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2.8421709430404007E-14</v>
      </c>
      <c r="GA199" s="18">
        <f>FZ199*VLOOKUP('Données projet'!$B$17,Paramètres!$A$1:$I$89,3,0)*VLOOKUP('Données projet'!$B$17,Paramètres!$A$1:$I$89,5,0)</f>
        <v>1.6257217794191094E-14</v>
      </c>
      <c r="GB199" s="14">
        <f t="shared" si="185"/>
        <v>3.0173973759155586E-13</v>
      </c>
      <c r="GC199" s="22">
        <f t="shared" si="186"/>
        <v>5.538446972968425E-13</v>
      </c>
      <c r="GD199" s="60">
        <f t="shared" si="200"/>
        <v>293.33333333333388</v>
      </c>
      <c r="GE199" s="60">
        <f ca="1">AVERAGE(OFFSET($GD$3,0,0,'Données projet'!$E$17+1,1))-AVERAGE(OFFSET($H$3,0,0,'Données projet'!$E$17+1,1))</f>
        <v>268.71641789629319</v>
      </c>
      <c r="GF199" s="60">
        <f t="shared" si="212"/>
        <v>199.94048514486104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2.1054163185165061E-2</v>
      </c>
      <c r="GN199" s="23">
        <f>EXP(-LN(2)/2)*GN198+(1-EXP(-LN(2)/2))/(LN(2)/2)*GH199*GK199*VLOOKUP('Données projet'!$B$17,Paramètres!$A$1:$I$89,3,0)*0.475*44/12</f>
        <v>7.2127205375325151E-25</v>
      </c>
      <c r="GO199" s="23">
        <f t="shared" si="187"/>
        <v>2.1054163185165061E-2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-2.8421709430404007E-13</v>
      </c>
      <c r="GV199" s="18">
        <f>GU199*VLOOKUP('Données projet'!$B$18,Paramètres!$A$1:$I$89,3,0)*VLOOKUP('Données projet'!$B$18,Paramètres!$A$1:$I$89,5,0)</f>
        <v>-1.69961822393816E-13</v>
      </c>
      <c r="GW199" s="14" t="e">
        <f t="shared" si="188"/>
        <v>#NUM!</v>
      </c>
      <c r="GX199" s="22" t="e">
        <f t="shared" si="189"/>
        <v>#NUM!</v>
      </c>
      <c r="GY199" s="60" t="e">
        <f t="shared" si="201"/>
        <v>#NUM!</v>
      </c>
      <c r="GZ199" s="60">
        <f ca="1">AVERAGE(OFFSET($GY$3,0,0,'Données projet'!$E$18+1,1))-AVERAGE(OFFSET($H$3,0,0,'Données projet'!$E$18+1,1))</f>
        <v>289.12367833861299</v>
      </c>
      <c r="HA199" s="60">
        <f t="shared" si="213"/>
        <v>229.06617320689003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4.287726974996842E-25</v>
      </c>
      <c r="HJ199" s="24">
        <f t="shared" si="190"/>
        <v>4.287726974996842E-25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-8.2291080616414541E-13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430.11660085503223</v>
      </c>
      <c r="T200" s="60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1.2710188457276673E-13</v>
      </c>
      <c r="AK200" s="14">
        <f t="shared" si="164"/>
        <v>1.856866851063998E-12</v>
      </c>
      <c r="AL200" s="22">
        <f t="shared" si="165"/>
        <v>3.4554122145673649E-12</v>
      </c>
      <c r="AM200" s="60">
        <f t="shared" si="193"/>
        <v>293.33333333333678</v>
      </c>
      <c r="AN200" s="60">
        <f ca="1">AVERAGE(OFFSET($AM$3,0,0,'Données projet'!$E$10+1,1))-AVERAGE(OFFSET($H$3,0,0,'Données projet'!$E$10+1,1))</f>
        <v>323.98185264074681</v>
      </c>
      <c r="AO200" s="60">
        <f t="shared" si="205"/>
        <v>301.22207291854005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0.16338707135325392</v>
      </c>
      <c r="AV200" s="23">
        <f>EXP(-LN(2)/25)*AV199+(1-EXP(-LN(2)/25))/(LN(2)/25)*Calculateur!AQ200*Calculateur!AS200*VLOOKUP('Données projet'!$B$10,Paramètres!$A$1:$I$89,3,0)*0.475*44/12</f>
        <v>8.0432469436778536E-2</v>
      </c>
      <c r="AW200" s="23">
        <f>EXP(-LN(2)/2)*AW199+(1-EXP(-LN(2)/2))/(LN(2)/2)*AQ200*AT200*VLOOKUP('Données projet'!$B$10,Paramètres!$A$1:$I$89,3,0)*0.475*44/12</f>
        <v>4.4509862282495927E-25</v>
      </c>
      <c r="AX200" s="23">
        <f t="shared" si="166"/>
        <v>0.24381954079003246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-2.9262992029543969E-13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556.75475431848258</v>
      </c>
      <c r="BJ200" s="60">
        <f t="shared" si="206"/>
        <v>256.77417912163997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3.4106051316484809E-13</v>
      </c>
      <c r="BZ200" s="14">
        <f>BY200*VLOOKUP('Données projet'!$B$12,Paramètres!$A$1:$I$89,3,0)*VLOOKUP('Données projet'!$B$12,Paramètres!$A$1:$I$89,5,0)</f>
        <v>2.5006556825246659E-13</v>
      </c>
      <c r="CA200" s="14">
        <f t="shared" si="170"/>
        <v>3.3765445850268018E-12</v>
      </c>
      <c r="CB200" s="22">
        <f t="shared" si="171"/>
        <v>6.3163460169613921E-12</v>
      </c>
      <c r="CC200" s="60">
        <f t="shared" si="195"/>
        <v>293.33333333333962</v>
      </c>
      <c r="CD200" s="60">
        <f ca="1">AVERAGE(OFFSET($CC$3,0,0,'Données projet'!$E$12+1,1))-AVERAGE(OFFSET($H$3,0,0,'Données projet'!$E$12+1,1))</f>
        <v>290.68086183422963</v>
      </c>
      <c r="CE200" s="60">
        <f t="shared" si="207"/>
        <v>317.88330630101785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1.9895196601282805E-13</v>
      </c>
      <c r="CU200" s="18">
        <f>CT200*VLOOKUP('Données projet'!$B$13,Paramètres!$A$1:$I$89,3,0)*VLOOKUP('Données projet'!$B$13,Paramètres!$A$1:$I$89,5,0)</f>
        <v>1.3035332813160495E-13</v>
      </c>
      <c r="CV200" s="14">
        <f t="shared" si="173"/>
        <v>1.8987770485018903E-12</v>
      </c>
      <c r="CW200" s="22">
        <f t="shared" si="174"/>
        <v>3.5340687393033375E-12</v>
      </c>
      <c r="CX200" s="60">
        <f t="shared" si="196"/>
        <v>293.33333333333684</v>
      </c>
      <c r="CY200" s="60">
        <f ca="1">AVERAGE(OFFSET($CX$3,0,0,'Données projet'!$E$13+1,1))-AVERAGE(OFFSET($H$3,0,0,'Données projet'!$E$13+1,1))</f>
        <v>243.04319555814601</v>
      </c>
      <c r="CZ200" s="60">
        <f t="shared" si="208"/>
        <v>235.68746142880792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201.4732637505823</v>
      </c>
      <c r="DU200" s="60">
        <f t="shared" si="209"/>
        <v>342.06887933351783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0.24186482659829281</v>
      </c>
      <c r="EB200" s="23">
        <f>EXP(-LN(2)/25)*EB199+(1-EXP(-LN(2)/25))/(LN(2)/25)*Calculateur!DW200*Calculateur!DY200*VLOOKUP('Données projet'!$B$14,Paramètres!$A$1:$I$89,3,0)*0.475*44/12</f>
        <v>0.25787729565935857</v>
      </c>
      <c r="EC200" s="23">
        <f>EXP(-LN(2)/2)*EC199+(1-EXP(-LN(2)/2))/(LN(2)/2)*DW200*DZ200*VLOOKUP('Données projet'!$B$14,Paramètres!$A$1:$I$89,3,0)*0.475*44/12</f>
        <v>9.7950805184171183E-25</v>
      </c>
      <c r="ED200" s="24">
        <f t="shared" si="178"/>
        <v>0.49974212225765136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-2.0395418687257919E-13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260.01925143568263</v>
      </c>
      <c r="EP200" s="60">
        <f t="shared" si="210"/>
        <v>269.95358755269427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0.52034925989705494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0.52034925989705494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-9.2222762759774927E-14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256.19915261735281</v>
      </c>
      <c r="FK200" s="60">
        <f t="shared" si="211"/>
        <v>297.47246687305056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2.8421709430404007E-14</v>
      </c>
      <c r="GA200" s="18">
        <f>FZ200*VLOOKUP('Données projet'!$B$17,Paramètres!$A$1:$I$89,3,0)*VLOOKUP('Données projet'!$B$17,Paramètres!$A$1:$I$89,5,0)</f>
        <v>1.6257217794191094E-14</v>
      </c>
      <c r="GB200" s="14">
        <f t="shared" si="185"/>
        <v>3.0173973759155586E-13</v>
      </c>
      <c r="GC200" s="22">
        <f t="shared" si="186"/>
        <v>5.538446972968425E-13</v>
      </c>
      <c r="GD200" s="60">
        <f t="shared" si="200"/>
        <v>293.33333333333388</v>
      </c>
      <c r="GE200" s="60">
        <f ca="1">AVERAGE(OFFSET($GD$3,0,0,'Données projet'!$E$17+1,1))-AVERAGE(OFFSET($H$3,0,0,'Données projet'!$E$17+1,1))</f>
        <v>268.71641789629319</v>
      </c>
      <c r="GF200" s="60">
        <f t="shared" si="212"/>
        <v>199.94048514486104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2.0478435985676401E-2</v>
      </c>
      <c r="GN200" s="23">
        <f>EXP(-LN(2)/2)*GN199+(1-EXP(-LN(2)/2))/(LN(2)/2)*GH200*GK200*VLOOKUP('Données projet'!$B$17,Paramètres!$A$1:$I$89,3,0)*0.475*44/12</f>
        <v>5.1001636028927215E-25</v>
      </c>
      <c r="GO200" s="23">
        <f t="shared" si="187"/>
        <v>2.0478435985676401E-2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-2.8421709430404007E-13</v>
      </c>
      <c r="GV200" s="18">
        <f>GU200*VLOOKUP('Données projet'!$B$18,Paramètres!$A$1:$I$89,3,0)*VLOOKUP('Données projet'!$B$18,Paramètres!$A$1:$I$89,5,0)</f>
        <v>-1.69961822393816E-13</v>
      </c>
      <c r="GW200" s="14" t="e">
        <f t="shared" si="188"/>
        <v>#NUM!</v>
      </c>
      <c r="GX200" s="22" t="e">
        <f t="shared" si="189"/>
        <v>#NUM!</v>
      </c>
      <c r="GY200" s="60" t="e">
        <f t="shared" si="201"/>
        <v>#NUM!</v>
      </c>
      <c r="GZ200" s="60">
        <f ca="1">AVERAGE(OFFSET($GY$3,0,0,'Données projet'!$E$18+1,1))-AVERAGE(OFFSET($H$3,0,0,'Données projet'!$E$18+1,1))</f>
        <v>289.12367833861299</v>
      </c>
      <c r="HA200" s="60">
        <f t="shared" si="213"/>
        <v>229.06617320689003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3.0318808198967493E-25</v>
      </c>
      <c r="HJ200" s="24">
        <f t="shared" si="190"/>
        <v>3.0318808198967493E-25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-8.2291080616414541E-13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430.11660085503223</v>
      </c>
      <c r="T201" s="60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1.2710188457276673E-13</v>
      </c>
      <c r="AK201" s="14">
        <f t="shared" si="164"/>
        <v>1.856866851063998E-12</v>
      </c>
      <c r="AL201" s="22">
        <f t="shared" si="165"/>
        <v>3.4554122145673649E-12</v>
      </c>
      <c r="AM201" s="60">
        <f t="shared" si="193"/>
        <v>293.33333333333678</v>
      </c>
      <c r="AN201" s="60">
        <f ca="1">AVERAGE(OFFSET($AM$3,0,0,'Données projet'!$E$10+1,1))-AVERAGE(OFFSET($H$3,0,0,'Données projet'!$E$10+1,1))</f>
        <v>323.98185264074681</v>
      </c>
      <c r="AO201" s="60">
        <f t="shared" si="205"/>
        <v>301.22207291854005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0.16018315054028989</v>
      </c>
      <c r="AV201" s="23">
        <f>EXP(-LN(2)/25)*AV200+(1-EXP(-LN(2)/25))/(LN(2)/25)*Calculateur!AQ201*Calculateur!AS201*VLOOKUP('Données projet'!$B$10,Paramètres!$A$1:$I$89,3,0)*0.475*44/12</f>
        <v>7.8233039330270093E-2</v>
      </c>
      <c r="AW201" s="23">
        <f>EXP(-LN(2)/2)*AW200+(1-EXP(-LN(2)/2))/(LN(2)/2)*AQ201*AT201*VLOOKUP('Données projet'!$B$10,Paramètres!$A$1:$I$89,3,0)*0.475*44/12</f>
        <v>3.1473225449632213E-25</v>
      </c>
      <c r="AX201" s="23">
        <f t="shared" si="166"/>
        <v>0.23841618987055999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-2.9262992029543969E-13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556.75475431848258</v>
      </c>
      <c r="BJ201" s="60">
        <f t="shared" si="206"/>
        <v>256.77417912163997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3.4106051316484809E-13</v>
      </c>
      <c r="BZ201" s="14">
        <f>BY201*VLOOKUP('Données projet'!$B$12,Paramètres!$A$1:$I$89,3,0)*VLOOKUP('Données projet'!$B$12,Paramètres!$A$1:$I$89,5,0)</f>
        <v>2.5006556825246659E-13</v>
      </c>
      <c r="CA201" s="14">
        <f t="shared" si="170"/>
        <v>3.3765445850268018E-12</v>
      </c>
      <c r="CB201" s="22">
        <f t="shared" si="171"/>
        <v>6.3163460169613921E-12</v>
      </c>
      <c r="CC201" s="60">
        <f t="shared" si="195"/>
        <v>293.33333333333962</v>
      </c>
      <c r="CD201" s="60">
        <f ca="1">AVERAGE(OFFSET($CC$3,0,0,'Données projet'!$E$12+1,1))-AVERAGE(OFFSET($H$3,0,0,'Données projet'!$E$12+1,1))</f>
        <v>290.68086183422963</v>
      </c>
      <c r="CE201" s="60">
        <f t="shared" si="207"/>
        <v>317.88330630101785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1.9895196601282805E-13</v>
      </c>
      <c r="CU201" s="18">
        <f>CT201*VLOOKUP('Données projet'!$B$13,Paramètres!$A$1:$I$89,3,0)*VLOOKUP('Données projet'!$B$13,Paramètres!$A$1:$I$89,5,0)</f>
        <v>1.3035332813160495E-13</v>
      </c>
      <c r="CV201" s="14">
        <f t="shared" si="173"/>
        <v>1.8987770485018903E-12</v>
      </c>
      <c r="CW201" s="22">
        <f t="shared" si="174"/>
        <v>3.5340687393033375E-12</v>
      </c>
      <c r="CX201" s="60">
        <f t="shared" si="196"/>
        <v>293.33333333333684</v>
      </c>
      <c r="CY201" s="60">
        <f ca="1">AVERAGE(OFFSET($CX$3,0,0,'Données projet'!$E$13+1,1))-AVERAGE(OFFSET($H$3,0,0,'Données projet'!$E$13+1,1))</f>
        <v>243.04319555814601</v>
      </c>
      <c r="CZ201" s="60">
        <f t="shared" si="208"/>
        <v>235.68746142880792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201.4732637505823</v>
      </c>
      <c r="DU201" s="60">
        <f t="shared" si="209"/>
        <v>342.06887933351783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0.23712200487167784</v>
      </c>
      <c r="EB201" s="23">
        <f>EXP(-LN(2)/25)*EB200+(1-EXP(-LN(2)/25))/(LN(2)/25)*Calculateur!DW201*Calculateur!DY201*VLOOKUP('Données projet'!$B$14,Paramètres!$A$1:$I$89,3,0)*0.475*44/12</f>
        <v>0.25082562744837583</v>
      </c>
      <c r="EC201" s="23">
        <f>EXP(-LN(2)/2)*EC200+(1-EXP(-LN(2)/2))/(LN(2)/2)*DW201*DZ201*VLOOKUP('Données projet'!$B$14,Paramètres!$A$1:$I$89,3,0)*0.475*44/12</f>
        <v>6.9261678568409878E-25</v>
      </c>
      <c r="ED201" s="24">
        <f t="shared" si="178"/>
        <v>0.48794763232005367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-2.0395418687257919E-13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260.01925143568263</v>
      </c>
      <c r="EP201" s="60">
        <f t="shared" si="210"/>
        <v>269.95358755269427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0.5101455282921834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0.5101455282921834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-9.2222762759774927E-14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256.19915261735281</v>
      </c>
      <c r="FK201" s="60">
        <f t="shared" si="211"/>
        <v>297.47246687305056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2.8421709430404007E-14</v>
      </c>
      <c r="GA201" s="18">
        <f>FZ201*VLOOKUP('Données projet'!$B$17,Paramètres!$A$1:$I$89,3,0)*VLOOKUP('Données projet'!$B$17,Paramètres!$A$1:$I$89,5,0)</f>
        <v>1.6257217794191094E-14</v>
      </c>
      <c r="GB201" s="14">
        <f t="shared" si="185"/>
        <v>3.0173973759155586E-13</v>
      </c>
      <c r="GC201" s="22">
        <f t="shared" si="186"/>
        <v>5.538446972968425E-13</v>
      </c>
      <c r="GD201" s="60">
        <f t="shared" si="200"/>
        <v>293.33333333333388</v>
      </c>
      <c r="GE201" s="60">
        <f ca="1">AVERAGE(OFFSET($GD$3,0,0,'Données projet'!$E$17+1,1))-AVERAGE(OFFSET($H$3,0,0,'Données projet'!$E$17+1,1))</f>
        <v>268.71641789629319</v>
      </c>
      <c r="GF201" s="60">
        <f t="shared" si="212"/>
        <v>199.94048514486104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1.9918452076733935E-2</v>
      </c>
      <c r="GN201" s="23">
        <f>EXP(-LN(2)/2)*GN200+(1-EXP(-LN(2)/2))/(LN(2)/2)*GH201*GK201*VLOOKUP('Données projet'!$B$17,Paramètres!$A$1:$I$89,3,0)*0.475*44/12</f>
        <v>3.6063602687662576E-25</v>
      </c>
      <c r="GO201" s="23">
        <f t="shared" si="187"/>
        <v>1.9918452076733935E-2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-2.8421709430404007E-13</v>
      </c>
      <c r="GV201" s="18">
        <f>GU201*VLOOKUP('Données projet'!$B$18,Paramètres!$A$1:$I$89,3,0)*VLOOKUP('Données projet'!$B$18,Paramètres!$A$1:$I$89,5,0)</f>
        <v>-1.69961822393816E-13</v>
      </c>
      <c r="GW201" s="14" t="e">
        <f t="shared" si="188"/>
        <v>#NUM!</v>
      </c>
      <c r="GX201" s="22" t="e">
        <f t="shared" si="189"/>
        <v>#NUM!</v>
      </c>
      <c r="GY201" s="60" t="e">
        <f t="shared" si="201"/>
        <v>#NUM!</v>
      </c>
      <c r="GZ201" s="60">
        <f ca="1">AVERAGE(OFFSET($GY$3,0,0,'Données projet'!$E$18+1,1))-AVERAGE(OFFSET($H$3,0,0,'Données projet'!$E$18+1,1))</f>
        <v>289.12367833861299</v>
      </c>
      <c r="HA201" s="60">
        <f t="shared" si="213"/>
        <v>229.06617320689003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2.143863487498421E-25</v>
      </c>
      <c r="HJ201" s="24">
        <f t="shared" si="190"/>
        <v>2.143863487498421E-25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-8.2291080616414541E-13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430.11660085503223</v>
      </c>
      <c r="T202" s="60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1.2710188457276673E-13</v>
      </c>
      <c r="AK202" s="14">
        <f t="shared" si="164"/>
        <v>1.856866851063998E-12</v>
      </c>
      <c r="AL202" s="22">
        <f t="shared" si="165"/>
        <v>3.4554122145673649E-12</v>
      </c>
      <c r="AM202" s="60">
        <f t="shared" si="193"/>
        <v>293.33333333333678</v>
      </c>
      <c r="AN202" s="60">
        <f ca="1">AVERAGE(OFFSET($AM$3,0,0,'Données projet'!$E$10+1,1))-AVERAGE(OFFSET($H$3,0,0,'Données projet'!$E$10+1,1))</f>
        <v>323.98185264074681</v>
      </c>
      <c r="AO202" s="60">
        <f t="shared" si="205"/>
        <v>301.22207291854005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0.15704205666026935</v>
      </c>
      <c r="AV202" s="23">
        <f>EXP(-LN(2)/25)*AV201+(1-EXP(-LN(2)/25))/(LN(2)/25)*Calculateur!AQ202*Calculateur!AS202*VLOOKUP('Données projet'!$B$10,Paramètres!$A$1:$I$89,3,0)*0.475*44/12</f>
        <v>7.6093752755687125E-2</v>
      </c>
      <c r="AW202" s="23">
        <f>EXP(-LN(2)/2)*AW201+(1-EXP(-LN(2)/2))/(LN(2)/2)*AQ202*AT202*VLOOKUP('Données projet'!$B$10,Paramètres!$A$1:$I$89,3,0)*0.475*44/12</f>
        <v>2.2254931141247964E-25</v>
      </c>
      <c r="AX202" s="23">
        <f t="shared" si="166"/>
        <v>0.23313580941595646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-2.9262992029543969E-13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556.75475431848258</v>
      </c>
      <c r="BJ202" s="60">
        <f t="shared" si="206"/>
        <v>256.77417912163997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3.4106051316484809E-13</v>
      </c>
      <c r="BZ202" s="14">
        <f>BY202*VLOOKUP('Données projet'!$B$12,Paramètres!$A$1:$I$89,3,0)*VLOOKUP('Données projet'!$B$12,Paramètres!$A$1:$I$89,5,0)</f>
        <v>2.5006556825246659E-13</v>
      </c>
      <c r="CA202" s="14">
        <f t="shared" si="170"/>
        <v>3.3765445850268018E-12</v>
      </c>
      <c r="CB202" s="22">
        <f t="shared" si="171"/>
        <v>6.3163460169613921E-12</v>
      </c>
      <c r="CC202" s="60">
        <f t="shared" si="195"/>
        <v>293.33333333333962</v>
      </c>
      <c r="CD202" s="60">
        <f ca="1">AVERAGE(OFFSET($CC$3,0,0,'Données projet'!$E$12+1,1))-AVERAGE(OFFSET($H$3,0,0,'Données projet'!$E$12+1,1))</f>
        <v>290.68086183422963</v>
      </c>
      <c r="CE202" s="60">
        <f t="shared" si="207"/>
        <v>317.88330630101785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1.9895196601282805E-13</v>
      </c>
      <c r="CU202" s="18">
        <f>CT202*VLOOKUP('Données projet'!$B$13,Paramètres!$A$1:$I$89,3,0)*VLOOKUP('Données projet'!$B$13,Paramètres!$A$1:$I$89,5,0)</f>
        <v>1.3035332813160495E-13</v>
      </c>
      <c r="CV202" s="14">
        <f t="shared" si="173"/>
        <v>1.8987770485018903E-12</v>
      </c>
      <c r="CW202" s="22">
        <f t="shared" si="174"/>
        <v>3.5340687393033375E-12</v>
      </c>
      <c r="CX202" s="60">
        <f t="shared" si="196"/>
        <v>293.33333333333684</v>
      </c>
      <c r="CY202" s="60">
        <f ca="1">AVERAGE(OFFSET($CX$3,0,0,'Données projet'!$E$13+1,1))-AVERAGE(OFFSET($H$3,0,0,'Données projet'!$E$13+1,1))</f>
        <v>243.04319555814601</v>
      </c>
      <c r="CZ202" s="60">
        <f t="shared" si="208"/>
        <v>235.68746142880792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201.4732637505823</v>
      </c>
      <c r="DU202" s="60">
        <f t="shared" si="209"/>
        <v>342.06887933351783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0.23247218698628616</v>
      </c>
      <c r="EB202" s="23">
        <f>EXP(-LN(2)/25)*EB201+(1-EXP(-LN(2)/25))/(LN(2)/25)*Calculateur!DW202*Calculateur!DY202*VLOOKUP('Données projet'!$B$14,Paramètres!$A$1:$I$89,3,0)*0.475*44/12</f>
        <v>0.24396678747545353</v>
      </c>
      <c r="EC202" s="23">
        <f>EXP(-LN(2)/2)*EC201+(1-EXP(-LN(2)/2))/(LN(2)/2)*DW202*DZ202*VLOOKUP('Données projet'!$B$14,Paramètres!$A$1:$I$89,3,0)*0.475*44/12</f>
        <v>4.8975402592085592E-25</v>
      </c>
      <c r="ED202" s="24">
        <f t="shared" si="178"/>
        <v>0.47643897446173966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-2.0395418687257919E-13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260.01925143568263</v>
      </c>
      <c r="EP202" s="60">
        <f t="shared" si="210"/>
        <v>269.95358755269427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0.50014188564042161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0.50014188564042161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-9.2222762759774927E-14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256.19915261735281</v>
      </c>
      <c r="FK202" s="60">
        <f t="shared" si="211"/>
        <v>297.47246687305056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2.8421709430404007E-14</v>
      </c>
      <c r="GA202" s="18">
        <f>FZ202*VLOOKUP('Données projet'!$B$17,Paramètres!$A$1:$I$89,3,0)*VLOOKUP('Données projet'!$B$17,Paramètres!$A$1:$I$89,5,0)</f>
        <v>1.6257217794191094E-14</v>
      </c>
      <c r="GB202" s="14">
        <f t="shared" si="185"/>
        <v>3.0173973759155586E-13</v>
      </c>
      <c r="GC202" s="22">
        <f t="shared" si="186"/>
        <v>5.538446972968425E-13</v>
      </c>
      <c r="GD202" s="60">
        <f t="shared" si="200"/>
        <v>293.33333333333388</v>
      </c>
      <c r="GE202" s="60">
        <f ca="1">AVERAGE(OFFSET($GD$3,0,0,'Données projet'!$E$17+1,1))-AVERAGE(OFFSET($H$3,0,0,'Données projet'!$E$17+1,1))</f>
        <v>268.71641789629319</v>
      </c>
      <c r="GF202" s="60">
        <f t="shared" si="212"/>
        <v>199.94048514486104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1.9373780957229775E-2</v>
      </c>
      <c r="GN202" s="23">
        <f>EXP(-LN(2)/2)*GN201+(1-EXP(-LN(2)/2))/(LN(2)/2)*GH202*GK202*VLOOKUP('Données projet'!$B$17,Paramètres!$A$1:$I$89,3,0)*0.475*44/12</f>
        <v>2.5500818014463608E-25</v>
      </c>
      <c r="GO202" s="23">
        <f t="shared" si="187"/>
        <v>1.9373780957229775E-2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-2.8421709430404007E-13</v>
      </c>
      <c r="GV202" s="18">
        <f>GU202*VLOOKUP('Données projet'!$B$18,Paramètres!$A$1:$I$89,3,0)*VLOOKUP('Données projet'!$B$18,Paramètres!$A$1:$I$89,5,0)</f>
        <v>-1.69961822393816E-13</v>
      </c>
      <c r="GW202" s="14" t="e">
        <f t="shared" si="188"/>
        <v>#NUM!</v>
      </c>
      <c r="GX202" s="22" t="e">
        <f t="shared" si="189"/>
        <v>#NUM!</v>
      </c>
      <c r="GY202" s="60" t="e">
        <f t="shared" si="201"/>
        <v>#NUM!</v>
      </c>
      <c r="GZ202" s="60">
        <f ca="1">AVERAGE(OFFSET($GY$3,0,0,'Données projet'!$E$18+1,1))-AVERAGE(OFFSET($H$3,0,0,'Données projet'!$E$18+1,1))</f>
        <v>289.12367833861299</v>
      </c>
      <c r="HA202" s="60">
        <f t="shared" si="213"/>
        <v>229.06617320689003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1.5159404099483747E-25</v>
      </c>
      <c r="HJ202" s="24">
        <f t="shared" si="190"/>
        <v>1.5159404099483747E-25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-8.2291080616414541E-13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430.11660085503223</v>
      </c>
      <c r="T203" s="60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1.2710188457276673E-13</v>
      </c>
      <c r="AK203" s="14">
        <f t="shared" si="164"/>
        <v>1.856866851063998E-12</v>
      </c>
      <c r="AL203" s="22">
        <f t="shared" si="165"/>
        <v>3.4554122145673649E-12</v>
      </c>
      <c r="AM203" s="60">
        <f t="shared" si="193"/>
        <v>293.33333333333678</v>
      </c>
      <c r="AN203" s="60">
        <f ca="1">AVERAGE(OFFSET($AM$3,0,0,'Données projet'!$E$10+1,1))-AVERAGE(OFFSET($H$3,0,0,'Données projet'!$E$10+1,1))</f>
        <v>323.98185264074681</v>
      </c>
      <c r="AO203" s="60">
        <f t="shared" si="205"/>
        <v>301.22207291854005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0.15396255771535794</v>
      </c>
      <c r="AV203" s="23">
        <f>EXP(-LN(2)/25)*AV202+(1-EXP(-LN(2)/25))/(LN(2)/25)*Calculateur!AQ203*Calculateur!AS203*VLOOKUP('Données projet'!$B$10,Paramètres!$A$1:$I$89,3,0)*0.475*44/12</f>
        <v>7.4012965084986324E-2</v>
      </c>
      <c r="AW203" s="23">
        <f>EXP(-LN(2)/2)*AW202+(1-EXP(-LN(2)/2))/(LN(2)/2)*AQ203*AT203*VLOOKUP('Données projet'!$B$10,Paramètres!$A$1:$I$89,3,0)*0.475*44/12</f>
        <v>1.5736612724816107E-25</v>
      </c>
      <c r="AX203" s="23">
        <f t="shared" si="166"/>
        <v>0.22797552280034428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-2.9262992029543969E-13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556.75475431848258</v>
      </c>
      <c r="BJ203" s="60">
        <f t="shared" si="206"/>
        <v>256.77417912163997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3.4106051316484809E-13</v>
      </c>
      <c r="BZ203" s="14">
        <f>BY203*VLOOKUP('Données projet'!$B$12,Paramètres!$A$1:$I$89,3,0)*VLOOKUP('Données projet'!$B$12,Paramètres!$A$1:$I$89,5,0)</f>
        <v>2.5006556825246659E-13</v>
      </c>
      <c r="CA203" s="14">
        <f t="shared" si="170"/>
        <v>3.3765445850268018E-12</v>
      </c>
      <c r="CB203" s="22">
        <f t="shared" si="171"/>
        <v>6.3163460169613921E-12</v>
      </c>
      <c r="CC203" s="60">
        <f t="shared" si="195"/>
        <v>293.33333333333962</v>
      </c>
      <c r="CD203" s="60">
        <f ca="1">AVERAGE(OFFSET($CC$3,0,0,'Données projet'!$E$12+1,1))-AVERAGE(OFFSET($H$3,0,0,'Données projet'!$E$12+1,1))</f>
        <v>290.68086183422963</v>
      </c>
      <c r="CE203" s="60">
        <f t="shared" si="207"/>
        <v>317.88330630101785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1.9895196601282805E-13</v>
      </c>
      <c r="CU203" s="18">
        <f>CT203*VLOOKUP('Données projet'!$B$13,Paramètres!$A$1:$I$89,3,0)*VLOOKUP('Données projet'!$B$13,Paramètres!$A$1:$I$89,5,0)</f>
        <v>1.3035332813160495E-13</v>
      </c>
      <c r="CV203" s="14">
        <f t="shared" si="173"/>
        <v>1.8987770485018903E-12</v>
      </c>
      <c r="CW203" s="22">
        <f t="shared" si="174"/>
        <v>3.5340687393033375E-12</v>
      </c>
      <c r="CX203" s="60">
        <f t="shared" si="196"/>
        <v>293.33333333333684</v>
      </c>
      <c r="CY203" s="60">
        <f ca="1">AVERAGE(OFFSET($CX$3,0,0,'Données projet'!$E$13+1,1))-AVERAGE(OFFSET($H$3,0,0,'Données projet'!$E$13+1,1))</f>
        <v>243.04319555814601</v>
      </c>
      <c r="CZ203" s="60">
        <f t="shared" si="208"/>
        <v>235.68746142880792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201.4732637505823</v>
      </c>
      <c r="DU203" s="60">
        <f t="shared" si="209"/>
        <v>342.06887933351783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0.22791354919351817</v>
      </c>
      <c r="EB203" s="23">
        <f>EXP(-LN(2)/25)*EB202+(1-EXP(-LN(2)/25))/(LN(2)/25)*Calculateur!DW203*Calculateur!DY203*VLOOKUP('Données projet'!$B$14,Paramètres!$A$1:$I$89,3,0)*0.475*44/12</f>
        <v>0.23729550284228149</v>
      </c>
      <c r="EC203" s="23">
        <f>EXP(-LN(2)/2)*EC202+(1-EXP(-LN(2)/2))/(LN(2)/2)*DW203*DZ203*VLOOKUP('Données projet'!$B$14,Paramètres!$A$1:$I$89,3,0)*0.475*44/12</f>
        <v>3.4630839284204939E-25</v>
      </c>
      <c r="ED203" s="24">
        <f t="shared" si="178"/>
        <v>0.46520905203579965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-2.0395418687257919E-13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260.01925143568263</v>
      </c>
      <c r="EP203" s="60">
        <f t="shared" si="210"/>
        <v>269.95358755269427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0.49033440831944136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0.49033440831944136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-9.2222762759774927E-14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256.19915261735281</v>
      </c>
      <c r="FK203" s="60">
        <f t="shared" si="211"/>
        <v>297.47246687305056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2.8421709430404007E-14</v>
      </c>
      <c r="GA203" s="18">
        <f>FZ203*VLOOKUP('Données projet'!$B$17,Paramètres!$A$1:$I$89,3,0)*VLOOKUP('Données projet'!$B$17,Paramètres!$A$1:$I$89,5,0)</f>
        <v>1.6257217794191094E-14</v>
      </c>
      <c r="GB203" s="14">
        <f t="shared" si="185"/>
        <v>3.0173973759155586E-13</v>
      </c>
      <c r="GC203" s="22">
        <f t="shared" si="186"/>
        <v>5.538446972968425E-13</v>
      </c>
      <c r="GD203" s="60">
        <f t="shared" si="200"/>
        <v>293.33333333333388</v>
      </c>
      <c r="GE203" s="60">
        <f ca="1">AVERAGE(OFFSET($GD$3,0,0,'Données projet'!$E$17+1,1))-AVERAGE(OFFSET($H$3,0,0,'Données projet'!$E$17+1,1))</f>
        <v>268.71641789629319</v>
      </c>
      <c r="GF203" s="60">
        <f t="shared" si="212"/>
        <v>199.94048514486104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1.8844003898131467E-2</v>
      </c>
      <c r="GN203" s="23">
        <f>EXP(-LN(2)/2)*GN202+(1-EXP(-LN(2)/2))/(LN(2)/2)*GH203*GK203*VLOOKUP('Données projet'!$B$17,Paramètres!$A$1:$I$89,3,0)*0.475*44/12</f>
        <v>1.8031801343831288E-25</v>
      </c>
      <c r="GO203" s="23">
        <f t="shared" si="187"/>
        <v>1.8844003898131467E-2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-2.8421709430404007E-13</v>
      </c>
      <c r="GV203" s="18">
        <f>GU203*VLOOKUP('Données projet'!$B$18,Paramètres!$A$1:$I$89,3,0)*VLOOKUP('Données projet'!$B$18,Paramètres!$A$1:$I$89,5,0)</f>
        <v>-1.69961822393816E-13</v>
      </c>
      <c r="GW203" s="14" t="e">
        <f t="shared" si="188"/>
        <v>#NUM!</v>
      </c>
      <c r="GX203" s="22" t="e">
        <f t="shared" si="189"/>
        <v>#NUM!</v>
      </c>
      <c r="GY203" s="60" t="e">
        <f t="shared" si="201"/>
        <v>#NUM!</v>
      </c>
      <c r="GZ203" s="60">
        <f ca="1">AVERAGE(OFFSET($GY$3,0,0,'Données projet'!$E$18+1,1))-AVERAGE(OFFSET($H$3,0,0,'Données projet'!$E$18+1,1))</f>
        <v>289.12367833861299</v>
      </c>
      <c r="HA203" s="60">
        <f t="shared" si="213"/>
        <v>229.06617320689003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1.0719317437492105E-25</v>
      </c>
      <c r="HJ203" s="24">
        <f t="shared" si="190"/>
        <v>1.0719317437492105E-25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1.3009230512021859</v>
      </c>
      <c r="BA205" s="86">
        <f>EXP(LN('Données projet'!B88)/'Données projet'!A88)</f>
        <v>1.189207115002721</v>
      </c>
      <c r="BV205" s="86">
        <f>EXP(LN('Données projet'!B114)/'Données projet'!A114)</f>
        <v>1.2730870686066207</v>
      </c>
      <c r="CQ205" s="86">
        <f>EXP(LN('Données projet'!B140)/'Données projet'!A140)</f>
        <v>1.2457309396155174</v>
      </c>
      <c r="DL205" s="86">
        <f>EXP(LN('Données projet'!B166)/'Données projet'!A166)</f>
        <v>1.4860662319460807</v>
      </c>
      <c r="EG205" s="86">
        <f>EXP(LN('Données projet'!B192)/'Données projet'!A192)</f>
        <v>1.3292852468636394</v>
      </c>
      <c r="FB205" s="86">
        <f>EXP(LN('Données projet'!B218)/'Données projet'!A218)</f>
        <v>1.2457309396155174</v>
      </c>
      <c r="FW205" s="86">
        <f>EXP(LN('Données projet'!B244)/'Données projet'!A244)</f>
        <v>1.2501761914401572</v>
      </c>
      <c r="GR205" s="86">
        <f>EXP(LN('Données projet'!B270)/'Données projet'!A270)</f>
        <v>1.2691631451226497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N35" sqref="N3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5.2884000000000002</v>
      </c>
      <c r="C6" s="154">
        <f ca="1">IF(OR('Données projet'!B9="",'Données projet'!C9="",'Données projet'!C9=0%),0,Calculateur!S3)</f>
        <v>430.11660085503223</v>
      </c>
      <c r="D6" s="154">
        <f>IF(OR('Données projet'!B9="",'Données projet'!C9="",'Données projet'!C9=0%),0,Calculateur!T3)</f>
        <v>231.36959598460686</v>
      </c>
      <c r="E6" s="154">
        <f ca="1">MIN(C6,D6)</f>
        <v>231.36959598460686</v>
      </c>
      <c r="F6" s="154">
        <f ca="1">E6*B6</f>
        <v>1223.574971404995</v>
      </c>
      <c r="G6" s="154">
        <f ca="1">F6*(100%-'Données projet'!$C$24)*(100%-'Données projet'!$C$25)*(100%-'Données projet'!$C$26)*(100%-'Données projet'!$C$27)</f>
        <v>1101.2174742644956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10.5768</v>
      </c>
      <c r="K6" s="158">
        <f>J6*(100%-'Données projet'!$C$24)*(100%-'Données projet'!$C$25)*(100%-'Données projet'!$C$26)*(100%-'Données projet'!$C$27)</f>
        <v>9.5191200000000009</v>
      </c>
      <c r="L6" s="159">
        <f ca="1">G6+I6+K6</f>
        <v>1110.7365942644956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Douglas</v>
      </c>
      <c r="B7" s="161">
        <f>'Données projet'!D10</f>
        <v>1.6613999999999998</v>
      </c>
      <c r="C7" s="154">
        <f ca="1">IF(OR('Données projet'!B10="",'Données projet'!C10="",'Données projet'!C10=0%),0,Calculateur!AN3)</f>
        <v>323.98185264074681</v>
      </c>
      <c r="D7" s="154">
        <f>IF(OR('Données projet'!B10="",'Données projet'!C10="",'Données projet'!C10=0%),0,Calculateur!AO3)</f>
        <v>301.22207291854005</v>
      </c>
      <c r="E7" s="154">
        <f t="shared" ref="E7:E15" ca="1" si="0">MIN(C7,D7)</f>
        <v>301.22207291854005</v>
      </c>
      <c r="F7" s="154">
        <f t="shared" ref="F7:F15" ca="1" si="1">E7*B7</f>
        <v>500.45035194686238</v>
      </c>
      <c r="G7" s="154">
        <f ca="1">F7*(100%-'Données projet'!$C$24)*(100%-'Données projet'!$C$25)*(100%-'Données projet'!$C$26)*(100%-'Données projet'!$C$27)</f>
        <v>450.40531675217613</v>
      </c>
      <c r="H7" s="162">
        <f>IF(OR('Données projet'!B10="",'Données projet'!C10="",'Données projet'!C10=0%),0,AVERAGE(Calculateur!$AX$3:$AX$33)*B7)</f>
        <v>7.8372525342300916</v>
      </c>
      <c r="I7" s="156">
        <f>H7*(100%-'Données projet'!$C$24)*(100%-'Données projet'!$C$25)*(100%-'Données projet'!$C$26)*(100%-'Données projet'!$C$27)</f>
        <v>7.0535272808070824</v>
      </c>
      <c r="J7" s="157">
        <f>IF(OR('Données projet'!B10="",'Données projet'!C10="",'Données projet'!C10=0%),0,SUM(Calculateur!$AQ$3:$AQ$33)*VLOOKUP('Données projet'!$B$10,Paramètres!$A$1:$I$89,9,0)*B7)</f>
        <v>84.359885399999982</v>
      </c>
      <c r="K7" s="158">
        <f>J7*(100%-'Données projet'!$C$24)*(100%-'Données projet'!$C$25)*(100%-'Données projet'!$C$26)*(100%-'Données projet'!$C$27)</f>
        <v>75.923896859999985</v>
      </c>
      <c r="L7" s="159">
        <f t="shared" ref="L7:L15" ca="1" si="2">G7+I7+K7</f>
        <v>533.38274089298318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Hêtre</v>
      </c>
      <c r="B8" s="161">
        <f>'Données projet'!D11</f>
        <v>1.0647</v>
      </c>
      <c r="C8" s="154">
        <f ca="1">IF(OR('Données projet'!B11="",'Données projet'!C11="",'Données projet'!C11=0%),0,Calculateur!BI3)</f>
        <v>556.75475431848258</v>
      </c>
      <c r="D8" s="154">
        <f>IF(OR('Données projet'!B11="",'Données projet'!C11="",'Données projet'!C11=0%),0,Calculateur!BJ3)</f>
        <v>256.77417912163997</v>
      </c>
      <c r="E8" s="154">
        <f t="shared" ca="1" si="0"/>
        <v>256.77417912163997</v>
      </c>
      <c r="F8" s="154">
        <f t="shared" ca="1" si="1"/>
        <v>273.38746851081009</v>
      </c>
      <c r="G8" s="154">
        <f ca="1">F8*(100%-'Données projet'!$C$24)*(100%-'Données projet'!$C$25)*(100%-'Données projet'!$C$26)*(100%-'Données projet'!$C$27)</f>
        <v>246.0487216597291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1.8632249999999999</v>
      </c>
      <c r="K8" s="158">
        <f>J8*(100%-'Données projet'!$C$24)*(100%-'Données projet'!$C$25)*(100%-'Données projet'!$C$26)*(100%-'Données projet'!$C$27)</f>
        <v>1.6769025</v>
      </c>
      <c r="L8" s="159">
        <f t="shared" ca="1" si="2"/>
        <v>247.72562415972911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Châtaignier</v>
      </c>
      <c r="B9" s="161">
        <f>'Données projet'!D12</f>
        <v>0.9242999999999999</v>
      </c>
      <c r="C9" s="154">
        <f ca="1">IF(OR('Données projet'!B12="",'Données projet'!C12="",'Données projet'!C12=0%),0,Calculateur!CD3)</f>
        <v>290.68086183422963</v>
      </c>
      <c r="D9" s="154">
        <f>IF(OR('Données projet'!B12="",'Données projet'!C12="",'Données projet'!C12=0%),0,Calculateur!CE3)</f>
        <v>317.88330630101785</v>
      </c>
      <c r="E9" s="154">
        <f t="shared" ca="1" si="0"/>
        <v>290.68086183422963</v>
      </c>
      <c r="F9" s="154">
        <f t="shared" ca="1" si="1"/>
        <v>268.67632059337842</v>
      </c>
      <c r="G9" s="154">
        <f ca="1">F9*(100%-'Données projet'!$C$24)*(100%-'Données projet'!$C$25)*(100%-'Données projet'!$C$26)*(100%-'Données projet'!$C$27)</f>
        <v>241.80868853404058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22.899532499999996</v>
      </c>
      <c r="K9" s="158">
        <f>J9*(100%-'Données projet'!$C$24)*(100%-'Données projet'!$C$25)*(100%-'Données projet'!$C$26)*(100%-'Données projet'!$C$27)</f>
        <v>20.609579249999996</v>
      </c>
      <c r="L9" s="159">
        <f t="shared" ca="1" si="2"/>
        <v>262.41826778404061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Aulne à feuilles en cœur</v>
      </c>
      <c r="B10" s="161">
        <f>'Données projet'!D13</f>
        <v>0.21059999999999998</v>
      </c>
      <c r="C10" s="154">
        <f ca="1">IF(OR('Données projet'!B13="",'Données projet'!C13="",'Données projet'!C13=0%),0,Calculateur!CY3)</f>
        <v>243.04319555814601</v>
      </c>
      <c r="D10" s="154">
        <f>IF(OR('Données projet'!B13="",'Données projet'!C13="",'Données projet'!C13=0%),0,Calculateur!CZ3)</f>
        <v>235.68746142880792</v>
      </c>
      <c r="E10" s="154">
        <f t="shared" ca="1" si="0"/>
        <v>235.68746142880792</v>
      </c>
      <c r="F10" s="154">
        <f t="shared" ca="1" si="1"/>
        <v>49.635779376906946</v>
      </c>
      <c r="G10" s="154">
        <f ca="1">F10*(100%-'Données projet'!$C$24)*(100%-'Données projet'!$C$25)*(100%-'Données projet'!$C$26)*(100%-'Données projet'!$C$27)</f>
        <v>44.672201439216252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1.6321499999999998</v>
      </c>
      <c r="K10" s="158">
        <f>J10*(100%-'Données projet'!$C$24)*(100%-'Données projet'!$C$25)*(100%-'Données projet'!$C$26)*(100%-'Données projet'!$C$27)</f>
        <v>1.4689349999999999</v>
      </c>
      <c r="L10" s="159">
        <f t="shared" ca="1" si="2"/>
        <v>46.141136439216254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Mélèze hybride</v>
      </c>
      <c r="B11" s="161">
        <f>'Données projet'!D14</f>
        <v>0.83069999999999988</v>
      </c>
      <c r="C11" s="154">
        <f ca="1">IF(OR('Données projet'!B14="",'Données projet'!C14="",'Données projet'!C14=0%),0,Calculateur!DT3)</f>
        <v>201.4732637505823</v>
      </c>
      <c r="D11" s="154">
        <f>IF(OR('Données projet'!B14="",'Données projet'!C14="",'Données projet'!C14=0%),0,Calculateur!DU3)</f>
        <v>342.06887933351783</v>
      </c>
      <c r="E11" s="154">
        <f t="shared" ca="1" si="0"/>
        <v>201.4732637505823</v>
      </c>
      <c r="F11" s="154">
        <f t="shared" ca="1" si="1"/>
        <v>167.36384019760871</v>
      </c>
      <c r="G11" s="154">
        <f ca="1">F11*(100%-'Données projet'!$C$24)*(100%-'Données projet'!$C$25)*(100%-'Données projet'!$C$26)*(100%-'Données projet'!$C$27)</f>
        <v>150.62745617784785</v>
      </c>
      <c r="H11" s="162">
        <f>IF(OR('Données projet'!B14="",'Données projet'!C14="",'Données projet'!C14=0%),0,AVERAGE(Calculateur!$ED$3:$ED$33)*B11)</f>
        <v>8.930435024847128</v>
      </c>
      <c r="I11" s="156">
        <f>H11*(100%-'Données projet'!$C$24)*(100%-'Données projet'!$C$25)*(100%-'Données projet'!$C$26)*(100%-'Données projet'!$C$27)</f>
        <v>8.0373915223624159</v>
      </c>
      <c r="J11" s="157">
        <f>IF(OR('Données projet'!B14="",'Données projet'!C14="",'Données projet'!C14=0%),0,SUM(Calculateur!$DW$3:$DW$33)*VLOOKUP('Données projet'!$B$14,Paramètres!$A$1:$I$89,9,0)*B11)</f>
        <v>103.23108899999998</v>
      </c>
      <c r="K11" s="158">
        <f>J11*(100%-'Données projet'!$C$24)*(100%-'Données projet'!$C$25)*(100%-'Données projet'!$C$26)*(100%-'Données projet'!$C$27)</f>
        <v>92.907980099999989</v>
      </c>
      <c r="L11" s="159">
        <f t="shared" ca="1" si="2"/>
        <v>251.57282780021023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Pin maritime</v>
      </c>
      <c r="B12" s="161">
        <f>'Données projet'!D15</f>
        <v>0.4914</v>
      </c>
      <c r="C12" s="154">
        <f ca="1">IF(OR('Données projet'!B15="",'Données projet'!C15="",'Données projet'!C15=0%),0,Calculateur!EO3)</f>
        <v>260.01925143568263</v>
      </c>
      <c r="D12" s="154">
        <f>IF(OR('Données projet'!B15="",'Données projet'!C15="",'Données projet'!C15=0%),0,Calculateur!EP3)</f>
        <v>269.95358755269427</v>
      </c>
      <c r="E12" s="154">
        <f t="shared" ca="1" si="0"/>
        <v>260.01925143568263</v>
      </c>
      <c r="F12" s="154">
        <f t="shared" ca="1" si="1"/>
        <v>127.77346015549445</v>
      </c>
      <c r="G12" s="154">
        <f ca="1">F12*(100%-'Données projet'!$C$24)*(100%-'Données projet'!$C$25)*(100%-'Données projet'!$C$26)*(100%-'Données projet'!$C$27)</f>
        <v>114.99611413994501</v>
      </c>
      <c r="H12" s="162">
        <f>IF(OR('Données projet'!B15="",'Données projet'!C15="",'Données projet'!C15=0%),0,AVERAGE(Calculateur!$EY$3:$EY$33)*B12)</f>
        <v>0.89232490335818915</v>
      </c>
      <c r="I12" s="156">
        <f>H12*(100%-'Données projet'!$C$24)*(100%-'Données projet'!$C$25)*(100%-'Données projet'!$C$26)*(100%-'Données projet'!$C$27)</f>
        <v>0.80309241302237022</v>
      </c>
      <c r="J12" s="157">
        <f>IF(OR('Données projet'!B15="",'Données projet'!C15="",'Données projet'!C15=0%),0,SUM(Calculateur!$ER$3:$ER$33)*VLOOKUP('Données projet'!$B$15,Paramètres!$A$1:$I$89,9,0)*B12)</f>
        <v>41.704740000000001</v>
      </c>
      <c r="K12" s="158">
        <f>J12*(100%-'Données projet'!$C$24)*(100%-'Données projet'!$C$25)*(100%-'Données projet'!$C$26)*(100%-'Données projet'!$C$27)</f>
        <v>37.534266000000002</v>
      </c>
      <c r="L12" s="159">
        <f t="shared" ca="1" si="2"/>
        <v>153.33347255296738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Bouleau verruqueux</v>
      </c>
      <c r="B13" s="161">
        <f>'Données projet'!D16</f>
        <v>0.35099999999999998</v>
      </c>
      <c r="C13" s="154">
        <f ca="1">IF(OR('Données projet'!B16="",'Données projet'!C16="",'Données projet'!C16=0%),0,Calculateur!FJ3)</f>
        <v>256.19915261735281</v>
      </c>
      <c r="D13" s="154">
        <f>IF(OR('Données projet'!B16="",'Données projet'!C16="",'Données projet'!C16=0%),0,Calculateur!FK3)</f>
        <v>297.47246687305056</v>
      </c>
      <c r="E13" s="154">
        <f t="shared" ca="1" si="0"/>
        <v>256.19915261735281</v>
      </c>
      <c r="F13" s="154">
        <f t="shared" ca="1" si="1"/>
        <v>89.92590256869083</v>
      </c>
      <c r="G13" s="154">
        <f ca="1">F13*(100%-'Données projet'!$C$24)*(100%-'Données projet'!$C$25)*(100%-'Données projet'!$C$26)*(100%-'Données projet'!$C$27)</f>
        <v>80.933312311821751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3.51</v>
      </c>
      <c r="K13" s="158">
        <f>J13*(100%-'Données projet'!$C$24)*(100%-'Données projet'!$C$25)*(100%-'Données projet'!$C$26)*(100%-'Données projet'!$C$27)</f>
        <v>3.1589999999999998</v>
      </c>
      <c r="L13" s="159">
        <f t="shared" ca="1" si="2"/>
        <v>84.092312311821757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Pin sylvestre</v>
      </c>
      <c r="B14" s="161">
        <f>'Données projet'!D17</f>
        <v>0.31589999999999996</v>
      </c>
      <c r="C14" s="154">
        <f ca="1">IF(OR('Données projet'!B17="",'Données projet'!C17="",'Données projet'!C17=0%),0,Calculateur!GE3)</f>
        <v>268.71641789629319</v>
      </c>
      <c r="D14" s="154">
        <f>IF(OR('Données projet'!B17="",'Données projet'!C17="",'Données projet'!C17=0%),0,Calculateur!GF3)</f>
        <v>199.94048514486104</v>
      </c>
      <c r="E14" s="154">
        <f t="shared" ca="1" si="0"/>
        <v>199.94048514486104</v>
      </c>
      <c r="F14" s="154">
        <f t="shared" ca="1" si="1"/>
        <v>63.161199257261593</v>
      </c>
      <c r="G14" s="154">
        <f ca="1">F14*(100%-'Données projet'!$C$24)*(100%-'Données projet'!$C$25)*(100%-'Données projet'!$C$26)*(100%-'Données projet'!$C$27)</f>
        <v>56.845079331535437</v>
      </c>
      <c r="H14" s="162">
        <f>IF(OR('Données projet'!B17="",'Données projet'!C17="",'Données projet'!C17=0%),0,AVERAGE(Calculateur!$GO$3:$GO$33)*B14)</f>
        <v>0.80477226369473043</v>
      </c>
      <c r="I14" s="156">
        <f>H14*(100%-'Données projet'!$C$24)*(100%-'Données projet'!$C$25)*(100%-'Données projet'!$C$26)*(100%-'Données projet'!$C$27)</f>
        <v>0.72429503732525735</v>
      </c>
      <c r="J14" s="157">
        <f>IF(OR('Données projet'!B17="",'Données projet'!C17="",'Données projet'!C17=0%),0,SUM(Calculateur!$GH$3:$GH$33)*VLOOKUP('Données projet'!$B$17,Paramètres!$A$1:$I$89,9,0)*B14)</f>
        <v>12.111226919999998</v>
      </c>
      <c r="K14" s="158">
        <f>J14*(100%-'Données projet'!$C$24)*(100%-'Données projet'!$C$25)*(100%-'Données projet'!$C$26)*(100%-'Données projet'!$C$27)</f>
        <v>10.900104227999998</v>
      </c>
      <c r="L14" s="159">
        <f t="shared" ca="1" si="2"/>
        <v>68.469478596860696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Pin laricio</v>
      </c>
      <c r="B15" s="164">
        <f>'Données projet'!D18</f>
        <v>0.22229999999999997</v>
      </c>
      <c r="C15" s="165">
        <f ca="1">IF(OR('Données projet'!B18="",'Données projet'!C18="",'Données projet'!C18=0%),0,Calculateur!GZ3)</f>
        <v>289.12367833861299</v>
      </c>
      <c r="D15" s="165">
        <f>IF(OR('Données projet'!B18="",'Données projet'!C18="",'Données projet'!C18=0%),0,Calculateur!HA3)</f>
        <v>229.06617320689003</v>
      </c>
      <c r="E15" s="165">
        <f t="shared" ca="1" si="0"/>
        <v>229.06617320689003</v>
      </c>
      <c r="F15" s="166">
        <f t="shared" ca="1" si="1"/>
        <v>50.921410303891648</v>
      </c>
      <c r="G15" s="166">
        <f ca="1">F15*(100%-'Données projet'!$C$24)*(100%-'Données projet'!$C$25)*(100%-'Données projet'!$C$26)*(100%-'Données projet'!$C$27)</f>
        <v>45.829269273502483</v>
      </c>
      <c r="H15" s="167">
        <f>IF(OR('Données projet'!B18="",'Données projet'!C18="",'Données projet'!C18=0%),0,AVERAGE(Calculateur!$HJ$3:$HJ$33)*B15)</f>
        <v>0.21537310660674697</v>
      </c>
      <c r="I15" s="168">
        <f>H15*(100%-'Données projet'!$C$24)*(100%-'Données projet'!$C$25)*(100%-'Données projet'!$C$26)*(100%-'Données projet'!$C$27)</f>
        <v>0.19383579594607228</v>
      </c>
      <c r="J15" s="169">
        <f>IF(OR('Données projet'!B18="",'Données projet'!C18="",'Données projet'!C18=0%),0,SUM(Calculateur!$HC$3:$HC$33)*VLOOKUP('Données projet'!$B$18,Paramètres!$A$1:$I$89,9,0)*B15)</f>
        <v>8.3537432999999979</v>
      </c>
      <c r="K15" s="170">
        <f>J15*(100%-'Données projet'!$C$24)*(100%-'Données projet'!$C$25)*(100%-'Données projet'!$C$26)*(100%-'Données projet'!$C$27)</f>
        <v>7.5183689699999983</v>
      </c>
      <c r="L15" s="171">
        <f t="shared" ca="1" si="2"/>
        <v>53.541474039448552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2814.8707043158997</v>
      </c>
      <c r="G16" s="173">
        <f t="shared" ca="1" si="3"/>
        <v>2533.3836338843103</v>
      </c>
      <c r="H16" s="174">
        <f t="shared" si="3"/>
        <v>18.680157832736889</v>
      </c>
      <c r="I16" s="174">
        <f t="shared" si="3"/>
        <v>16.812142049463198</v>
      </c>
      <c r="J16" s="175">
        <f t="shared" si="3"/>
        <v>290.24239211999998</v>
      </c>
      <c r="K16" s="175">
        <f t="shared" si="3"/>
        <v>261.21815290799998</v>
      </c>
      <c r="L16" s="176">
        <f t="shared" ca="1" si="3"/>
        <v>2811.4139288417737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Douglas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Hêtre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Châtaignier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Aulne à feuilles en cœur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Mélèze hybride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Pin maritime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Bouleau verruqueux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Pin sylvestre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Pin laricio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11" zoomScale="80" zoomScaleNormal="80" workbookViewId="0">
      <selection activeCell="C185" sqref="C18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629.39940835643677</v>
      </c>
      <c r="U10" s="188">
        <f>'Données projet'!D9</f>
        <v>5.2884000000000002</v>
      </c>
      <c r="V10" s="187">
        <f>U10*T10</f>
        <v>3328.5158311521805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Douglas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4564.7051642541537</v>
      </c>
      <c r="U11" s="188">
        <f>'Données projet'!D10</f>
        <v>1.6613999999999998</v>
      </c>
      <c r="V11" s="187">
        <f t="shared" ref="V11" si="0">U11*T11</f>
        <v>7583.8011598918501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Hêtre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846.00451656248231</v>
      </c>
      <c r="U12" s="188">
        <f>'Données projet'!D11</f>
        <v>1.0647</v>
      </c>
      <c r="V12" s="187">
        <f t="shared" ref="V12:V19" si="1">U12*T12</f>
        <v>900.74100878407489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Châtaignier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1322.7360246804406</v>
      </c>
      <c r="U13" s="188">
        <f>'Données projet'!D12</f>
        <v>0.9242999999999999</v>
      </c>
      <c r="V13" s="187">
        <f t="shared" si="1"/>
        <v>1222.604907612131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Aulne à feuilles en cœur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787.54664205397978</v>
      </c>
      <c r="U14" s="188">
        <f>'Données projet'!D13</f>
        <v>0.21059999999999998</v>
      </c>
      <c r="V14" s="187">
        <f t="shared" si="1"/>
        <v>165.85732281656811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Mélèze hybride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4934.7047349827608</v>
      </c>
      <c r="U15" s="188">
        <f>'Données projet'!D14</f>
        <v>0.83069999999999988</v>
      </c>
      <c r="V15" s="187">
        <f t="shared" si="1"/>
        <v>4099.2592233501791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Pin maritime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2596.9744402857223</v>
      </c>
      <c r="U16" s="188">
        <f>'Données projet'!D15</f>
        <v>0.4914</v>
      </c>
      <c r="V16" s="187">
        <f t="shared" si="1"/>
        <v>1276.1532399564039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Bouleau verruqueux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1192.7133000494639</v>
      </c>
      <c r="U17" s="188">
        <f>'Données projet'!D16</f>
        <v>0.35099999999999998</v>
      </c>
      <c r="V17" s="187">
        <f t="shared" si="1"/>
        <v>418.64236831736179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>Pin sylvestre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968.48621468756312</v>
      </c>
      <c r="U18" s="188">
        <f>'Données projet'!D17</f>
        <v>0.31589999999999996</v>
      </c>
      <c r="V18" s="187">
        <f t="shared" si="1"/>
        <v>305.94479521980116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>Pin laricio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1811.6580330251654</v>
      </c>
      <c r="U19" s="188">
        <f>'Données projet'!D18</f>
        <v>0.22229999999999997</v>
      </c>
      <c r="V19" s="187">
        <f t="shared" si="1"/>
        <v>402.73158074149421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5795.7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-48105.438562157942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2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9">
        <f ca="1">T23-T24</f>
        <v>-48105.438562157942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42</v>
      </c>
      <c r="C26" s="202">
        <v>10</v>
      </c>
      <c r="D26" s="192">
        <f t="shared" si="2"/>
        <v>420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2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42</v>
      </c>
      <c r="C28" s="202">
        <v>15</v>
      </c>
      <c r="D28" s="192">
        <f t="shared" si="2"/>
        <v>630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2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42</v>
      </c>
      <c r="C30" s="202">
        <v>20</v>
      </c>
      <c r="D30" s="192">
        <f t="shared" si="2"/>
        <v>840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2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42</v>
      </c>
      <c r="C32" s="202">
        <v>30</v>
      </c>
      <c r="D32" s="192">
        <f t="shared" si="2"/>
        <v>1260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2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42</v>
      </c>
      <c r="C34" s="202">
        <v>40</v>
      </c>
      <c r="D34" s="192">
        <f t="shared" si="2"/>
        <v>1680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2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85</v>
      </c>
      <c r="B36" s="191">
        <f>'Données projet'!D49</f>
        <v>42</v>
      </c>
      <c r="C36" s="202">
        <v>50</v>
      </c>
      <c r="D36" s="192">
        <f t="shared" si="2"/>
        <v>2100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95</v>
      </c>
      <c r="B37" s="191">
        <f>'Données projet'!D50</f>
        <v>42</v>
      </c>
      <c r="C37" s="204">
        <v>60</v>
      </c>
      <c r="D37" s="192">
        <f t="shared" si="2"/>
        <v>2520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105</v>
      </c>
      <c r="B38" s="191">
        <f>'Données projet'!D51</f>
        <v>41</v>
      </c>
      <c r="C38" s="204">
        <v>70</v>
      </c>
      <c r="D38" s="192">
        <f t="shared" si="2"/>
        <v>2870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115</v>
      </c>
      <c r="B39" s="191">
        <f>'Données projet'!D52</f>
        <v>37</v>
      </c>
      <c r="C39" s="204">
        <v>80</v>
      </c>
      <c r="D39" s="192">
        <f t="shared" si="2"/>
        <v>2960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125</v>
      </c>
      <c r="B40" s="191">
        <f>'Données projet'!D53</f>
        <v>33</v>
      </c>
      <c r="C40" s="204">
        <v>90</v>
      </c>
      <c r="D40" s="192">
        <f t="shared" si="2"/>
        <v>2970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135</v>
      </c>
      <c r="B41" s="191">
        <f>'Données projet'!D54</f>
        <v>29</v>
      </c>
      <c r="C41" s="204">
        <v>100</v>
      </c>
      <c r="D41" s="192">
        <f t="shared" si="2"/>
        <v>2900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306</v>
      </c>
      <c r="C42" s="204">
        <v>150</v>
      </c>
      <c r="D42" s="192">
        <f t="shared" si="2"/>
        <v>45900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Douglas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19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21</v>
      </c>
      <c r="B55" s="191">
        <f>'Données projet'!D63</f>
        <v>61.169230769230765</v>
      </c>
      <c r="C55" s="204">
        <v>25</v>
      </c>
      <c r="D55" s="189">
        <f t="shared" ref="D55:D73" si="4">B55*C55</f>
        <v>1529.2307692307691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28</v>
      </c>
      <c r="B56" s="191">
        <f>'Données projet'!D64</f>
        <v>56.91538461538461</v>
      </c>
      <c r="C56" s="204">
        <v>30</v>
      </c>
      <c r="D56" s="189">
        <f t="shared" si="4"/>
        <v>1707.4615384615383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70.5</v>
      </c>
      <c r="C58" s="204">
        <v>35</v>
      </c>
      <c r="D58" s="189">
        <f t="shared" si="4"/>
        <v>2467.5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42</v>
      </c>
      <c r="B59" s="191">
        <f>'Données projet'!D67</f>
        <v>80.669230769230765</v>
      </c>
      <c r="C59" s="204">
        <v>40</v>
      </c>
      <c r="D59" s="189">
        <f t="shared" si="4"/>
        <v>3226.7692307692305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49</v>
      </c>
      <c r="B60" s="191">
        <f>'Données projet'!D68</f>
        <v>90.453846153846158</v>
      </c>
      <c r="C60" s="204">
        <v>45</v>
      </c>
      <c r="D60" s="189">
        <f t="shared" si="4"/>
        <v>4070.4230769230771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56</v>
      </c>
      <c r="B61" s="191">
        <f>'Données projet'!D69</f>
        <v>75.869230769230768</v>
      </c>
      <c r="C61" s="204">
        <v>50</v>
      </c>
      <c r="D61" s="189">
        <f t="shared" si="4"/>
        <v>3793.4615384615386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63</v>
      </c>
      <c r="B62" s="191">
        <f>'Données projet'!D70</f>
        <v>79.723076923076917</v>
      </c>
      <c r="C62" s="204">
        <v>60</v>
      </c>
      <c r="D62" s="189">
        <f t="shared" si="4"/>
        <v>4783.3846153846152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69</v>
      </c>
      <c r="B63" s="191">
        <f>'Données projet'!D71</f>
        <v>0</v>
      </c>
      <c r="C63" s="204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469.06923076923073</v>
      </c>
      <c r="C64" s="204">
        <v>90</v>
      </c>
      <c r="D64" s="189">
        <f t="shared" si="4"/>
        <v>42216.230769230766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Hêtre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str">
        <f>IF(O75+1&lt;=MIN('Données projet'!$E$9:$E$18),O75+1,"STOP")</f>
        <v>STOP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25</v>
      </c>
      <c r="B86" s="191">
        <f>'Données projet'!D89</f>
        <v>7</v>
      </c>
      <c r="C86" s="202">
        <v>10</v>
      </c>
      <c r="D86" s="189">
        <f t="shared" ref="D86:D104" si="6">B86*C86</f>
        <v>70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35</v>
      </c>
      <c r="B88" s="191">
        <f>'Données projet'!D91</f>
        <v>56</v>
      </c>
      <c r="C88" s="202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45</v>
      </c>
      <c r="B90" s="191">
        <f>'Données projet'!D93</f>
        <v>56</v>
      </c>
      <c r="C90" s="202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55</v>
      </c>
      <c r="B92" s="191">
        <f>'Données projet'!D95</f>
        <v>56</v>
      </c>
      <c r="C92" s="202">
        <v>25</v>
      </c>
      <c r="D92" s="189">
        <f t="shared" si="6"/>
        <v>1400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65</v>
      </c>
      <c r="B94" s="191">
        <f>'Données projet'!D97</f>
        <v>56</v>
      </c>
      <c r="C94" s="202">
        <v>30</v>
      </c>
      <c r="D94" s="189">
        <f t="shared" si="6"/>
        <v>1680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75</v>
      </c>
      <c r="B96" s="191">
        <f>'Données projet'!D99</f>
        <v>56</v>
      </c>
      <c r="C96" s="202">
        <v>35</v>
      </c>
      <c r="D96" s="189">
        <f t="shared" si="6"/>
        <v>1960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80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85</v>
      </c>
      <c r="B98" s="191">
        <f>'Données projet'!D101</f>
        <v>55</v>
      </c>
      <c r="C98" s="202">
        <v>40</v>
      </c>
      <c r="D98" s="189">
        <f t="shared" si="6"/>
        <v>2200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95</v>
      </c>
      <c r="B99" s="191">
        <f>'Données projet'!D102</f>
        <v>51</v>
      </c>
      <c r="C99" s="204">
        <v>45</v>
      </c>
      <c r="D99" s="189">
        <f t="shared" si="6"/>
        <v>2295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105</v>
      </c>
      <c r="B100" s="191">
        <f>'Données projet'!D103</f>
        <v>47</v>
      </c>
      <c r="C100" s="202">
        <v>50</v>
      </c>
      <c r="D100" s="189">
        <f t="shared" si="6"/>
        <v>2350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115</v>
      </c>
      <c r="B101" s="191">
        <f>'Données projet'!D104</f>
        <v>44</v>
      </c>
      <c r="C101" s="202">
        <v>55</v>
      </c>
      <c r="D101" s="189">
        <f t="shared" si="6"/>
        <v>2420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125</v>
      </c>
      <c r="B102" s="191">
        <f>'Données projet'!D105</f>
        <v>42</v>
      </c>
      <c r="C102" s="202">
        <v>60</v>
      </c>
      <c r="D102" s="189">
        <f t="shared" si="6"/>
        <v>2520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135</v>
      </c>
      <c r="B103" s="191">
        <f>'Données projet'!D106</f>
        <v>40</v>
      </c>
      <c r="C103" s="202">
        <v>65</v>
      </c>
      <c r="D103" s="189">
        <f t="shared" si="6"/>
        <v>2600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150</v>
      </c>
      <c r="B104" s="191">
        <f>'Données projet'!D107</f>
        <v>486</v>
      </c>
      <c r="C104" s="202">
        <v>80</v>
      </c>
      <c r="D104" s="189">
        <f t="shared" si="6"/>
        <v>38880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Châtaignier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43.1</v>
      </c>
      <c r="C117" s="202">
        <v>10</v>
      </c>
      <c r="D117" s="189">
        <f t="shared" ref="D117:D135" si="8">B117*C117</f>
        <v>431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30</v>
      </c>
      <c r="B119" s="191">
        <f>'Données projet'!D117</f>
        <v>56</v>
      </c>
      <c r="C119" s="202">
        <v>10</v>
      </c>
      <c r="D119" s="189">
        <f t="shared" si="8"/>
        <v>560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35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40</v>
      </c>
      <c r="B121" s="191">
        <f>'Données projet'!D119</f>
        <v>56</v>
      </c>
      <c r="C121" s="202">
        <v>15</v>
      </c>
      <c r="D121" s="189">
        <f t="shared" si="8"/>
        <v>840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45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50</v>
      </c>
      <c r="B123" s="191">
        <f>'Données projet'!D121</f>
        <v>38.299999999999997</v>
      </c>
      <c r="C123" s="202">
        <v>20</v>
      </c>
      <c r="D123" s="189">
        <f t="shared" si="8"/>
        <v>766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55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60</v>
      </c>
      <c r="B125" s="191">
        <f>'Données projet'!D123</f>
        <v>25.200000000000003</v>
      </c>
      <c r="C125" s="202">
        <v>30</v>
      </c>
      <c r="D125" s="189">
        <f t="shared" si="8"/>
        <v>756.00000000000011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65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70</v>
      </c>
      <c r="B127" s="191">
        <f>'Données projet'!D125</f>
        <v>20.9</v>
      </c>
      <c r="C127" s="202">
        <v>40</v>
      </c>
      <c r="D127" s="189">
        <f t="shared" si="8"/>
        <v>836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75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80</v>
      </c>
      <c r="B129" s="191">
        <f>'Données projet'!D127</f>
        <v>284.60000000000002</v>
      </c>
      <c r="C129" s="202">
        <v>80</v>
      </c>
      <c r="D129" s="189">
        <f t="shared" si="8"/>
        <v>22768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Aulne à feuilles en cœur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5">
        <f>'Données projet'!D141</f>
        <v>0</v>
      </c>
      <c r="C148" s="204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5">
        <f>'Données projet'!D143</f>
        <v>31</v>
      </c>
      <c r="C150" s="202">
        <v>10</v>
      </c>
      <c r="D150" s="192">
        <f t="shared" si="10"/>
        <v>310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5">
        <f>'Données projet'!D145</f>
        <v>41</v>
      </c>
      <c r="C152" s="202">
        <v>15</v>
      </c>
      <c r="D152" s="192">
        <f t="shared" si="10"/>
        <v>615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5">
        <f>'Données projet'!D147</f>
        <v>44</v>
      </c>
      <c r="C154" s="202">
        <v>20</v>
      </c>
      <c r="D154" s="192">
        <f t="shared" si="10"/>
        <v>880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5">
        <f>'Données projet'!D149</f>
        <v>41</v>
      </c>
      <c r="C156" s="202">
        <v>25</v>
      </c>
      <c r="D156" s="192">
        <f t="shared" si="10"/>
        <v>1025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5">
        <f>'Données projet'!D151</f>
        <v>37</v>
      </c>
      <c r="C158" s="202">
        <v>30</v>
      </c>
      <c r="D158" s="192">
        <f t="shared" si="10"/>
        <v>1110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5">
        <f>'Données projet'!D153</f>
        <v>33</v>
      </c>
      <c r="C160" s="202">
        <v>35</v>
      </c>
      <c r="D160" s="192">
        <f t="shared" si="10"/>
        <v>1155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5">
        <f>'Données projet'!D154</f>
        <v>0</v>
      </c>
      <c r="C161" s="204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85</v>
      </c>
      <c r="B162" s="185">
        <f>'Données projet'!D155</f>
        <v>0</v>
      </c>
      <c r="C162" s="204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90</v>
      </c>
      <c r="B163" s="185">
        <f>'Données projet'!D156</f>
        <v>246</v>
      </c>
      <c r="C163" s="204">
        <v>50</v>
      </c>
      <c r="D163" s="192">
        <f t="shared" si="10"/>
        <v>12300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4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4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4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Mélèze hybride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12</v>
      </c>
      <c r="B178" s="191">
        <f>'Données projet'!D166</f>
        <v>21</v>
      </c>
      <c r="C178" s="202">
        <v>10</v>
      </c>
      <c r="D178" s="189">
        <f>B178*C178</f>
        <v>210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15</v>
      </c>
      <c r="B179" s="191">
        <f>'Données projet'!D167</f>
        <v>47</v>
      </c>
      <c r="C179" s="202">
        <v>10</v>
      </c>
      <c r="D179" s="189">
        <f t="shared" ref="D179:D197" si="11">B179*C179</f>
        <v>470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18</v>
      </c>
      <c r="B180" s="191">
        <f>'Données projet'!D168</f>
        <v>61</v>
      </c>
      <c r="C180" s="204">
        <v>15</v>
      </c>
      <c r="D180" s="189">
        <f t="shared" si="11"/>
        <v>915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25</v>
      </c>
      <c r="B181" s="191">
        <f>'Données projet'!D169</f>
        <v>84</v>
      </c>
      <c r="C181" s="204">
        <v>20</v>
      </c>
      <c r="D181" s="189">
        <f t="shared" si="11"/>
        <v>1680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30</v>
      </c>
      <c r="B182" s="191">
        <f>'Données projet'!D170</f>
        <v>76</v>
      </c>
      <c r="C182" s="204">
        <v>25</v>
      </c>
      <c r="D182" s="189">
        <f t="shared" si="11"/>
        <v>1900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36</v>
      </c>
      <c r="B183" s="191">
        <f>'Données projet'!D171</f>
        <v>75</v>
      </c>
      <c r="C183" s="204">
        <v>30</v>
      </c>
      <c r="D183" s="189">
        <f t="shared" si="11"/>
        <v>2250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42</v>
      </c>
      <c r="B184" s="191">
        <f>'Données projet'!D172</f>
        <v>278</v>
      </c>
      <c r="C184" s="204">
        <v>60</v>
      </c>
      <c r="D184" s="189">
        <f t="shared" si="11"/>
        <v>16680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2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Pin maritime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17</v>
      </c>
      <c r="B209" s="191">
        <f>'Données projet'!D192</f>
        <v>42.084615384615383</v>
      </c>
      <c r="C209" s="204">
        <v>10</v>
      </c>
      <c r="D209" s="189">
        <f>B209*C209</f>
        <v>420.84615384615381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23</v>
      </c>
      <c r="B210" s="191">
        <f>'Données projet'!D193</f>
        <v>54.099999999999994</v>
      </c>
      <c r="C210" s="204">
        <v>15</v>
      </c>
      <c r="D210" s="189">
        <f t="shared" ref="D210:D228" si="12">B210*C210</f>
        <v>811.49999999999989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29</v>
      </c>
      <c r="B212" s="191">
        <f>'Données projet'!D195</f>
        <v>47.661538461538463</v>
      </c>
      <c r="C212" s="204">
        <v>20</v>
      </c>
      <c r="D212" s="189">
        <f t="shared" si="12"/>
        <v>953.23076923076928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34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36</v>
      </c>
      <c r="B214" s="191">
        <f>'Données projet'!D197</f>
        <v>64.553846153846152</v>
      </c>
      <c r="C214" s="204">
        <v>25</v>
      </c>
      <c r="D214" s="189">
        <f t="shared" si="12"/>
        <v>1613.8461538461538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44</v>
      </c>
      <c r="B215" s="191">
        <f>'Données projet'!D198</f>
        <v>64.476923076923072</v>
      </c>
      <c r="C215" s="204">
        <v>30</v>
      </c>
      <c r="D215" s="189">
        <f t="shared" si="12"/>
        <v>1934.3076923076922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52</v>
      </c>
      <c r="B216" s="191">
        <f>'Données projet'!D199</f>
        <v>61.784615384615378</v>
      </c>
      <c r="C216" s="204">
        <v>35</v>
      </c>
      <c r="D216" s="189">
        <f t="shared" si="12"/>
        <v>2162.4615384615381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60</v>
      </c>
      <c r="B217" s="191">
        <f>'Données projet'!D200</f>
        <v>353.5</v>
      </c>
      <c r="C217" s="204">
        <v>40</v>
      </c>
      <c r="D217" s="189">
        <f t="shared" si="12"/>
        <v>14140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Bouleau verruqueux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20</v>
      </c>
      <c r="B242" s="191">
        <f>'Données projet'!D220</f>
        <v>40</v>
      </c>
      <c r="C242" s="202">
        <v>10</v>
      </c>
      <c r="D242" s="189">
        <f t="shared" si="13"/>
        <v>400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25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30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35</v>
      </c>
      <c r="B245" s="191">
        <f>'Données projet'!D223</f>
        <v>76</v>
      </c>
      <c r="C245" s="202">
        <v>10</v>
      </c>
      <c r="D245" s="189">
        <f t="shared" si="13"/>
        <v>760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40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45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50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55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60</v>
      </c>
      <c r="B250" s="191">
        <f>'Données projet'!D228</f>
        <v>303</v>
      </c>
      <c r="C250" s="202">
        <v>40</v>
      </c>
      <c r="D250" s="189">
        <f t="shared" si="13"/>
        <v>12120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Pin sylvestre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22</v>
      </c>
      <c r="B271" s="191">
        <f>'Données projet'!D244</f>
        <v>57.423076923076927</v>
      </c>
      <c r="C271" s="204">
        <v>10</v>
      </c>
      <c r="D271" s="189">
        <f>B271*C271</f>
        <v>574.23076923076928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29</v>
      </c>
      <c r="B272" s="191">
        <f>'Données projet'!D245</f>
        <v>31.736923076923077</v>
      </c>
      <c r="C272" s="204">
        <v>10</v>
      </c>
      <c r="D272" s="189">
        <f t="shared" ref="D272:D290" si="14">B272*C272</f>
        <v>317.36923076923074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36</v>
      </c>
      <c r="B273" s="191">
        <f>'Données projet'!D246</f>
        <v>40.184615384615384</v>
      </c>
      <c r="C273" s="202">
        <v>15</v>
      </c>
      <c r="D273" s="189">
        <f t="shared" si="14"/>
        <v>602.76923076923072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44</v>
      </c>
      <c r="B274" s="191">
        <f>'Données projet'!D247</f>
        <v>39.492307692307691</v>
      </c>
      <c r="C274" s="202">
        <v>20</v>
      </c>
      <c r="D274" s="189">
        <f t="shared" si="14"/>
        <v>789.84615384615381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52</v>
      </c>
      <c r="B275" s="191">
        <f>'Données projet'!D248</f>
        <v>42.038461538461533</v>
      </c>
      <c r="C275" s="202">
        <v>20</v>
      </c>
      <c r="D275" s="189">
        <f t="shared" si="14"/>
        <v>840.76923076923072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60</v>
      </c>
      <c r="B276" s="191">
        <f>'Données projet'!D249</f>
        <v>37.138461538461542</v>
      </c>
      <c r="C276" s="202">
        <v>25</v>
      </c>
      <c r="D276" s="189">
        <f t="shared" si="14"/>
        <v>928.46153846153857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70</v>
      </c>
      <c r="B277" s="191">
        <f>'Données projet'!D250</f>
        <v>44.123076923076923</v>
      </c>
      <c r="C277" s="202">
        <v>25</v>
      </c>
      <c r="D277" s="189">
        <f t="shared" si="14"/>
        <v>1103.0769230769231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80</v>
      </c>
      <c r="B278" s="191">
        <f>'Données projet'!D251</f>
        <v>34.915384615384617</v>
      </c>
      <c r="C278" s="202">
        <v>30</v>
      </c>
      <c r="D278" s="189">
        <f t="shared" si="14"/>
        <v>1047.4615384615386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90</v>
      </c>
      <c r="B279" s="191">
        <f>'Données projet'!D252</f>
        <v>35.161538461538463</v>
      </c>
      <c r="C279" s="202">
        <v>35</v>
      </c>
      <c r="D279" s="189">
        <f t="shared" si="14"/>
        <v>1230.6538461538462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100</v>
      </c>
      <c r="B280" s="191">
        <f>'Données projet'!D253</f>
        <v>190.88461538461539</v>
      </c>
      <c r="C280" s="202">
        <v>40</v>
      </c>
      <c r="D280" s="189">
        <f t="shared" si="14"/>
        <v>7635.3846153846152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103</v>
      </c>
      <c r="B281" s="191">
        <f>'Données projet'!D254</f>
        <v>138.55384615384617</v>
      </c>
      <c r="C281" s="202">
        <v>50</v>
      </c>
      <c r="D281" s="189">
        <f t="shared" si="14"/>
        <v>6927.6923076923085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>Pin laricio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15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21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22</v>
      </c>
      <c r="B304" s="191">
        <f>'Données projet'!D272</f>
        <v>52.746153846153838</v>
      </c>
      <c r="C304" s="202">
        <v>10</v>
      </c>
      <c r="D304" s="192">
        <f t="shared" si="15"/>
        <v>527.46153846153834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24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27</v>
      </c>
      <c r="B306" s="191">
        <f>'Données projet'!D274</f>
        <v>34.646153846153844</v>
      </c>
      <c r="C306" s="202">
        <v>15</v>
      </c>
      <c r="D306" s="192">
        <f t="shared" si="15"/>
        <v>519.69230769230762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30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33</v>
      </c>
      <c r="B308" s="191">
        <f>'Données projet'!D276</f>
        <v>43.007692307692302</v>
      </c>
      <c r="C308" s="202">
        <v>20</v>
      </c>
      <c r="D308" s="192">
        <f t="shared" si="15"/>
        <v>860.15384615384608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41</v>
      </c>
      <c r="B309" s="191">
        <f>'Données projet'!D277</f>
        <v>58.484615384615381</v>
      </c>
      <c r="C309" s="202">
        <v>25</v>
      </c>
      <c r="D309" s="192">
        <f t="shared" si="15"/>
        <v>1462.1153846153845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50</v>
      </c>
      <c r="B310" s="191">
        <f>'Données projet'!D278</f>
        <v>55.292307692307688</v>
      </c>
      <c r="C310" s="202">
        <v>30</v>
      </c>
      <c r="D310" s="192">
        <f t="shared" si="15"/>
        <v>1658.7692307692307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60</v>
      </c>
      <c r="B311" s="191">
        <f>'Données projet'!D279</f>
        <v>54.261538461538464</v>
      </c>
      <c r="C311" s="202">
        <v>35</v>
      </c>
      <c r="D311" s="192">
        <f t="shared" si="15"/>
        <v>1899.1538461538462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70</v>
      </c>
      <c r="B312" s="191">
        <f>'Données projet'!D280</f>
        <v>52.669230769230765</v>
      </c>
      <c r="C312" s="202">
        <v>40</v>
      </c>
      <c r="D312" s="192">
        <f t="shared" si="15"/>
        <v>2106.7692307692305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80</v>
      </c>
      <c r="B313" s="191">
        <f>'Données projet'!D281</f>
        <v>402.90769230769229</v>
      </c>
      <c r="C313" s="202">
        <v>50</v>
      </c>
      <c r="D313" s="192">
        <f t="shared" si="15"/>
        <v>20145.384615384613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2024-11-19T10:47:49Z</dcterms:modified>
</cp:coreProperties>
</file>