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3-2024/# HERMOUET/MENUET - 14741062 - CD/"/>
    </mc:Choice>
  </mc:AlternateContent>
  <xr:revisionPtr revIDLastSave="0" documentId="8_{89B719A5-A7CB-4ABC-AAF5-044F7E805724}" xr6:coauthVersionLast="47" xr6:coauthVersionMax="47" xr10:uidLastSave="{00000000-0000-0000-0000-000000000000}"/>
  <bookViews>
    <workbookView xWindow="9583" yWindow="0" windowWidth="9840" windowHeight="12257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C4" i="2"/>
  <c r="BR4" i="2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C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FS20" i="2"/>
  <c r="EV20" i="2"/>
  <c r="EC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EB35" i="2"/>
  <c r="CM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EX38" i="2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FS57" i="2"/>
  <c r="EV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HH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FS75" i="2"/>
  <c r="EA75" i="2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EV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W85" i="2" l="1"/>
  <c r="HH85" i="2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EA105" i="2"/>
  <c r="EB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C112" i="2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FS113" i="2"/>
  <c r="EC113" i="2"/>
  <c r="EB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V114" i="2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S118" i="2"/>
  <c r="EC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EX120" i="2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A139" i="2"/>
  <c r="EB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HG141" i="2"/>
  <c r="FS141" i="2"/>
  <c r="EA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A144" i="2"/>
  <c r="EB144" i="2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H145" i="2" l="1"/>
  <c r="HG145" i="2"/>
  <c r="EX145" i="2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EB154" i="2"/>
  <c r="AB154" i="2"/>
  <c r="HG154" i="2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X155" i="2"/>
  <c r="EW155" i="2"/>
  <c r="EA155" i="2"/>
  <c r="DI154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I156" i="2" l="1"/>
  <c r="FS156" i="2"/>
  <c r="EB156" i="2"/>
  <c r="AB156" i="2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HG157" i="2"/>
  <c r="EX157" i="2"/>
  <c r="EA157" i="2"/>
  <c r="CN156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D157" i="2"/>
  <c r="HH158" i="2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HH159" i="2"/>
  <c r="EC159" i="2"/>
  <c r="ED158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Y159" i="2"/>
  <c r="HI160" i="2"/>
  <c r="ED159" i="2"/>
  <c r="DG160" i="2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HG161" i="2"/>
  <c r="EX161" i="2"/>
  <c r="ED160" i="2"/>
  <c r="EA161" i="2"/>
  <c r="EB161" i="2"/>
  <c r="FS161" i="2"/>
  <c r="AB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EY161" i="2"/>
  <c r="EW162" i="2"/>
  <c r="EB162" i="2"/>
  <c r="DI161" i="2"/>
  <c r="HH162" i="2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B163" i="2"/>
  <c r="EA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A164" i="2" l="1"/>
  <c r="HH164" i="2"/>
  <c r="EY163" i="2"/>
  <c r="FR164" i="2"/>
  <c r="DI163" i="2"/>
  <c r="DH164" i="2"/>
  <c r="HG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X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EY166" i="2"/>
  <c r="FR167" i="2"/>
  <c r="EA167" i="2"/>
  <c r="EB167" i="2"/>
  <c r="DG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B168" i="2"/>
  <c r="DI167" i="2"/>
  <c r="DG168" i="2"/>
  <c r="EC168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Y168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EB172" i="2"/>
  <c r="EA172" i="2"/>
  <c r="HG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W173" i="2"/>
  <c r="ED172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B175" i="2"/>
  <c r="EW175" i="2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Y175" i="2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Q177" i="2"/>
  <c r="FS177" i="2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FQ178" i="2"/>
  <c r="FS178" i="2"/>
  <c r="EA178" i="2"/>
  <c r="EB178" i="2"/>
  <c r="ED177" i="2"/>
  <c r="HH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I179" i="2" l="1"/>
  <c r="ED178" i="2"/>
  <c r="EB179" i="2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Y179" i="2"/>
  <c r="EX180" i="2"/>
  <c r="ED179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W181" i="2"/>
  <c r="ED180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I185" i="2" l="1"/>
  <c r="EW185" i="2"/>
  <c r="EY184" i="2"/>
  <c r="ED184" i="2"/>
  <c r="EB185" i="2"/>
  <c r="HH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HG186" i="2"/>
  <c r="FS186" i="2"/>
  <c r="EW186" i="2"/>
  <c r="ED185" i="2"/>
  <c r="EA186" i="2"/>
  <c r="EB186" i="2"/>
  <c r="FR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HH189" i="2"/>
  <c r="EY188" i="2"/>
  <c r="EB189" i="2"/>
  <c r="EV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G190" i="2" l="1"/>
  <c r="EY189" i="2"/>
  <c r="EW190" i="2"/>
  <c r="EV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ED190" i="2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I192" i="2" l="1"/>
  <c r="EY191" i="2"/>
  <c r="EC192" i="2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DI192" i="2"/>
  <c r="EA193" i="2"/>
  <c r="EB193" i="2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G194" i="2" l="1"/>
  <c r="HI194" i="2"/>
  <c r="FQ194" i="2"/>
  <c r="EA194" i="2"/>
  <c r="EB194" i="2"/>
  <c r="ED193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A195" i="2" l="1"/>
  <c r="HG195" i="2"/>
  <c r="HI195" i="2"/>
  <c r="AA195" i="2"/>
  <c r="FQ195" i="2"/>
  <c r="EY194" i="2"/>
  <c r="EX195" i="2"/>
  <c r="ED194" i="2"/>
  <c r="EB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H196" i="2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FS197" i="2"/>
  <c r="EY196" i="2"/>
  <c r="EA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FS199" i="2"/>
  <c r="EA199" i="2"/>
  <c r="HH199" i="2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FS201" i="2"/>
  <c r="ED200" i="2"/>
  <c r="DI200" i="2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FZ6" i="2" l="1"/>
  <c r="HI202" i="2"/>
  <c r="FS202" i="2"/>
  <c r="EY201" i="2"/>
  <c r="EW202" i="2"/>
  <c r="ED201" i="2"/>
  <c r="HG202" i="2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FY190" i="2" a="1"/>
  <c r="FY190" i="2" s="1"/>
  <c r="FY104" i="2" a="1"/>
  <c r="FY104" i="2" s="1"/>
  <c r="GT68" i="2" a="1"/>
  <c r="GT68" i="2" s="1"/>
  <c r="GT33" i="2" a="1"/>
  <c r="GT33" i="2" s="1"/>
  <c r="GT152" i="2" a="1"/>
  <c r="GT152" i="2" s="1"/>
  <c r="GT147" i="2" a="1"/>
  <c r="GT147" i="2" s="1"/>
  <c r="GT102" i="2" a="1"/>
  <c r="GT102" i="2" s="1"/>
  <c r="DN29" i="2" a="1"/>
  <c r="DN29" i="2" s="1"/>
  <c r="DN153" i="2" a="1"/>
  <c r="DN153" i="2" s="1"/>
  <c r="CS116" i="2" a="1"/>
  <c r="CS116" i="2" s="1"/>
  <c r="EI195" i="2" a="1"/>
  <c r="EI195" i="2" s="1"/>
  <c r="FY196" i="2" a="1"/>
  <c r="FY196" i="2" s="1"/>
  <c r="FY30" i="2" a="1"/>
  <c r="FY30" i="2" s="1"/>
  <c r="FY142" i="2" a="1"/>
  <c r="FY142" i="2" s="1"/>
  <c r="FD188" i="2" a="1"/>
  <c r="FD188" i="2" s="1"/>
  <c r="GT12" i="2" a="1"/>
  <c r="GT12" i="2" s="1"/>
  <c r="GT21" i="2" a="1"/>
  <c r="GT21" i="2" s="1"/>
  <c r="GT198" i="2" a="1"/>
  <c r="GT198" i="2" s="1"/>
  <c r="GT74" i="2" a="1"/>
  <c r="GT74" i="2" s="1"/>
  <c r="GT126" i="2" a="1"/>
  <c r="GT126" i="2" s="1"/>
  <c r="GT107" i="2" a="1"/>
  <c r="GT107" i="2" s="1"/>
  <c r="GT138" i="2" a="1"/>
  <c r="GT138" i="2" s="1"/>
  <c r="GT15" i="2" a="1"/>
  <c r="GT15" i="2" s="1"/>
  <c r="EI109" i="2" a="1"/>
  <c r="EI109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37" i="2" a="1"/>
  <c r="EI37" i="2" s="1"/>
  <c r="CS114" i="2" a="1"/>
  <c r="CS114" i="2" s="1"/>
  <c r="DN49" i="2" a="1"/>
  <c r="DN49" i="2" s="1"/>
  <c r="DN65" i="2" a="1"/>
  <c r="DN65" i="2" s="1"/>
  <c r="DN6" i="2" a="1"/>
  <c r="DN6" i="2" s="1"/>
  <c r="DO6" i="2" s="1"/>
  <c r="DN45" i="2" a="1"/>
  <c r="DN45" i="2" s="1"/>
  <c r="DN187" i="2" a="1"/>
  <c r="DN187" i="2" s="1"/>
  <c r="HJ202" i="2"/>
  <c r="AX200" i="2"/>
  <c r="BC114" i="2" l="1" a="1"/>
  <c r="BC114" i="2" s="1"/>
  <c r="EI38" i="2" a="1"/>
  <c r="EI38" i="2" s="1"/>
  <c r="EI20" i="2" a="1"/>
  <c r="EI20" i="2" s="1"/>
  <c r="EI34" i="2" a="1"/>
  <c r="EI34" i="2" s="1"/>
  <c r="EI142" i="2" a="1"/>
  <c r="EI142" i="2" s="1"/>
  <c r="EI165" i="2" a="1"/>
  <c r="EI165" i="2" s="1"/>
  <c r="EI106" i="2" a="1"/>
  <c r="EI106" i="2" s="1"/>
  <c r="EI71" i="2" a="1"/>
  <c r="EI71" i="2" s="1"/>
  <c r="EI166" i="2" a="1"/>
  <c r="EI166" i="2" s="1"/>
  <c r="EI57" i="2" a="1"/>
  <c r="EI57" i="2" s="1"/>
  <c r="EI35" i="2" a="1"/>
  <c r="EI35" i="2" s="1"/>
  <c r="EI36" i="2" a="1"/>
  <c r="EI36" i="2" s="1"/>
  <c r="EI139" i="2" a="1"/>
  <c r="EI139" i="2" s="1"/>
  <c r="EI87" i="2" a="1"/>
  <c r="EI87" i="2" s="1"/>
  <c r="BC82" i="2" a="1"/>
  <c r="BC82" i="2" s="1"/>
  <c r="GT174" i="2" a="1"/>
  <c r="GT174" i="2" s="1"/>
  <c r="BC32" i="2" a="1"/>
  <c r="BC32" i="2" s="1"/>
  <c r="GT133" i="2" a="1"/>
  <c r="GT133" i="2" s="1"/>
  <c r="BC31" i="2" a="1"/>
  <c r="BC31" i="2" s="1"/>
  <c r="GT190" i="2" a="1"/>
  <c r="GT190" i="2" s="1"/>
  <c r="BC164" i="2" a="1"/>
  <c r="BC164" i="2" s="1"/>
  <c r="GT121" i="2" a="1"/>
  <c r="GT121" i="2" s="1"/>
  <c r="BC34" i="2" a="1"/>
  <c r="BC34" i="2" s="1"/>
  <c r="GT191" i="2" a="1"/>
  <c r="GT191" i="2" s="1"/>
  <c r="BC192" i="2" a="1"/>
  <c r="BC192" i="2" s="1"/>
  <c r="GT122" i="2" a="1"/>
  <c r="GT122" i="2" s="1"/>
  <c r="GT38" i="2" a="1"/>
  <c r="GT38" i="2" s="1"/>
  <c r="BC55" i="2" a="1"/>
  <c r="BC55" i="2" s="1"/>
  <c r="GT51" i="2" a="1"/>
  <c r="GT51" i="2" s="1"/>
  <c r="FD159" i="2" a="1"/>
  <c r="FD159" i="2" s="1"/>
  <c r="FD167" i="2" a="1"/>
  <c r="FD167" i="2" s="1"/>
  <c r="GT181" i="2" a="1"/>
  <c r="GT181" i="2" s="1"/>
  <c r="GT178" i="2" a="1"/>
  <c r="GT178" i="2" s="1"/>
  <c r="FD189" i="2" a="1"/>
  <c r="FD189" i="2" s="1"/>
  <c r="GT184" i="2" a="1"/>
  <c r="GT184" i="2" s="1"/>
  <c r="GT189" i="2" a="1"/>
  <c r="GT189" i="2" s="1"/>
  <c r="FD48" i="2" a="1"/>
  <c r="FD48" i="2" s="1"/>
  <c r="GT11" i="2" a="1"/>
  <c r="GT11" i="2" s="1"/>
  <c r="GT115" i="2" a="1"/>
  <c r="GT115" i="2" s="1"/>
  <c r="DN150" i="2" a="1"/>
  <c r="DN150" i="2" s="1"/>
  <c r="DN170" i="2" a="1"/>
  <c r="DN170" i="2" s="1"/>
  <c r="DN41" i="2" a="1"/>
  <c r="DN41" i="2" s="1"/>
  <c r="DN70" i="2" a="1"/>
  <c r="DN70" i="2" s="1"/>
  <c r="DN30" i="2" a="1"/>
  <c r="DN30" i="2" s="1"/>
  <c r="DN55" i="2" a="1"/>
  <c r="DN55" i="2" s="1"/>
  <c r="DN135" i="2" a="1"/>
  <c r="DN135" i="2" s="1"/>
  <c r="DN192" i="2" a="1"/>
  <c r="DN192" i="2" s="1"/>
  <c r="DN129" i="2" a="1"/>
  <c r="DN129" i="2" s="1"/>
  <c r="DN43" i="2" a="1"/>
  <c r="DN43" i="2" s="1"/>
  <c r="DN164" i="2" a="1"/>
  <c r="DN164" i="2" s="1"/>
  <c r="DN46" i="2" a="1"/>
  <c r="DN46" i="2" s="1"/>
  <c r="DN110" i="2" a="1"/>
  <c r="DN110" i="2" s="1"/>
  <c r="DN38" i="2" a="1"/>
  <c r="DN38" i="2" s="1"/>
  <c r="DN66" i="2" a="1"/>
  <c r="DN66" i="2" s="1"/>
  <c r="DN50" i="2" a="1"/>
  <c r="DN50" i="2" s="1"/>
  <c r="DN186" i="2" a="1"/>
  <c r="DN186" i="2" s="1"/>
  <c r="DN132" i="2" a="1"/>
  <c r="DN132" i="2" s="1"/>
  <c r="DN31" i="2" a="1"/>
  <c r="DN31" i="2" s="1"/>
  <c r="DN114" i="2" a="1"/>
  <c r="DN114" i="2" s="1"/>
  <c r="DN188" i="2" a="1"/>
  <c r="DN188" i="2" s="1"/>
  <c r="DN113" i="2" a="1"/>
  <c r="DN113" i="2" s="1"/>
  <c r="DN124" i="2" a="1"/>
  <c r="DN124" i="2" s="1"/>
  <c r="DN167" i="2" a="1"/>
  <c r="DN167" i="2" s="1"/>
  <c r="DN80" i="2" a="1"/>
  <c r="DN80" i="2" s="1"/>
  <c r="DN103" i="2" a="1"/>
  <c r="DN103" i="2" s="1"/>
  <c r="DN86" i="2" a="1"/>
  <c r="DN86" i="2" s="1"/>
  <c r="DN25" i="2" a="1"/>
  <c r="DN25" i="2" s="1"/>
  <c r="DN155" i="2" a="1"/>
  <c r="DN155" i="2" s="1"/>
  <c r="DN176" i="2" a="1"/>
  <c r="DN176" i="2" s="1"/>
  <c r="DN190" i="2" a="1"/>
  <c r="DN190" i="2" s="1"/>
  <c r="DN16" i="2" a="1"/>
  <c r="DN16" i="2" s="1"/>
  <c r="DN168" i="2" a="1"/>
  <c r="DN168" i="2" s="1"/>
  <c r="DN63" i="2" a="1"/>
  <c r="DN63" i="2" s="1"/>
  <c r="DN123" i="2" a="1"/>
  <c r="DN123" i="2" s="1"/>
  <c r="DN177" i="2" a="1"/>
  <c r="DN177" i="2" s="1"/>
  <c r="DN184" i="2" a="1"/>
  <c r="DN184" i="2" s="1"/>
  <c r="DN56" i="2" a="1"/>
  <c r="DN56" i="2" s="1"/>
  <c r="DN133" i="2" a="1"/>
  <c r="DN133" i="2" s="1"/>
  <c r="DN162" i="2" a="1"/>
  <c r="DN162" i="2" s="1"/>
  <c r="DN115" i="2" a="1"/>
  <c r="DN115" i="2" s="1"/>
  <c r="DN152" i="2" a="1"/>
  <c r="DN152" i="2" s="1"/>
  <c r="FS203" i="2"/>
  <c r="FD82" i="2" a="1"/>
  <c r="FD82" i="2" s="1"/>
  <c r="FD160" i="2" a="1"/>
  <c r="FD160" i="2" s="1"/>
  <c r="EY202" i="2"/>
  <c r="AH163" i="2" a="1"/>
  <c r="AH163" i="2" s="1"/>
  <c r="AH62" i="2" a="1"/>
  <c r="AH62" i="2" s="1"/>
  <c r="AH19" i="2" a="1"/>
  <c r="AH19" i="2" s="1"/>
  <c r="AH90" i="2" a="1"/>
  <c r="AH90" i="2" s="1"/>
  <c r="AH166" i="2" a="1"/>
  <c r="AH166" i="2" s="1"/>
  <c r="AH151" i="2" a="1"/>
  <c r="AH151" i="2" s="1"/>
  <c r="AH92" i="2" a="1"/>
  <c r="AH92" i="2" s="1"/>
  <c r="AH199" i="2" a="1"/>
  <c r="AH199" i="2" s="1"/>
  <c r="DN137" i="2" a="1"/>
  <c r="DN137" i="2" s="1"/>
  <c r="BX107" i="2" a="1"/>
  <c r="BX107" i="2" s="1"/>
  <c r="CS120" i="2" a="1"/>
  <c r="CS120" i="2" s="1"/>
  <c r="CS72" i="2" a="1"/>
  <c r="CS72" i="2" s="1"/>
  <c r="CS134" i="2" a="1"/>
  <c r="CS134" i="2" s="1"/>
  <c r="CS185" i="2" a="1"/>
  <c r="CS185" i="2" s="1"/>
  <c r="CS24" i="2" a="1"/>
  <c r="CS24" i="2" s="1"/>
  <c r="CS38" i="2" a="1"/>
  <c r="CS38" i="2" s="1"/>
  <c r="CS56" i="2" a="1"/>
  <c r="CS56" i="2" s="1"/>
  <c r="CS129" i="2" a="1"/>
  <c r="CS129" i="2" s="1"/>
  <c r="CS105" i="2" a="1"/>
  <c r="CS105" i="2" s="1"/>
  <c r="CS161" i="2" a="1"/>
  <c r="CS161" i="2" s="1"/>
  <c r="CS77" i="2" a="1"/>
  <c r="CS77" i="2" s="1"/>
  <c r="CS137" i="2" a="1"/>
  <c r="CS137" i="2" s="1"/>
  <c r="CS52" i="2" a="1"/>
  <c r="CS52" i="2" s="1"/>
  <c r="CS66" i="2" a="1"/>
  <c r="CS66" i="2" s="1"/>
  <c r="BC130" i="2" a="1"/>
  <c r="BC130" i="2" s="1"/>
  <c r="BC65" i="2" a="1"/>
  <c r="BC65" i="2" s="1"/>
  <c r="BC126" i="2" a="1"/>
  <c r="BC126" i="2" s="1"/>
  <c r="BC47" i="2" a="1"/>
  <c r="BC47" i="2" s="1"/>
  <c r="BC18" i="2" a="1"/>
  <c r="BC18" i="2" s="1"/>
  <c r="BC38" i="2" a="1"/>
  <c r="BC38" i="2" s="1"/>
  <c r="BC83" i="2" a="1"/>
  <c r="BC83" i="2" s="1"/>
  <c r="BC7" i="2" a="1"/>
  <c r="BC7" i="2" s="1"/>
  <c r="BC151" i="2" a="1"/>
  <c r="BC151" i="2" s="1"/>
  <c r="BC185" i="2" a="1"/>
  <c r="BC185" i="2" s="1"/>
  <c r="BC143" i="2" a="1"/>
  <c r="BC143" i="2" s="1"/>
  <c r="BC68" i="2" a="1"/>
  <c r="BC68" i="2" s="1"/>
  <c r="BC58" i="2" a="1"/>
  <c r="BC58" i="2" s="1"/>
  <c r="BC84" i="2" a="1"/>
  <c r="BC84" i="2" s="1"/>
  <c r="BC117" i="2" a="1"/>
  <c r="BC117" i="2" s="1"/>
  <c r="BC181" i="2" a="1"/>
  <c r="BC181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EY203" i="2"/>
  <c r="ED203" i="2"/>
  <c r="CN203" i="2"/>
  <c r="DI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CD60" i="2" l="1"/>
  <c r="CD143" i="2"/>
  <c r="CD111" i="2"/>
  <c r="CD72" i="2"/>
  <c r="CD48" i="2"/>
  <c r="CD184" i="2"/>
  <c r="CD73" i="2"/>
  <c r="CD3" i="2"/>
  <c r="C9" i="4" s="1"/>
  <c r="E9" i="4" s="1"/>
  <c r="F9" i="4" s="1"/>
  <c r="G9" i="4" s="1"/>
  <c r="L9" i="4" s="1"/>
  <c r="CD180" i="2"/>
  <c r="CD16" i="2"/>
  <c r="CD31" i="2"/>
  <c r="CD145" i="2"/>
  <c r="CD23" i="2"/>
  <c r="CD25" i="2"/>
  <c r="CD194" i="2"/>
  <c r="CD203" i="2"/>
  <c r="CD22" i="2"/>
  <c r="CD66" i="2"/>
  <c r="CD146" i="2"/>
  <c r="CD105" i="2"/>
  <c r="CD138" i="2"/>
  <c r="CD193" i="2"/>
  <c r="CD177" i="2"/>
  <c r="CD10" i="2"/>
  <c r="CD28" i="2"/>
  <c r="CD200" i="2"/>
  <c r="CD58" i="2"/>
  <c r="CD158" i="2"/>
  <c r="CD122" i="2"/>
  <c r="CD52" i="2"/>
  <c r="CD157" i="2"/>
  <c r="CD42" i="2"/>
  <c r="CD38" i="2"/>
  <c r="CD95" i="2"/>
  <c r="CD17" i="2"/>
  <c r="CD76" i="2"/>
  <c r="CD21" i="2"/>
  <c r="CD87" i="2"/>
  <c r="CD162" i="2"/>
  <c r="CD57" i="2"/>
  <c r="CD120" i="2"/>
  <c r="CD198" i="2"/>
  <c r="CD121" i="2"/>
  <c r="CD136" i="2"/>
  <c r="CD123" i="2"/>
  <c r="CD124" i="2"/>
  <c r="CD74" i="2"/>
  <c r="CD98" i="2"/>
  <c r="CD35" i="2"/>
  <c r="CD69" i="2"/>
  <c r="CD142" i="2"/>
  <c r="CD192" i="2"/>
  <c r="CD187" i="2"/>
  <c r="CD75" i="2"/>
  <c r="CD26" i="2"/>
  <c r="CD132" i="2"/>
  <c r="CD189" i="2"/>
  <c r="CD195" i="2"/>
  <c r="CD181" i="2"/>
  <c r="CD34" i="2"/>
  <c r="CD79" i="2"/>
  <c r="CD30" i="2"/>
  <c r="CD94" i="2"/>
  <c r="CD156" i="2"/>
  <c r="CD67" i="2"/>
  <c r="CD19" i="2"/>
  <c r="CD140" i="2"/>
  <c r="CD115" i="2"/>
  <c r="CD135" i="2"/>
  <c r="CD8" i="2"/>
  <c r="CD186" i="2"/>
  <c r="CD152" i="2"/>
  <c r="CD141" i="2"/>
  <c r="CD113" i="2"/>
  <c r="CD50" i="2"/>
  <c r="CD166" i="2"/>
  <c r="CD5" i="2"/>
  <c r="CD49" i="2"/>
  <c r="CD175" i="2"/>
  <c r="CD155" i="2"/>
  <c r="CD7" i="2"/>
  <c r="CD154" i="2"/>
  <c r="CD131" i="2"/>
  <c r="CD46" i="2"/>
  <c r="CD182" i="2"/>
  <c r="CD93" i="2"/>
  <c r="CD6" i="2"/>
  <c r="CD63" i="2"/>
  <c r="CD104" i="2"/>
  <c r="CD188" i="2"/>
  <c r="CD190" i="2"/>
  <c r="CD163" i="2"/>
  <c r="CD90" i="2"/>
  <c r="CD185" i="2"/>
  <c r="CD129" i="2"/>
  <c r="CD65" i="2"/>
  <c r="CD71" i="2"/>
  <c r="CD170" i="2"/>
  <c r="CD91" i="2"/>
  <c r="CD11" i="2"/>
  <c r="CD134" i="2"/>
  <c r="CD55" i="2"/>
  <c r="CD150" i="2"/>
  <c r="CD83" i="2"/>
  <c r="CD110" i="2"/>
  <c r="CD101" i="2"/>
  <c r="CD54" i="2"/>
  <c r="CD97" i="2"/>
  <c r="CD15" i="2"/>
  <c r="CD99" i="2"/>
  <c r="CD86" i="2"/>
  <c r="CD77" i="2"/>
  <c r="CD144" i="2"/>
  <c r="CD151" i="2"/>
  <c r="CD80" i="2"/>
  <c r="CD64" i="2"/>
  <c r="CD109" i="2"/>
  <c r="CD59" i="2"/>
  <c r="CD130" i="2"/>
  <c r="CD20" i="2"/>
  <c r="CD117" i="2"/>
  <c r="CD84" i="2"/>
  <c r="CD173" i="2"/>
  <c r="CD102" i="2"/>
  <c r="CD199" i="2"/>
  <c r="CD161" i="2"/>
  <c r="CD178" i="2"/>
  <c r="CD53" i="2"/>
  <c r="CD43" i="2"/>
  <c r="CD100" i="2"/>
  <c r="CD81" i="2"/>
  <c r="CD27" i="2"/>
  <c r="CD171" i="2"/>
  <c r="CD51" i="2"/>
  <c r="CD179" i="2"/>
  <c r="CD176" i="2"/>
  <c r="CD4" i="2"/>
  <c r="CD44" i="2"/>
  <c r="CD92" i="2"/>
  <c r="CD164" i="2"/>
  <c r="CD12" i="2"/>
  <c r="CD29" i="2"/>
  <c r="CD118" i="2"/>
  <c r="CD18" i="2"/>
  <c r="CD41" i="2"/>
  <c r="CD61" i="2"/>
  <c r="CD116" i="2"/>
  <c r="CD191" i="2"/>
  <c r="CD201" i="2"/>
  <c r="CD119" i="2"/>
  <c r="CD9" i="2"/>
  <c r="CD56" i="2"/>
  <c r="CD197" i="2"/>
  <c r="CD128" i="2"/>
  <c r="CD39" i="2"/>
  <c r="CD96" i="2"/>
  <c r="CD62" i="2"/>
  <c r="CD127" i="2"/>
  <c r="CD167" i="2"/>
  <c r="CD32" i="2"/>
  <c r="CD37" i="2"/>
  <c r="CD174" i="2"/>
  <c r="CD45" i="2"/>
  <c r="CD33" i="2"/>
  <c r="CD112" i="2"/>
  <c r="CD147" i="2"/>
  <c r="CD78" i="2"/>
  <c r="CD133" i="2"/>
  <c r="CD36" i="2"/>
  <c r="CD85" i="2"/>
  <c r="CD137" i="2"/>
  <c r="CD108" i="2"/>
  <c r="CD139" i="2"/>
  <c r="CD172" i="2"/>
  <c r="CD160" i="2"/>
  <c r="CD14" i="2"/>
  <c r="CD183" i="2"/>
  <c r="CD153" i="2"/>
  <c r="CD107" i="2"/>
  <c r="CD88" i="2"/>
  <c r="CD89" i="2"/>
  <c r="CD24" i="2"/>
  <c r="CD40" i="2"/>
  <c r="CD196" i="2"/>
  <c r="CD148" i="2"/>
  <c r="CD169" i="2"/>
  <c r="CD165" i="2"/>
  <c r="CD47" i="2"/>
  <c r="CD68" i="2"/>
  <c r="CD13" i="2"/>
  <c r="CD70" i="2"/>
  <c r="CD126" i="2"/>
  <c r="CD114" i="2"/>
  <c r="CD202" i="2"/>
  <c r="CD106" i="2"/>
  <c r="CD159" i="2"/>
  <c r="CD82" i="2"/>
  <c r="CD103" i="2"/>
  <c r="CD125" i="2"/>
  <c r="CD168" i="2"/>
  <c r="CD149" i="2"/>
  <c r="FE135" i="2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AN56" i="2" l="1"/>
  <c r="AN181" i="2"/>
  <c r="AN158" i="2"/>
  <c r="AN100" i="2"/>
  <c r="AN139" i="2"/>
  <c r="AN174" i="2"/>
  <c r="AN3" i="2"/>
  <c r="C7" i="4" s="1"/>
  <c r="E7" i="4" s="1"/>
  <c r="F7" i="4" s="1"/>
  <c r="G7" i="4" s="1"/>
  <c r="L7" i="4" s="1"/>
  <c r="AN73" i="2"/>
  <c r="AN155" i="2"/>
  <c r="AN55" i="2"/>
  <c r="AN146" i="2"/>
  <c r="AN136" i="2"/>
  <c r="AN183" i="2"/>
  <c r="AN138" i="2"/>
  <c r="AN128" i="2"/>
  <c r="AN51" i="2"/>
  <c r="AN80" i="2"/>
  <c r="AN163" i="2"/>
  <c r="AN77" i="2"/>
  <c r="AN175" i="2"/>
  <c r="AN199" i="2"/>
  <c r="AN72" i="2"/>
  <c r="AN31" i="2"/>
  <c r="AN89" i="2"/>
  <c r="AN7" i="2"/>
  <c r="AN91" i="2"/>
  <c r="AN6" i="2"/>
  <c r="AN201" i="2"/>
  <c r="AN169" i="2"/>
  <c r="AN28" i="2"/>
  <c r="AN135" i="2"/>
  <c r="AN93" i="2"/>
  <c r="AN92" i="2"/>
  <c r="AN113" i="2"/>
  <c r="AN39" i="2"/>
  <c r="AN164" i="2"/>
  <c r="AN25" i="2"/>
  <c r="AN96" i="2"/>
  <c r="AN11" i="2"/>
  <c r="AN126" i="2"/>
  <c r="AN69" i="2"/>
  <c r="AN64" i="2"/>
  <c r="AN170" i="2"/>
  <c r="AN29" i="2"/>
  <c r="AN188" i="2"/>
  <c r="AN161" i="2"/>
  <c r="AN41" i="2"/>
  <c r="AN58" i="2"/>
  <c r="AN172" i="2"/>
  <c r="AN108" i="2"/>
  <c r="AN34" i="2"/>
  <c r="AN195" i="2"/>
  <c r="AN46" i="2"/>
  <c r="AN180" i="2"/>
  <c r="AN187" i="2"/>
  <c r="AN144" i="2"/>
  <c r="AN112" i="2"/>
  <c r="AN84" i="2"/>
  <c r="AN124" i="2"/>
  <c r="AN47" i="2"/>
  <c r="AN118" i="2"/>
  <c r="AN21" i="2"/>
  <c r="AN131" i="2"/>
  <c r="AN107" i="2"/>
  <c r="AN141" i="2"/>
  <c r="AN54" i="2"/>
  <c r="AN105" i="2"/>
  <c r="AN17" i="2"/>
  <c r="AN61" i="2"/>
  <c r="AN117" i="2"/>
  <c r="AN52" i="2"/>
  <c r="AN165" i="2"/>
  <c r="AN79" i="2"/>
  <c r="AN148" i="2"/>
  <c r="AN154" i="2"/>
  <c r="AN20" i="2"/>
  <c r="AN16" i="2"/>
  <c r="AN60" i="2"/>
  <c r="AN65" i="2"/>
  <c r="AN129" i="2"/>
  <c r="AN63" i="2"/>
  <c r="AN151" i="2"/>
  <c r="AN178" i="2"/>
  <c r="AN10" i="2"/>
  <c r="AN203" i="2"/>
  <c r="AN171" i="2"/>
  <c r="AN192" i="2"/>
  <c r="AN166" i="2"/>
  <c r="AN127" i="2"/>
  <c r="AN43" i="2"/>
  <c r="AN90" i="2"/>
  <c r="AN44" i="2"/>
  <c r="AN45" i="2"/>
  <c r="AN194" i="2"/>
  <c r="AN133" i="2"/>
  <c r="AN160" i="2"/>
  <c r="AN123" i="2"/>
  <c r="AN8" i="2"/>
  <c r="AN98" i="2"/>
  <c r="AN159" i="2"/>
  <c r="AN71" i="2"/>
  <c r="AN27" i="2"/>
  <c r="AN156" i="2"/>
  <c r="AN62" i="2"/>
  <c r="AN197" i="2"/>
  <c r="AN116" i="2"/>
  <c r="AN32" i="2"/>
  <c r="AN162" i="2"/>
  <c r="AN168" i="2"/>
  <c r="AN193" i="2"/>
  <c r="AN157" i="2"/>
  <c r="AN95" i="2"/>
  <c r="AN33" i="2"/>
  <c r="AN179" i="2"/>
  <c r="AN94" i="2"/>
  <c r="AN74" i="2"/>
  <c r="AN87" i="2"/>
  <c r="AN30" i="2"/>
  <c r="AN22" i="2"/>
  <c r="AN137" i="2"/>
  <c r="AN190" i="2"/>
  <c r="AN66" i="2"/>
  <c r="AN53" i="2"/>
  <c r="AN104" i="2"/>
  <c r="AN177" i="2"/>
  <c r="AN38" i="2"/>
  <c r="AN35" i="2"/>
  <c r="AN68" i="2"/>
  <c r="AN75" i="2"/>
  <c r="AN140" i="2"/>
  <c r="AN12" i="2"/>
  <c r="AN49" i="2"/>
  <c r="AN14" i="2"/>
  <c r="AN36" i="2"/>
  <c r="AN86" i="2"/>
  <c r="AN114" i="2"/>
  <c r="AN19" i="2"/>
  <c r="AN143" i="2"/>
  <c r="AN70" i="2"/>
  <c r="AN40" i="2"/>
  <c r="AN18" i="2"/>
  <c r="AN202" i="2"/>
  <c r="AN182" i="2"/>
  <c r="AN200" i="2"/>
  <c r="AN111" i="2"/>
  <c r="AN76" i="2"/>
  <c r="AN99" i="2"/>
  <c r="AN125" i="2"/>
  <c r="AN185" i="2"/>
  <c r="AN173" i="2"/>
  <c r="AN189" i="2"/>
  <c r="AN167" i="2"/>
  <c r="AN130" i="2"/>
  <c r="AN24" i="2"/>
  <c r="AN97" i="2"/>
  <c r="AN78" i="2"/>
  <c r="AN122" i="2"/>
  <c r="AN142" i="2"/>
  <c r="AN186" i="2"/>
  <c r="AN23" i="2"/>
  <c r="AN57" i="2"/>
  <c r="AN4" i="2"/>
  <c r="AN176" i="2"/>
  <c r="AN83" i="2"/>
  <c r="AN42" i="2"/>
  <c r="AN102" i="2"/>
  <c r="AN145" i="2"/>
  <c r="AN13" i="2"/>
  <c r="AN115" i="2"/>
  <c r="AN5" i="2"/>
  <c r="AN196" i="2"/>
  <c r="AN81" i="2"/>
  <c r="AN149" i="2"/>
  <c r="AN85" i="2"/>
  <c r="AN50" i="2"/>
  <c r="AN48" i="2"/>
  <c r="AN110" i="2"/>
  <c r="AN132" i="2"/>
  <c r="AN88" i="2"/>
  <c r="AN82" i="2"/>
  <c r="AN152" i="2"/>
  <c r="AN134" i="2"/>
  <c r="AN15" i="2"/>
  <c r="AN37" i="2"/>
  <c r="AN150" i="2"/>
  <c r="AN9" i="2"/>
  <c r="AN101" i="2"/>
  <c r="AN109" i="2"/>
  <c r="AN121" i="2"/>
  <c r="AN119" i="2"/>
  <c r="AN198" i="2"/>
  <c r="AN153" i="2"/>
  <c r="AN106" i="2"/>
  <c r="AN184" i="2"/>
  <c r="AN67" i="2"/>
  <c r="AN147" i="2"/>
  <c r="AN26" i="2"/>
  <c r="AN103" i="2"/>
  <c r="AN191" i="2"/>
  <c r="AN59" i="2"/>
  <c r="AN120" i="2"/>
  <c r="FE185" i="2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<sst xmlns="http://schemas.openxmlformats.org/spreadsheetml/2006/main" count="1172" uniqueCount="324">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</sst>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9.2921937322638239</c:v>
                </c:pt>
                <c:pt idx="2">
                  <c:v>18.177089899913412</c:v>
                </c:pt>
                <c:pt idx="3">
                  <c:v>26.930449399251376</c:v>
                </c:pt>
                <c:pt idx="4">
                  <c:v>35.602726635721403</c:v>
                </c:pt>
                <c:pt idx="5">
                  <c:v>44.216789199875343</c:v>
                </c:pt>
                <c:pt idx="6">
                  <c:v>52.785681720112542</c:v>
                </c:pt>
                <c:pt idx="7">
                  <c:v>61.317813563984139</c:v>
                </c:pt>
                <c:pt idx="8">
                  <c:v>69.819042187991144</c:v>
                </c:pt>
                <c:pt idx="9">
                  <c:v>78.293672897174659</c:v>
                </c:pt>
                <c:pt idx="10">
                  <c:v>86.744998135170761</c:v>
                </c:pt>
                <c:pt idx="11">
                  <c:v>95.175613751905487</c:v>
                </c:pt>
                <c:pt idx="12">
                  <c:v>103.58761655378898</c:v>
                </c:pt>
                <c:pt idx="13">
                  <c:v>111.98273395137143</c:v>
                </c:pt>
                <c:pt idx="14">
                  <c:v>120.36241250311315</c:v>
                </c:pt>
                <c:pt idx="15">
                  <c:v>128.7278804064338</c:v>
                </c:pt>
                <c:pt idx="16">
                  <c:v>137.08019283445722</c:v>
                </c:pt>
                <c:pt idx="17">
                  <c:v>145.42026560884469</c:v>
                </c:pt>
                <c:pt idx="18">
                  <c:v>153.74890072101104</c:v>
                </c:pt>
                <c:pt idx="19">
                  <c:v>162.06680601936617</c:v>
                </c:pt>
                <c:pt idx="20">
                  <c:v>170.37461063363551</c:v>
                </c:pt>
                <c:pt idx="21">
                  <c:v>178.67287722665</c:v>
                </c:pt>
                <c:pt idx="22">
                  <c:v>186.96211184634055</c:v>
                </c:pt>
                <c:pt idx="23">
                  <c:v>195.24277193582597</c:v>
                </c:pt>
                <c:pt idx="24">
                  <c:v>203.51527291113393</c:v>
                </c:pt>
                <c:pt idx="25">
                  <c:v>211.77999361174412</c:v>
                </c:pt>
                <c:pt idx="26">
                  <c:v>220.03728085449575</c:v>
                </c:pt>
                <c:pt idx="27">
                  <c:v>228.28745326718865</c:v>
                </c:pt>
                <c:pt idx="28">
                  <c:v>236.53080453827673</c:v>
                </c:pt>
                <c:pt idx="29">
                  <c:v>244.76760618927483</c:v>
                </c:pt>
                <c:pt idx="30">
                  <c:v>252.99810995402035</c:v>
                </c:pt>
                <c:pt idx="31">
                  <c:v>261.22254983178902</c:v>
                </c:pt>
                <c:pt idx="32">
                  <c:v>269.44114386805046</c:v>
                </c:pt>
                <c:pt idx="33">
                  <c:v>277.65409570637627</c:v>
                </c:pt>
                <c:pt idx="34">
                  <c:v>285.86159594695238</c:v>
                </c:pt>
                <c:pt idx="35">
                  <c:v>294.06382334077597</c:v>
                </c:pt>
                <c:pt idx="36">
                  <c:v>302.26094584353649</c:v>
                </c:pt>
                <c:pt idx="37">
                  <c:v>310.45312154910624</c:v>
                </c:pt>
                <c:pt idx="38">
                  <c:v>318.64049951927569</c:v>
                </c:pt>
                <c:pt idx="39">
                  <c:v>326.82322052369108</c:v>
                </c:pt>
                <c:pt idx="40">
                  <c:v>335.00141770176555</c:v>
                </c:pt>
                <c:pt idx="41">
                  <c:v>343.17521715653567</c:v>
                </c:pt>
                <c:pt idx="42">
                  <c:v>351.34473848895027</c:v>
                </c:pt>
                <c:pt idx="43">
                  <c:v>359.5100952798403</c:v>
                </c:pt>
                <c:pt idx="44">
                  <c:v>367.6713955257913</c:v>
                </c:pt>
                <c:pt idx="45">
                  <c:v>375.82874203427474</c:v>
                </c:pt>
                <c:pt idx="46">
                  <c:v>383.98223278266511</c:v>
                </c:pt>
                <c:pt idx="47">
                  <c:v>392.13196124515889</c:v>
                </c:pt>
                <c:pt idx="48">
                  <c:v>400.27801669108413</c:v>
                </c:pt>
                <c:pt idx="49">
                  <c:v>408.42048445765022</c:v>
                </c:pt>
                <c:pt idx="50">
                  <c:v>416.55944619980323</c:v>
                </c:pt>
                <c:pt idx="51">
                  <c:v>424.69498011952811</c:v>
                </c:pt>
                <c:pt idx="52">
                  <c:v>432.82716117665836</c:v>
                </c:pt>
                <c:pt idx="53">
                  <c:v>440.95606128301159</c:v>
                </c:pt>
                <c:pt idx="54">
                  <c:v>449.08174948145785</c:v>
                </c:pt>
                <c:pt idx="55">
                  <c:v>457.20429211135001</c:v>
                </c:pt>
                <c:pt idx="56">
                  <c:v>465.32375296158119</c:v>
                </c:pt>
                <c:pt idx="57">
                  <c:v>473.44019341240033</c:v>
                </c:pt>
                <c:pt idx="58">
                  <c:v>481.55367256699475</c:v>
                </c:pt>
                <c:pt idx="59">
                  <c:v>489.66424737373995</c:v>
                </c:pt>
                <c:pt idx="60">
                  <c:v>497.77197273992761</c:v>
                </c:pt>
                <c:pt idx="61">
                  <c:v>337.99381912917073</c:v>
                </c:pt>
                <c:pt idx="62">
                  <c:v>354.75361283544322</c:v>
                </c:pt>
                <c:pt idx="63">
                  <c:v>371.4960677901409</c:v>
                </c:pt>
                <c:pt idx="64">
                  <c:v>388.22207520036437</c:v>
                </c:pt>
                <c:pt idx="65">
                  <c:v>404.93244323061884</c:v>
                </c:pt>
                <c:pt idx="66">
                  <c:v>421.6279079194253</c:v>
                </c:pt>
                <c:pt idx="67">
                  <c:v>438.30914227662203</c:v>
                </c:pt>
                <c:pt idx="68">
                  <c:v>454.97676392363013</c:v>
                </c:pt>
                <c:pt idx="69">
                  <c:v>471.63134155593411</c:v>
                </c:pt>
                <c:pt idx="70">
                  <c:v>385.77341475380621</c:v>
                </c:pt>
                <c:pt idx="71">
                  <c:v>402.12352873367144</c:v>
                </c:pt>
                <c:pt idx="72">
                  <c:v>418.45926535082413</c:v>
                </c:pt>
                <c:pt idx="73">
                  <c:v>434.78126470985643</c:v>
                </c:pt>
                <c:pt idx="74">
                  <c:v>451.09011494954387</c:v>
                </c:pt>
                <c:pt idx="75">
                  <c:v>467.38635822676127</c:v>
                </c:pt>
                <c:pt idx="76">
                  <c:v>483.67049582249541</c:v>
                </c:pt>
                <c:pt idx="77">
                  <c:v>499.94299252456011</c:v>
                </c:pt>
                <c:pt idx="78">
                  <c:v>434.22346793695078</c:v>
                </c:pt>
                <c:pt idx="79">
                  <c:v>450.53443732842976</c:v>
                </c:pt>
                <c:pt idx="80">
                  <c:v>466.83277937674598</c:v>
                </c:pt>
                <c:pt idx="81">
                  <c:v>483.11899683366778</c:v>
                </c:pt>
                <c:pt idx="82">
                  <c:v>499.39355580421892</c:v>
                </c:pt>
                <c:pt idx="83">
                  <c:v>515.65688954981795</c:v>
                </c:pt>
                <c:pt idx="84">
                  <c:v>531.90940178680432</c:v>
                </c:pt>
                <c:pt idx="85">
                  <c:v>548.15146956098692</c:v>
                </c:pt>
                <c:pt idx="86">
                  <c:v>564.38344576390512</c:v>
                </c:pt>
                <c:pt idx="87">
                  <c:v>490.22008003438185</c:v>
                </c:pt>
                <c:pt idx="88">
                  <c:v>506.52720231700965</c:v>
                </c:pt>
                <c:pt idx="89">
                  <c:v>522.82322886599707</c:v>
                </c:pt>
                <c:pt idx="90">
                  <c:v>539.10855405682867</c:v>
                </c:pt>
                <c:pt idx="91">
                  <c:v>555.38354650797817</c:v>
                </c:pt>
                <c:pt idx="92">
                  <c:v>571.64855148415324</c:v>
                </c:pt>
                <c:pt idx="93">
                  <c:v>587.90389301192556</c:v>
                </c:pt>
                <c:pt idx="94">
                  <c:v>604.14987574932786</c:v>
                </c:pt>
                <c:pt idx="95">
                  <c:v>620.38678664400345</c:v>
                </c:pt>
                <c:pt idx="96">
                  <c:v>535.20146005564482</c:v>
                </c:pt>
                <c:pt idx="97">
                  <c:v>551.5216935459855</c:v>
                </c:pt>
                <c:pt idx="98">
                  <c:v>567.83180658091271</c:v>
                </c:pt>
                <c:pt idx="99">
                  <c:v>584.13213062540228</c:v>
                </c:pt>
                <c:pt idx="100">
                  <c:v>600.42297714807262</c:v>
                </c:pt>
                <c:pt idx="101">
                  <c:v>616.70463934847601</c:v>
                </c:pt>
                <c:pt idx="102">
                  <c:v>632.97739369260296</c:v>
                </c:pt>
                <c:pt idx="103">
                  <c:v>649.24150128237454</c:v>
                </c:pt>
                <c:pt idx="104">
                  <c:v>665.49720908086226</c:v>
                </c:pt>
                <c:pt idx="105">
                  <c:v>587.42577263819874</c:v>
                </c:pt>
                <c:pt idx="106">
                  <c:v>603.96300828048697</c:v>
                </c:pt>
                <c:pt idx="107">
                  <c:v>620.49084073562256</c:v>
                </c:pt>
                <c:pt idx="108">
                  <c:v>637.00955557694726</c:v>
                </c:pt>
                <c:pt idx="109">
                  <c:v>653.51942237008052</c:v>
                </c:pt>
                <c:pt idx="110">
                  <c:v>670.02069596024683</c:v>
                </c:pt>
                <c:pt idx="111">
                  <c:v>686.51361762628574</c:v>
                </c:pt>
                <c:pt idx="112">
                  <c:v>702.99841611808426</c:v>
                </c:pt>
                <c:pt idx="113">
                  <c:v>719.47530859171786</c:v>
                </c:pt>
                <c:pt idx="114">
                  <c:v>636.44956471430385</c:v>
                </c:pt>
                <c:pt idx="115">
                  <c:v>653.24757170569728</c:v>
                </c:pt>
                <c:pt idx="116">
                  <c:v>670.0366788968978</c:v>
                </c:pt>
                <c:pt idx="117">
                  <c:v>686.81714052237476</c:v>
                </c:pt>
                <c:pt idx="118">
                  <c:v>703.58919739092244</c:v>
                </c:pt>
                <c:pt idx="119">
                  <c:v>720.35307790432523</c:v>
                </c:pt>
                <c:pt idx="120">
                  <c:v>737.10899897634272</c:v>
                </c:pt>
                <c:pt idx="121">
                  <c:v>753.85716686386866</c:v>
                </c:pt>
                <c:pt idx="122">
                  <c:v>770.5977779204519</c:v>
                </c:pt>
                <c:pt idx="123">
                  <c:v>677.92250701858995</c:v>
                </c:pt>
                <c:pt idx="124">
                  <c:v>694.96703714366186</c:v>
                </c:pt>
                <c:pt idx="125">
                  <c:v>712.00300777439281</c:v>
                </c:pt>
                <c:pt idx="126">
                  <c:v>729.03065237867622</c:v>
                </c:pt>
                <c:pt idx="127">
                  <c:v>746.05019263912936</c:v>
                </c:pt>
                <c:pt idx="128">
                  <c:v>763.06183930876557</c:v>
                </c:pt>
                <c:pt idx="129">
                  <c:v>780.06579298646784</c:v>
                </c:pt>
                <c:pt idx="130">
                  <c:v>797.06224482139839</c:v>
                </c:pt>
                <c:pt idx="131">
                  <c:v>814.05137715426144</c:v>
                </c:pt>
                <c:pt idx="132">
                  <c:v>831.03336410230793</c:v>
                </c:pt>
                <c:pt idx="133">
                  <c:v>732.17890267223913</c:v>
                </c:pt>
                <c:pt idx="134">
                  <c:v>749.73396149321979</c:v>
                </c:pt>
                <c:pt idx="135">
                  <c:v>767.28066763444167</c:v>
                </c:pt>
                <c:pt idx="136">
                  <c:v>784.81923882471767</c:v>
                </c:pt>
                <c:pt idx="137">
                  <c:v>802.34988227819213</c:v>
                </c:pt>
                <c:pt idx="138">
                  <c:v>819.87279542542262</c:v>
                </c:pt>
                <c:pt idx="139">
                  <c:v>837.38816657878067</c:v>
                </c:pt>
                <c:pt idx="140">
                  <c:v>854.89617553934602</c:v>
                </c:pt>
                <c:pt idx="141">
                  <c:v>872.39699415155883</c:v>
                </c:pt>
                <c:pt idx="142">
                  <c:v>889.89078681110277</c:v>
                </c:pt>
                <c:pt idx="143">
                  <c:v>907.37771093082313</c:v>
                </c:pt>
                <c:pt idx="144">
                  <c:v>924.85791736890758</c:v>
                </c:pt>
                <c:pt idx="145">
                  <c:v>797.409042492558</c:v>
                </c:pt>
                <c:pt idx="146">
                  <c:v>815.36791546575341</c:v>
                </c:pt>
                <c:pt idx="147">
                  <c:v>833.31881835529202</c:v>
                </c:pt>
                <c:pt idx="148">
                  <c:v>851.26194683884012</c:v>
                </c:pt>
                <c:pt idx="149">
                  <c:v>869.19748768192801</c:v>
                </c:pt>
                <c:pt idx="150">
                  <c:v>887.12561932309336</c:v>
                </c:pt>
                <c:pt idx="151">
                  <c:v>905.04651240931889</c:v>
                </c:pt>
                <c:pt idx="152">
                  <c:v>922.96033028691181</c:v>
                </c:pt>
                <c:pt idx="153">
                  <c:v>940.86722945233839</c:v>
                </c:pt>
                <c:pt idx="154">
                  <c:v>958.76735996699881</c:v>
                </c:pt>
                <c:pt idx="155">
                  <c:v>976.66086583945616</c:v>
                </c:pt>
                <c:pt idx="156">
                  <c:v>994.54788537823799</c:v>
                </c:pt>
                <c:pt idx="157">
                  <c:v>856.37124988532958</c:v>
                </c:pt>
                <c:pt idx="158">
                  <c:v>874.68419914242725</c:v>
                </c:pt>
                <c:pt idx="159">
                  <c:v>892.98947746092699</c:v>
                </c:pt>
                <c:pt idx="160">
                  <c:v>911.28726404279223</c:v>
                </c:pt>
                <c:pt idx="161">
                  <c:v>929.57773031589704</c:v>
                </c:pt>
                <c:pt idx="162">
                  <c:v>947.86104042068712</c:v>
                </c:pt>
                <c:pt idx="163">
                  <c:v>966.13735165739001</c:v>
                </c:pt>
                <c:pt idx="164">
                  <c:v>984.40681489767428</c:v>
                </c:pt>
                <c:pt idx="165">
                  <c:v>1002.6695749642014</c:v>
                </c:pt>
                <c:pt idx="166">
                  <c:v>1020.9257709811267</c:v>
                </c:pt>
                <c:pt idx="167">
                  <c:v>1039.1755366982613</c:v>
                </c:pt>
                <c:pt idx="168">
                  <c:v>1057.4190007913146</c:v>
                </c:pt>
                <c:pt idx="169">
                  <c:v>905.91427234119362</c:v>
                </c:pt>
                <c:pt idx="170">
                  <c:v>924.23069005295258</c:v>
                </c:pt>
                <c:pt idx="171">
                  <c:v>942.53988555489889</c:v>
                </c:pt>
                <c:pt idx="172">
                  <c:v>960.84201872187566</c:v>
                </c:pt>
                <c:pt idx="173">
                  <c:v>979.13724284962302</c:v>
                </c:pt>
                <c:pt idx="174">
                  <c:v>997.42570504586217</c:v>
                </c:pt>
                <c:pt idx="175">
                  <c:v>1015.7075465912441</c:v>
                </c:pt>
                <c:pt idx="176">
                  <c:v>1033.9829032730006</c:v>
                </c:pt>
                <c:pt idx="177">
                  <c:v>1052.2519056938124</c:v>
                </c:pt>
                <c:pt idx="178">
                  <c:v>1070.5146795581438</c:v>
                </c:pt>
                <c:pt idx="179">
                  <c:v>1088.7713459380532</c:v>
                </c:pt>
                <c:pt idx="180">
                  <c:v>1107.0220215202758</c:v>
                </c:pt>
                <c:pt idx="181">
                  <c:v>699.95320311844034</c:v>
                </c:pt>
                <c:pt idx="182">
                  <c:v>711.44270042631854</c:v>
                </c:pt>
                <c:pt idx="183">
                  <c:v>722.92840698891132</c:v>
                </c:pt>
                <c:pt idx="184">
                  <c:v>734.41039149114465</c:v>
                </c:pt>
                <c:pt idx="185">
                  <c:v>498.74292576727026</c:v>
                </c:pt>
                <c:pt idx="186">
                  <c:v>506.17753727481869</c:v>
                </c:pt>
                <c:pt idx="187">
                  <c:v>513.60984023935839</c:v>
                </c:pt>
                <c:pt idx="188">
                  <c:v>521.03987279064233</c:v>
                </c:pt>
                <c:pt idx="189">
                  <c:v>351.17297949147724</c:v>
                </c:pt>
                <c:pt idx="190">
                  <c:v>355.96857950935151</c:v>
                </c:pt>
                <c:pt idx="191">
                  <c:v>360.76276478117251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2.0372769670101483</c:v>
                </c:pt>
                <c:pt idx="2">
                  <c:v>2.676486199143135</c:v>
                </c:pt>
                <c:pt idx="3">
                  <c:v>3.5170759077395513</c:v>
                </c:pt>
                <c:pt idx="4">
                  <c:v>4.6227351394646172</c:v>
                </c:pt>
                <c:pt idx="5">
                  <c:v>6.0773678328619782</c:v>
                </c:pt>
                <c:pt idx="6">
                  <c:v>7.9915303734957925</c:v>
                </c:pt>
                <c:pt idx="7">
                  <c:v>10.510925497936862</c:v>
                </c:pt>
                <c:pt idx="8">
                  <c:v>13.827611241534122</c:v>
                </c:pt>
                <c:pt idx="9">
                  <c:v>18.194795155280449</c:v>
                </c:pt>
                <c:pt idx="10">
                  <c:v>23.946363633196558</c:v>
                </c:pt>
                <c:pt idx="11">
                  <c:v>31.522665853656651</c:v>
                </c:pt>
                <c:pt idx="12">
                  <c:v>41.504560602143492</c:v>
                </c:pt>
                <c:pt idx="13">
                  <c:v>54.658380558021626</c:v>
                </c:pt>
                <c:pt idx="14">
                  <c:v>71.995323377039924</c:v>
                </c:pt>
                <c:pt idx="15">
                  <c:v>94.849909428740133</c:v>
                </c:pt>
                <c:pt idx="16">
                  <c:v>124.98364149297942</c:v>
                </c:pt>
                <c:pt idx="17">
                  <c:v>164.72198008050322</c:v>
                </c:pt>
                <c:pt idx="18">
                  <c:v>134.28250989030781</c:v>
                </c:pt>
                <c:pt idx="19">
                  <c:v>157.45506117882073</c:v>
                </c:pt>
                <c:pt idx="20">
                  <c:v>180.54657390777126</c:v>
                </c:pt>
                <c:pt idx="21">
                  <c:v>203.56888236001612</c:v>
                </c:pt>
                <c:pt idx="22">
                  <c:v>226.53091750255075</c:v>
                </c:pt>
                <c:pt idx="23">
                  <c:v>249.43964844709606</c:v>
                </c:pt>
                <c:pt idx="24">
                  <c:v>198.2631718527642</c:v>
                </c:pt>
                <c:pt idx="25">
                  <c:v>222.37968742634794</c:v>
                </c:pt>
                <c:pt idx="26">
                  <c:v>246.4361891457107</c:v>
                </c:pt>
                <c:pt idx="27">
                  <c:v>270.43935829312153</c:v>
                </c:pt>
                <c:pt idx="28">
                  <c:v>294.39459227178389</c:v>
                </c:pt>
                <c:pt idx="29">
                  <c:v>318.30633801047736</c:v>
                </c:pt>
                <c:pt idx="30">
                  <c:v>270.68449172782698</c:v>
                </c:pt>
                <c:pt idx="31">
                  <c:v>293.51930351408345</c:v>
                </c:pt>
                <c:pt idx="32">
                  <c:v>316.31447172414227</c:v>
                </c:pt>
                <c:pt idx="33">
                  <c:v>339.07325336996888</c:v>
                </c:pt>
                <c:pt idx="34">
                  <c:v>361.7984326115573</c:v>
                </c:pt>
                <c:pt idx="35">
                  <c:v>384.49241541397896</c:v>
                </c:pt>
                <c:pt idx="36">
                  <c:v>407.15730067263689</c:v>
                </c:pt>
                <c:pt idx="37">
                  <c:v>330.75137896983284</c:v>
                </c:pt>
                <c:pt idx="38">
                  <c:v>351.93090381479277</c:v>
                </c:pt>
                <c:pt idx="39">
                  <c:v>373.08249524821412</c:v>
                </c:pt>
                <c:pt idx="40">
                  <c:v>394.20795870969431</c:v>
                </c:pt>
                <c:pt idx="41">
                  <c:v>415.30889042922746</c:v>
                </c:pt>
                <c:pt idx="42">
                  <c:v>436.38671128579443</c:v>
                </c:pt>
                <c:pt idx="43">
                  <c:v>457.44269378262044</c:v>
                </c:pt>
                <c:pt idx="44">
                  <c:v>478.47798379712521</c:v>
                </c:pt>
                <c:pt idx="45">
                  <c:v>397.753227063145</c:v>
                </c:pt>
                <c:pt idx="46">
                  <c:v>416.44223811477758</c:v>
                </c:pt>
                <c:pt idx="47">
                  <c:v>435.11317365477458</c:v>
                </c:pt>
                <c:pt idx="48">
                  <c:v>453.76691805289994</c:v>
                </c:pt>
                <c:pt idx="49">
                  <c:v>472.40427707439738</c:v>
                </c:pt>
                <c:pt idx="50">
                  <c:v>491.0259877555323</c:v>
                </c:pt>
                <c:pt idx="51">
                  <c:v>509.63272670342303</c:v>
                </c:pt>
                <c:pt idx="52">
                  <c:v>528.22511712105825</c:v>
                </c:pt>
                <c:pt idx="53">
                  <c:v>448.98126779829232</c:v>
                </c:pt>
                <c:pt idx="54">
                  <c:v>465.70732350694396</c:v>
                </c:pt>
                <c:pt idx="55">
                  <c:v>482.42057605284941</c:v>
                </c:pt>
                <c:pt idx="56">
                  <c:v>499.12153124405523</c:v>
                </c:pt>
                <c:pt idx="57">
                  <c:v>515.81065829469196</c:v>
                </c:pt>
                <c:pt idx="58">
                  <c:v>532.48839359517024</c:v>
                </c:pt>
                <c:pt idx="59">
                  <c:v>549.15514398564108</c:v>
                </c:pt>
                <c:pt idx="60">
                  <c:v>565.81128961154946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1.9187539791618089</c:v>
                </c:pt>
                <c:pt idx="2">
                  <c:v>2.3739048046992908</c:v>
                </c:pt>
                <c:pt idx="3">
                  <c:v>2.9374441074345867</c:v>
                </c:pt>
                <c:pt idx="4">
                  <c:v>3.6352780855090621</c:v>
                </c:pt>
                <c:pt idx="5">
                  <c:v>4.4995261026160422</c:v>
                </c:pt>
                <c:pt idx="6">
                  <c:v>5.5700155600904404</c:v>
                </c:pt>
                <c:pt idx="7">
                  <c:v>6.8961374885838422</c:v>
                </c:pt>
                <c:pt idx="8">
                  <c:v>8.5391501371991527</c:v>
                </c:pt>
                <c:pt idx="9">
                  <c:v>10.575039007163371</c:v>
                </c:pt>
                <c:pt idx="10">
                  <c:v>13.098068092351689</c:v>
                </c:pt>
                <c:pt idx="11">
                  <c:v>16.225189803711778</c:v>
                </c:pt>
                <c:pt idx="12">
                  <c:v>20.10152172821854</c:v>
                </c:pt>
                <c:pt idx="13">
                  <c:v>24.907148945397026</c:v>
                </c:pt>
                <c:pt idx="14">
                  <c:v>30.86557350936096</c:v>
                </c:pt>
                <c:pt idx="15">
                  <c:v>38.254210904943911</c:v>
                </c:pt>
                <c:pt idx="16">
                  <c:v>47.417430539824153</c:v>
                </c:pt>
                <c:pt idx="17">
                  <c:v>58.782758290837201</c:v>
                </c:pt>
                <c:pt idx="18">
                  <c:v>72.881009569035243</c:v>
                </c:pt>
                <c:pt idx="19">
                  <c:v>90.371308506742437</c:v>
                </c:pt>
                <c:pt idx="20">
                  <c:v>112.07218166479875</c:v>
                </c:pt>
                <c:pt idx="21">
                  <c:v>139.00020426650113</c:v>
                </c:pt>
                <c:pt idx="22">
                  <c:v>172.4180372740486</c:v>
                </c:pt>
                <c:pt idx="23">
                  <c:v>124.45922680191636</c:v>
                </c:pt>
                <c:pt idx="24">
                  <c:v>145.05150046666205</c:v>
                </c:pt>
                <c:pt idx="25">
                  <c:v>165.57375879185801</c:v>
                </c:pt>
                <c:pt idx="26">
                  <c:v>186.0359113344837</c:v>
                </c:pt>
                <c:pt idx="27">
                  <c:v>206.44550326470099</c:v>
                </c:pt>
                <c:pt idx="28">
                  <c:v>178.8770701672199</c:v>
                </c:pt>
                <c:pt idx="29">
                  <c:v>200.38972394653459</c:v>
                </c:pt>
                <c:pt idx="30">
                  <c:v>221.84883849790182</c:v>
                </c:pt>
                <c:pt idx="31">
                  <c:v>243.26032139995104</c:v>
                </c:pt>
                <c:pt idx="32">
                  <c:v>264.62895421811407</c:v>
                </c:pt>
                <c:pt idx="33">
                  <c:v>285.95868273742298</c:v>
                </c:pt>
                <c:pt idx="34">
                  <c:v>242.58739286352048</c:v>
                </c:pt>
                <c:pt idx="35">
                  <c:v>264.04989736803674</c:v>
                </c:pt>
                <c:pt idx="36">
                  <c:v>285.47306022064532</c:v>
                </c:pt>
                <c:pt idx="37">
                  <c:v>306.860247871995</c:v>
                </c:pt>
                <c:pt idx="38">
                  <c:v>328.21431914917827</c:v>
                </c:pt>
                <c:pt idx="39">
                  <c:v>349.5377305435054</c:v>
                </c:pt>
                <c:pt idx="40">
                  <c:v>370.83261443628663</c:v>
                </c:pt>
                <c:pt idx="41">
                  <c:v>392.10083840438301</c:v>
                </c:pt>
                <c:pt idx="42">
                  <c:v>320.07706003496543</c:v>
                </c:pt>
                <c:pt idx="43">
                  <c:v>340.16115673745094</c:v>
                </c:pt>
                <c:pt idx="44">
                  <c:v>360.2191776827687</c:v>
                </c:pt>
                <c:pt idx="45">
                  <c:v>380.25277835910487</c:v>
                </c:pt>
                <c:pt idx="46">
                  <c:v>400.2634256424567</c:v>
                </c:pt>
                <c:pt idx="47">
                  <c:v>420.25242783490597</c:v>
                </c:pt>
                <c:pt idx="48">
                  <c:v>440.22095868894326</c:v>
                </c:pt>
                <c:pt idx="49">
                  <c:v>460.17007684546002</c:v>
                </c:pt>
                <c:pt idx="50">
                  <c:v>480.10074172574264</c:v>
                </c:pt>
                <c:pt idx="51">
                  <c:v>408.86708705663085</c:v>
                </c:pt>
                <c:pt idx="52">
                  <c:v>426.81319907682013</c:v>
                </c:pt>
                <c:pt idx="53">
                  <c:v>444.74308871435665</c:v>
                </c:pt>
                <c:pt idx="54">
                  <c:v>462.65750170877988</c:v>
                </c:pt>
                <c:pt idx="55">
                  <c:v>480.55712136582889</c:v>
                </c:pt>
                <c:pt idx="56">
                  <c:v>498.44257596300025</c:v>
                </c:pt>
                <c:pt idx="57">
                  <c:v>516.31444503713794</c:v>
                </c:pt>
                <c:pt idx="58">
                  <c:v>534.17326475645041</c:v>
                </c:pt>
                <c:pt idx="59">
                  <c:v>552.01953253702732</c:v>
                </c:pt>
                <c:pt idx="60">
                  <c:v>569.85371103158184</c:v>
                </c:pt>
                <c:pt idx="61">
                  <c:v>496.55887909600943</c:v>
                </c:pt>
                <c:pt idx="62">
                  <c:v>511.6255347374472</c:v>
                </c:pt>
                <c:pt idx="63">
                  <c:v>526.68282208192829</c:v>
                </c:pt>
                <c:pt idx="64">
                  <c:v>541.73104657451711</c:v>
                </c:pt>
                <c:pt idx="65">
                  <c:v>556.77049531447858</c:v>
                </c:pt>
                <c:pt idx="66">
                  <c:v>571.80143863323156</c:v>
                </c:pt>
                <c:pt idx="67">
                  <c:v>586.82413149782394</c:v>
                </c:pt>
                <c:pt idx="68">
                  <c:v>601.83881476328258</c:v>
                </c:pt>
                <c:pt idx="69">
                  <c:v>616.84571629355526</c:v>
                </c:pt>
                <c:pt idx="70">
                  <c:v>631.84505196775149</c:v>
                </c:pt>
                <c:pt idx="71">
                  <c:v>558.52582336493231</c:v>
                </c:pt>
                <c:pt idx="72">
                  <c:v>570.88695865906334</c:v>
                </c:pt>
                <c:pt idx="73">
                  <c:v>583.24250397763637</c:v>
                </c:pt>
                <c:pt idx="74">
                  <c:v>595.59259439382743</c:v>
                </c:pt>
                <c:pt idx="75">
                  <c:v>607.93735892409688</c:v>
                </c:pt>
                <c:pt idx="76">
                  <c:v>620.27692091982669</c:v>
                </c:pt>
                <c:pt idx="77">
                  <c:v>632.61139842618638</c:v>
                </c:pt>
                <c:pt idx="78">
                  <c:v>644.94090451156796</c:v>
                </c:pt>
                <c:pt idx="79">
                  <c:v>657.26554757053043</c:v>
                </c:pt>
                <c:pt idx="80">
                  <c:v>669.58543160285092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8" sqref="B18:M31"/>
    </sheetView>
  </sheetViews>
  <sheetFormatPr baseColWidth="10" defaultRowHeight="14.6" x14ac:dyDescent="0.4"/>
  <cols>
    <col min="1" max="1" width="6.69140625" customWidth="1"/>
    <col min="2" max="13" width="15.84375" customWidth="1"/>
  </cols>
  <sheetData>
    <row r="12" spans="2:13" ht="15" customHeight="1" x14ac:dyDescent="0.4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4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4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4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4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4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4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4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4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4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4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4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4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4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4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4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4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4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4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0" zoomScale="80" zoomScaleNormal="80" workbookViewId="0">
      <selection activeCell="C26" sqref="C26"/>
    </sheetView>
  </sheetViews>
  <sheetFormatPr baseColWidth="10" defaultColWidth="11.4609375" defaultRowHeight="14.6" x14ac:dyDescent="0.4"/>
  <cols>
    <col min="1" max="1" width="13.69140625" style="23" customWidth="1"/>
    <col min="2" max="2" width="36.07421875" style="23" customWidth="1"/>
    <col min="3" max="3" width="14.84375" style="23" bestFit="1" customWidth="1"/>
    <col min="4" max="4" width="16.4609375" style="23" customWidth="1"/>
    <col min="5" max="5" width="23.3046875" style="23" customWidth="1"/>
    <col min="6" max="6" width="28.84375" style="23" bestFit="1" customWidth="1"/>
    <col min="7" max="8" width="14.69140625" style="23" customWidth="1"/>
    <col min="9" max="9" width="17" style="23" customWidth="1"/>
    <col min="10" max="10" width="13.84375" style="23" customWidth="1"/>
    <col min="11" max="16384" width="11.4609375" style="23"/>
  </cols>
  <sheetData>
    <row r="1" spans="1:38" x14ac:dyDescent="0.4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6" thickBot="1" x14ac:dyDescent="0.4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15" x14ac:dyDescent="0.4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15" x14ac:dyDescent="0.4">
      <c r="A5" s="268" t="s">
        <v>231</v>
      </c>
      <c r="B5" s="268"/>
      <c r="C5" s="24">
        <v>0.95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15" x14ac:dyDescent="0.4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">
      <c r="A9" s="30" t="s">
        <v>165</v>
      </c>
      <c r="B9" s="31" t="s">
        <v>16</v>
      </c>
      <c r="C9" s="32">
        <v>0.33</v>
      </c>
      <c r="D9" s="33">
        <f>C9*$C$5</f>
        <v>0.3135</v>
      </c>
      <c r="E9" s="34">
        <v>191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">
      <c r="A10" s="30" t="s">
        <v>166</v>
      </c>
      <c r="B10" s="31" t="s">
        <v>36</v>
      </c>
      <c r="C10" s="32">
        <v>0.34</v>
      </c>
      <c r="D10" s="33">
        <f t="shared" ref="D10:D18" si="0">C10*$C$5</f>
        <v>0.32300000000000001</v>
      </c>
      <c r="E10" s="34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">
      <c r="A11" s="30" t="s">
        <v>167</v>
      </c>
      <c r="B11" s="31" t="s">
        <v>35</v>
      </c>
      <c r="C11" s="32">
        <v>0.33</v>
      </c>
      <c r="D11" s="33">
        <f t="shared" si="0"/>
        <v>0.3135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">
      <c r="A13" s="30" t="s">
        <v>169</v>
      </c>
      <c r="B13" s="31"/>
      <c r="C13" s="32"/>
      <c r="D13" s="33">
        <f>C13*$C$5</f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">
      <c r="A19" s="78"/>
      <c r="B19" s="36" t="s">
        <v>175</v>
      </c>
      <c r="C19" s="37">
        <f>SUM(C9:C18)</f>
        <v>1</v>
      </c>
      <c r="D19" s="38">
        <f>SUM(D9:D18)</f>
        <v>0.95000000000000007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0.6" x14ac:dyDescent="0.5500000000000000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">
      <c r="A26" s="41" t="s">
        <v>222</v>
      </c>
      <c r="B26" s="42" t="s">
        <v>221</v>
      </c>
      <c r="C26" s="43">
        <v>0.1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0.6" x14ac:dyDescent="0.4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">
      <c r="A32" s="46" t="s">
        <v>165</v>
      </c>
      <c r="B32" s="47" t="str">
        <f>IF(B9="","",B9)</f>
        <v>Chêne vert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75" x14ac:dyDescent="0.4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">
      <c r="A36" s="50">
        <v>60</v>
      </c>
      <c r="B36" s="60">
        <v>201.62</v>
      </c>
      <c r="C36" s="60">
        <v>1</v>
      </c>
      <c r="D36" s="60">
        <v>72.87</v>
      </c>
      <c r="E36" s="51">
        <v>0</v>
      </c>
      <c r="F36" s="51">
        <v>0.8</v>
      </c>
      <c r="G36" s="51">
        <v>0.2</v>
      </c>
      <c r="H36" s="51">
        <v>0</v>
      </c>
      <c r="I36" s="49">
        <f>IFERROR(B36/A36,"")</f>
        <v>3.3603333333333336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">
      <c r="A37" s="50">
        <v>69</v>
      </c>
      <c r="B37" s="60">
        <v>190.79</v>
      </c>
      <c r="C37" s="60">
        <v>2</v>
      </c>
      <c r="D37" s="60">
        <v>42.22</v>
      </c>
      <c r="E37" s="51">
        <v>0</v>
      </c>
      <c r="F37" s="51">
        <v>0.8</v>
      </c>
      <c r="G37" s="51">
        <v>0.2</v>
      </c>
      <c r="H37" s="51">
        <v>0</v>
      </c>
      <c r="I37" s="53">
        <f t="shared" ref="I37:I55" si="1">IF(A37&lt;&gt;0,(B37-(B36-D36))/(A37-A36),"")</f>
        <v>6.8933333333333326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">
      <c r="A38" s="50">
        <v>77</v>
      </c>
      <c r="B38" s="60">
        <v>202.52</v>
      </c>
      <c r="C38" s="60">
        <v>3</v>
      </c>
      <c r="D38" s="60">
        <v>33.950000000000017</v>
      </c>
      <c r="E38" s="51">
        <v>0</v>
      </c>
      <c r="F38" s="51">
        <v>0.8</v>
      </c>
      <c r="G38" s="51">
        <v>0.2</v>
      </c>
      <c r="H38" s="51">
        <v>0</v>
      </c>
      <c r="I38" s="53">
        <f t="shared" si="1"/>
        <v>6.7437500000000021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">
      <c r="A39" s="50">
        <v>86</v>
      </c>
      <c r="B39" s="60">
        <v>229.27</v>
      </c>
      <c r="C39" s="60">
        <v>4</v>
      </c>
      <c r="D39" s="60">
        <v>37.54000000000002</v>
      </c>
      <c r="E39" s="51">
        <v>0.35</v>
      </c>
      <c r="F39" s="51">
        <v>0.2</v>
      </c>
      <c r="G39" s="51">
        <v>0.1</v>
      </c>
      <c r="H39" s="51">
        <v>0.35</v>
      </c>
      <c r="I39" s="49">
        <f t="shared" si="1"/>
        <v>6.7444444444444462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">
      <c r="A40" s="50">
        <v>95</v>
      </c>
      <c r="B40" s="60">
        <v>252.57</v>
      </c>
      <c r="C40" s="60">
        <v>5</v>
      </c>
      <c r="D40" s="60">
        <v>42.199999999999989</v>
      </c>
      <c r="E40" s="51">
        <v>0.35</v>
      </c>
      <c r="F40" s="51">
        <v>0.2</v>
      </c>
      <c r="G40" s="51">
        <v>0.1</v>
      </c>
      <c r="H40" s="51">
        <v>0.35</v>
      </c>
      <c r="I40" s="49">
        <f t="shared" si="1"/>
        <v>6.7600000000000007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">
      <c r="A41" s="50">
        <v>104</v>
      </c>
      <c r="B41" s="60">
        <v>271.37</v>
      </c>
      <c r="C41" s="60">
        <v>6</v>
      </c>
      <c r="D41" s="60">
        <v>39.400000000000006</v>
      </c>
      <c r="E41" s="51">
        <v>0.35</v>
      </c>
      <c r="F41" s="51">
        <v>0.2</v>
      </c>
      <c r="G41" s="51">
        <v>0.1</v>
      </c>
      <c r="H41" s="51">
        <v>0.35</v>
      </c>
      <c r="I41" s="53">
        <f t="shared" si="1"/>
        <v>6.7777777777777777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">
      <c r="A42" s="50">
        <v>113</v>
      </c>
      <c r="B42" s="60">
        <v>293.89999999999998</v>
      </c>
      <c r="C42" s="60">
        <v>7</v>
      </c>
      <c r="D42" s="60">
        <v>41.639999999999986</v>
      </c>
      <c r="E42" s="51">
        <v>0.35</v>
      </c>
      <c r="F42" s="51">
        <v>0.2</v>
      </c>
      <c r="G42" s="51">
        <v>0.1</v>
      </c>
      <c r="H42" s="51">
        <v>0.35</v>
      </c>
      <c r="I42" s="53">
        <f t="shared" si="1"/>
        <v>6.8811111111111085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">
      <c r="A43" s="50">
        <v>122</v>
      </c>
      <c r="B43" s="60">
        <v>315.27</v>
      </c>
      <c r="C43" s="60">
        <v>8</v>
      </c>
      <c r="D43" s="60">
        <v>45.829999999999984</v>
      </c>
      <c r="E43" s="51">
        <v>0.35</v>
      </c>
      <c r="F43" s="51">
        <v>0.2</v>
      </c>
      <c r="G43" s="51">
        <v>0.1</v>
      </c>
      <c r="H43" s="51">
        <v>0.35</v>
      </c>
      <c r="I43" s="49">
        <f t="shared" si="1"/>
        <v>7.0011111111111104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">
      <c r="A44" s="50">
        <v>132</v>
      </c>
      <c r="B44" s="60">
        <v>340.57</v>
      </c>
      <c r="C44" s="60">
        <v>9</v>
      </c>
      <c r="D44" s="60">
        <v>48.699999999999989</v>
      </c>
      <c r="E44" s="51">
        <v>0.35</v>
      </c>
      <c r="F44" s="51">
        <v>0.2</v>
      </c>
      <c r="G44" s="51">
        <v>0.1</v>
      </c>
      <c r="H44" s="51">
        <v>0.35</v>
      </c>
      <c r="I44" s="49">
        <f t="shared" si="1"/>
        <v>7.1129999999999995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">
      <c r="A45" s="50">
        <v>144</v>
      </c>
      <c r="B45" s="60">
        <v>379.92</v>
      </c>
      <c r="C45" s="60">
        <v>10</v>
      </c>
      <c r="D45" s="60">
        <v>60.949999999999989</v>
      </c>
      <c r="E45" s="51">
        <v>0.35</v>
      </c>
      <c r="F45" s="51">
        <v>0.2</v>
      </c>
      <c r="G45" s="51">
        <v>0.1</v>
      </c>
      <c r="H45" s="51">
        <v>0.35</v>
      </c>
      <c r="I45" s="49">
        <f t="shared" si="1"/>
        <v>7.3375000000000012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">
      <c r="A46" s="50">
        <v>156</v>
      </c>
      <c r="B46" s="60">
        <v>409.2</v>
      </c>
      <c r="C46" s="60">
        <v>11</v>
      </c>
      <c r="D46" s="60">
        <v>65.69</v>
      </c>
      <c r="E46" s="51">
        <v>0.5</v>
      </c>
      <c r="F46" s="51">
        <v>0.2</v>
      </c>
      <c r="G46" s="51">
        <v>0</v>
      </c>
      <c r="H46" s="51">
        <v>0.3</v>
      </c>
      <c r="I46" s="49">
        <f t="shared" si="1"/>
        <v>7.5191666666666634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">
      <c r="A47" s="50">
        <v>168</v>
      </c>
      <c r="B47" s="60">
        <v>435.65</v>
      </c>
      <c r="C47" s="60">
        <v>12</v>
      </c>
      <c r="D47" s="60">
        <v>71.37</v>
      </c>
      <c r="E47" s="51">
        <v>0.5</v>
      </c>
      <c r="F47" s="51">
        <v>0.2</v>
      </c>
      <c r="G47" s="51">
        <v>0</v>
      </c>
      <c r="H47" s="51">
        <v>0.3</v>
      </c>
      <c r="I47" s="49">
        <f t="shared" si="1"/>
        <v>7.6783333333333319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">
      <c r="A48" s="50">
        <v>180</v>
      </c>
      <c r="B48" s="60">
        <v>456.54</v>
      </c>
      <c r="C48" s="60">
        <v>13</v>
      </c>
      <c r="D48" s="60">
        <v>175.59000000000003</v>
      </c>
      <c r="E48" s="51">
        <v>0.5</v>
      </c>
      <c r="F48" s="51">
        <v>0.2</v>
      </c>
      <c r="G48" s="51">
        <v>0</v>
      </c>
      <c r="H48" s="51">
        <v>0.3</v>
      </c>
      <c r="I48" s="49">
        <f t="shared" si="1"/>
        <v>7.688333333333337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">
      <c r="A49" s="50">
        <v>184</v>
      </c>
      <c r="B49" s="60">
        <v>300.14</v>
      </c>
      <c r="C49" s="60">
        <v>14</v>
      </c>
      <c r="D49" s="60">
        <v>101.19999999999999</v>
      </c>
      <c r="E49" s="51">
        <v>0.5</v>
      </c>
      <c r="F49" s="51">
        <v>0.2</v>
      </c>
      <c r="G49" s="51">
        <v>0</v>
      </c>
      <c r="H49" s="51">
        <v>0.3</v>
      </c>
      <c r="I49" s="49">
        <f t="shared" si="1"/>
        <v>4.7974999999999994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">
      <c r="A50" s="50">
        <v>188</v>
      </c>
      <c r="B50" s="50">
        <v>211.27</v>
      </c>
      <c r="C50" s="50">
        <v>15</v>
      </c>
      <c r="D50" s="50">
        <v>72.180000000000007</v>
      </c>
      <c r="E50" s="51">
        <v>0.5</v>
      </c>
      <c r="F50" s="51">
        <v>0.2</v>
      </c>
      <c r="G50" s="51">
        <v>0</v>
      </c>
      <c r="H50" s="51">
        <v>0.3</v>
      </c>
      <c r="I50" s="49">
        <f t="shared" si="1"/>
        <v>3.0825000000000031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">
      <c r="A51" s="50">
        <v>191</v>
      </c>
      <c r="B51" s="50">
        <v>145.01</v>
      </c>
      <c r="C51" s="50">
        <v>16</v>
      </c>
      <c r="D51" s="50">
        <v>145.01</v>
      </c>
      <c r="E51" s="51">
        <v>0.45</v>
      </c>
      <c r="F51" s="51">
        <v>0.05</v>
      </c>
      <c r="G51" s="51">
        <v>0.05</v>
      </c>
      <c r="H51" s="51">
        <v>0.45</v>
      </c>
      <c r="I51" s="49">
        <f t="shared" si="1"/>
        <v>1.9733333333333292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">
      <c r="A58" s="46" t="s">
        <v>166</v>
      </c>
      <c r="B58" s="52" t="str">
        <f>IF(B10="","",B10)</f>
        <v>Pin maritime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75" x14ac:dyDescent="0.4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">
      <c r="A62" s="50">
        <v>17</v>
      </c>
      <c r="B62" s="60">
        <v>123.63</v>
      </c>
      <c r="C62" s="60">
        <v>1</v>
      </c>
      <c r="D62" s="60">
        <v>41.179999999999993</v>
      </c>
      <c r="E62" s="51">
        <v>0</v>
      </c>
      <c r="F62" s="51">
        <v>0.5</v>
      </c>
      <c r="G62" s="51">
        <v>0.5</v>
      </c>
      <c r="H62" s="51">
        <v>0</v>
      </c>
      <c r="I62" s="53">
        <f>IFERROR(B62/A62,"")</f>
        <v>7.2723529411764707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">
      <c r="A63" s="50">
        <v>23</v>
      </c>
      <c r="B63" s="60">
        <v>189.21</v>
      </c>
      <c r="C63" s="60">
        <v>2</v>
      </c>
      <c r="D63" s="60">
        <v>58.370000000000005</v>
      </c>
      <c r="E63" s="51">
        <v>0.25</v>
      </c>
      <c r="F63" s="51">
        <v>0.37</v>
      </c>
      <c r="G63" s="51">
        <v>0.38</v>
      </c>
      <c r="H63" s="51">
        <v>0</v>
      </c>
      <c r="I63" s="49">
        <f>IF(A63&lt;&gt;0,(B63-(B62-D62))/(A63-A62),"")</f>
        <v>17.793333333333333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">
      <c r="A64" s="50">
        <v>29</v>
      </c>
      <c r="B64" s="60">
        <v>242.91</v>
      </c>
      <c r="C64" s="60">
        <v>3</v>
      </c>
      <c r="D64" s="60">
        <v>54.97</v>
      </c>
      <c r="E64" s="51">
        <v>0.6</v>
      </c>
      <c r="F64" s="51">
        <v>0.2</v>
      </c>
      <c r="G64" s="51">
        <v>0.2</v>
      </c>
      <c r="H64" s="51">
        <v>0</v>
      </c>
      <c r="I64" s="49">
        <f>IF(A64&lt;&gt;0,(B64-(B63-D63))/(A64-A63),"")</f>
        <v>18.678333333333331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">
      <c r="A65" s="50">
        <v>36</v>
      </c>
      <c r="B65" s="60">
        <v>312.57</v>
      </c>
      <c r="C65" s="60">
        <v>4</v>
      </c>
      <c r="D65" s="60">
        <v>76.509999999999991</v>
      </c>
      <c r="E65" s="51">
        <v>0.6</v>
      </c>
      <c r="F65" s="51">
        <v>0.2</v>
      </c>
      <c r="G65" s="51">
        <v>0.2</v>
      </c>
      <c r="H65" s="51">
        <v>0</v>
      </c>
      <c r="I65" s="49">
        <f>IF(A65&lt;&gt;0,(B65-(B64-D64))/(A65-A64),"")</f>
        <v>17.804285714285715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">
      <c r="A66" s="50">
        <v>44</v>
      </c>
      <c r="B66" s="60">
        <v>368.73</v>
      </c>
      <c r="C66" s="60">
        <v>5</v>
      </c>
      <c r="D66" s="60">
        <v>78.240000000000009</v>
      </c>
      <c r="E66" s="51">
        <v>0.6</v>
      </c>
      <c r="F66" s="51">
        <v>0.2</v>
      </c>
      <c r="G66" s="51">
        <v>0.2</v>
      </c>
      <c r="H66" s="51">
        <v>0</v>
      </c>
      <c r="I66" s="49">
        <f t="shared" ref="I66:I81" si="2">IF(A66&lt;&gt;0,(B66-(B65-D65))/(A66-A65),"")</f>
        <v>16.583750000000002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">
      <c r="A67" s="50">
        <v>52</v>
      </c>
      <c r="B67" s="60">
        <v>408.01</v>
      </c>
      <c r="C67" s="60">
        <v>6</v>
      </c>
      <c r="D67" s="60">
        <v>75.70999999999998</v>
      </c>
      <c r="E67" s="51">
        <v>0.6</v>
      </c>
      <c r="F67" s="51">
        <v>0.2</v>
      </c>
      <c r="G67" s="51">
        <v>0.2</v>
      </c>
      <c r="H67" s="51">
        <v>0</v>
      </c>
      <c r="I67" s="49">
        <f t="shared" si="2"/>
        <v>14.689999999999998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">
      <c r="A68" s="50">
        <v>60</v>
      </c>
      <c r="B68" s="60">
        <v>437.74</v>
      </c>
      <c r="C68" s="60">
        <v>7</v>
      </c>
      <c r="D68" s="60">
        <v>437.74</v>
      </c>
      <c r="E68" s="51">
        <v>0.6</v>
      </c>
      <c r="F68" s="51">
        <v>0.2</v>
      </c>
      <c r="G68" s="51">
        <v>0.2</v>
      </c>
      <c r="H68" s="51">
        <v>0</v>
      </c>
      <c r="I68" s="49">
        <f t="shared" si="2"/>
        <v>13.18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">
      <c r="A84" s="46" t="s">
        <v>167</v>
      </c>
      <c r="B84" s="52" t="str">
        <f>IF(B11="","",B11)</f>
        <v>Pin laricio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75" x14ac:dyDescent="0.4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">
      <c r="A88" s="50">
        <v>22</v>
      </c>
      <c r="B88" s="60">
        <v>129.56</v>
      </c>
      <c r="C88" s="60">
        <v>1</v>
      </c>
      <c r="D88" s="60">
        <v>52.620000000000005</v>
      </c>
      <c r="E88" s="51">
        <v>0.25</v>
      </c>
      <c r="F88" s="51">
        <v>0.37</v>
      </c>
      <c r="G88" s="51">
        <v>0.38</v>
      </c>
      <c r="H88" s="87">
        <v>0</v>
      </c>
      <c r="I88" s="53">
        <f>IFERROR(B88/A88,"")</f>
        <v>5.8890909090909096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">
      <c r="A89" s="50">
        <v>27</v>
      </c>
      <c r="B89" s="60">
        <v>155.85</v>
      </c>
      <c r="C89" s="60">
        <v>2</v>
      </c>
      <c r="D89" s="60">
        <v>37.929999999999993</v>
      </c>
      <c r="E89" s="51">
        <v>0.25</v>
      </c>
      <c r="F89" s="51">
        <v>0.37</v>
      </c>
      <c r="G89" s="51">
        <v>0.38</v>
      </c>
      <c r="H89" s="87">
        <v>0</v>
      </c>
      <c r="I89" s="53">
        <f t="shared" ref="I89:I107" si="3">IF(A89&lt;&gt;0,(B89-(B88-D88))/(A89-A88),"")</f>
        <v>15.782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">
      <c r="A90" s="50">
        <v>33</v>
      </c>
      <c r="B90" s="60">
        <v>217.65</v>
      </c>
      <c r="C90" s="60">
        <v>3</v>
      </c>
      <c r="D90" s="60">
        <v>50.460000000000008</v>
      </c>
      <c r="E90" s="87">
        <v>0.25</v>
      </c>
      <c r="F90" s="87">
        <v>0.37</v>
      </c>
      <c r="G90" s="87">
        <v>0.38</v>
      </c>
      <c r="H90" s="87">
        <v>0</v>
      </c>
      <c r="I90" s="53">
        <f t="shared" si="3"/>
        <v>16.621666666666666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">
      <c r="A91" s="50">
        <v>41</v>
      </c>
      <c r="B91" s="60">
        <v>300.74</v>
      </c>
      <c r="C91" s="60">
        <v>4</v>
      </c>
      <c r="D91" s="60">
        <v>72.16</v>
      </c>
      <c r="E91" s="87">
        <v>0.6</v>
      </c>
      <c r="F91" s="87">
        <v>0.2</v>
      </c>
      <c r="G91" s="87">
        <v>0.2</v>
      </c>
      <c r="H91" s="87">
        <v>0</v>
      </c>
      <c r="I91" s="53">
        <f t="shared" si="3"/>
        <v>16.693750000000001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">
      <c r="A92" s="50">
        <v>50</v>
      </c>
      <c r="B92" s="60">
        <v>370.01</v>
      </c>
      <c r="C92" s="60">
        <v>5</v>
      </c>
      <c r="D92" s="60">
        <v>70.20999999999998</v>
      </c>
      <c r="E92" s="87">
        <v>0.6</v>
      </c>
      <c r="F92" s="87">
        <v>0.2</v>
      </c>
      <c r="G92" s="87">
        <v>0.2</v>
      </c>
      <c r="H92" s="87">
        <v>0</v>
      </c>
      <c r="I92" s="53">
        <f t="shared" si="3"/>
        <v>15.714444444444442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">
      <c r="A93" s="50">
        <v>60</v>
      </c>
      <c r="B93" s="60">
        <v>440.94</v>
      </c>
      <c r="C93" s="60">
        <v>6</v>
      </c>
      <c r="D93" s="60">
        <v>69.839999999999975</v>
      </c>
      <c r="E93" s="87">
        <v>0.6</v>
      </c>
      <c r="F93" s="87">
        <v>0.2</v>
      </c>
      <c r="G93" s="87">
        <v>0.2</v>
      </c>
      <c r="H93" s="87">
        <v>0</v>
      </c>
      <c r="I93" s="53">
        <f t="shared" si="3"/>
        <v>14.113999999999999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">
      <c r="A94" s="50">
        <v>70</v>
      </c>
      <c r="B94" s="60">
        <v>490.07</v>
      </c>
      <c r="C94" s="60">
        <v>7</v>
      </c>
      <c r="D94" s="60">
        <v>67.88</v>
      </c>
      <c r="E94" s="87">
        <v>0.6</v>
      </c>
      <c r="F94" s="87">
        <v>0.2</v>
      </c>
      <c r="G94" s="87">
        <v>0.2</v>
      </c>
      <c r="H94" s="87">
        <v>0</v>
      </c>
      <c r="I94" s="53">
        <f t="shared" si="3"/>
        <v>11.896999999999997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">
      <c r="A95" s="60">
        <v>80</v>
      </c>
      <c r="B95" s="60">
        <v>520.03</v>
      </c>
      <c r="C95" s="60">
        <v>8</v>
      </c>
      <c r="D95" s="60">
        <v>520.03</v>
      </c>
      <c r="E95" s="87">
        <v>0.6</v>
      </c>
      <c r="F95" s="87">
        <v>0.2</v>
      </c>
      <c r="G95" s="87">
        <v>0.2</v>
      </c>
      <c r="H95" s="87">
        <v>0</v>
      </c>
      <c r="I95" s="53">
        <f t="shared" si="3"/>
        <v>9.7839999999999971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75" x14ac:dyDescent="0.4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75" x14ac:dyDescent="0.4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75" x14ac:dyDescent="0.4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75" x14ac:dyDescent="0.4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75" x14ac:dyDescent="0.4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75" x14ac:dyDescent="0.4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75" x14ac:dyDescent="0.4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8" sqref="C8"/>
    </sheetView>
  </sheetViews>
  <sheetFormatPr baseColWidth="10" defaultColWidth="11.4609375" defaultRowHeight="14.6" x14ac:dyDescent="0.4"/>
  <cols>
    <col min="1" max="1" width="5.84375" style="1" customWidth="1"/>
    <col min="2" max="2" width="14.07421875" style="1" customWidth="1"/>
    <col min="3" max="3" width="62.07421875" style="1" customWidth="1"/>
    <col min="4" max="5" width="4.3046875" style="1" customWidth="1"/>
    <col min="6" max="6" width="14.3046875" style="1" customWidth="1"/>
    <col min="7" max="7" width="73.3046875" style="1" bestFit="1" customWidth="1"/>
    <col min="8" max="10" width="11.4609375" style="1"/>
    <col min="11" max="11" width="12.53515625" style="1" customWidth="1"/>
    <col min="12" max="16384" width="11.4609375" style="1"/>
  </cols>
  <sheetData>
    <row r="1" spans="1:38" ht="15" thickBot="1" x14ac:dyDescent="0.4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6" thickBot="1" x14ac:dyDescent="0.7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">
      <c r="C104" s="4"/>
      <c r="F104" s="4"/>
    </row>
    <row r="105" spans="3:35" x14ac:dyDescent="0.4">
      <c r="C105" s="4"/>
      <c r="F105" s="4"/>
    </row>
    <row r="106" spans="3:35" x14ac:dyDescent="0.4">
      <c r="C106" s="4"/>
      <c r="F106" s="4"/>
    </row>
    <row r="107" spans="3:35" x14ac:dyDescent="0.4">
      <c r="C107" s="4"/>
      <c r="F107" s="4"/>
    </row>
    <row r="108" spans="3:35" x14ac:dyDescent="0.4">
      <c r="C108" s="4"/>
      <c r="F108" s="4"/>
    </row>
    <row r="109" spans="3:35" x14ac:dyDescent="0.4">
      <c r="C109" s="4"/>
      <c r="F109" s="4"/>
    </row>
    <row r="110" spans="3:35" x14ac:dyDescent="0.4">
      <c r="C110" s="4"/>
      <c r="F110" s="4"/>
    </row>
    <row r="111" spans="3:35" x14ac:dyDescent="0.4">
      <c r="C111" s="4"/>
      <c r="F111" s="4"/>
    </row>
    <row r="112" spans="3:35" x14ac:dyDescent="0.4">
      <c r="C112" s="4"/>
      <c r="F112" s="4"/>
    </row>
    <row r="113" spans="3:6" x14ac:dyDescent="0.4">
      <c r="C113" s="4"/>
      <c r="F113" s="4"/>
    </row>
    <row r="114" spans="3:6" x14ac:dyDescent="0.4">
      <c r="C114" s="4"/>
      <c r="F114" s="4"/>
    </row>
    <row r="115" spans="3:6" x14ac:dyDescent="0.4">
      <c r="C115" s="4"/>
      <c r="F115" s="4"/>
    </row>
    <row r="116" spans="3:6" x14ac:dyDescent="0.4">
      <c r="C116" s="4"/>
      <c r="F116" s="4"/>
    </row>
    <row r="117" spans="3:6" x14ac:dyDescent="0.4">
      <c r="C117" s="4"/>
      <c r="F117" s="4"/>
    </row>
    <row r="118" spans="3:6" x14ac:dyDescent="0.4">
      <c r="C118" s="4"/>
      <c r="F118" s="4"/>
    </row>
    <row r="119" spans="3:6" x14ac:dyDescent="0.4">
      <c r="C119" s="4"/>
      <c r="F119" s="4"/>
    </row>
    <row r="120" spans="3:6" x14ac:dyDescent="0.4">
      <c r="C120" s="4"/>
      <c r="F120" s="4"/>
    </row>
    <row r="121" spans="3:6" x14ac:dyDescent="0.4">
      <c r="C121" s="4"/>
      <c r="F121" s="4"/>
    </row>
    <row r="122" spans="3:6" x14ac:dyDescent="0.4">
      <c r="C122" s="4"/>
      <c r="F122" s="4"/>
    </row>
    <row r="123" spans="3:6" x14ac:dyDescent="0.4">
      <c r="C123" s="4"/>
      <c r="F123" s="4"/>
    </row>
    <row r="124" spans="3:6" x14ac:dyDescent="0.4">
      <c r="C124" s="4"/>
      <c r="F124" s="4"/>
    </row>
    <row r="125" spans="3:6" x14ac:dyDescent="0.4">
      <c r="C125" s="4"/>
      <c r="F125" s="4"/>
    </row>
    <row r="126" spans="3:6" x14ac:dyDescent="0.4">
      <c r="C126" s="4"/>
      <c r="F126" s="4"/>
    </row>
    <row r="127" spans="3:6" x14ac:dyDescent="0.4">
      <c r="C127" s="4"/>
      <c r="F127" s="4"/>
    </row>
    <row r="128" spans="3:6" x14ac:dyDescent="0.4">
      <c r="C128" s="4"/>
      <c r="F128" s="4"/>
    </row>
    <row r="129" spans="3:6" x14ac:dyDescent="0.4">
      <c r="C129" s="4"/>
      <c r="F129" s="4"/>
    </row>
    <row r="130" spans="3:6" x14ac:dyDescent="0.4">
      <c r="C130" s="4"/>
      <c r="F130" s="4"/>
    </row>
    <row r="131" spans="3:6" x14ac:dyDescent="0.4">
      <c r="C131" s="4"/>
      <c r="F131" s="4"/>
    </row>
    <row r="132" spans="3:6" x14ac:dyDescent="0.4">
      <c r="F132" s="4"/>
    </row>
    <row r="133" spans="3:6" x14ac:dyDescent="0.4">
      <c r="F133" s="4"/>
    </row>
    <row r="134" spans="3:6" x14ac:dyDescent="0.4">
      <c r="F134" s="4"/>
    </row>
    <row r="135" spans="3:6" x14ac:dyDescent="0.4">
      <c r="F135" s="4"/>
    </row>
    <row r="136" spans="3:6" x14ac:dyDescent="0.4">
      <c r="F136" s="4"/>
    </row>
    <row r="137" spans="3:6" x14ac:dyDescent="0.4">
      <c r="F137" s="4"/>
    </row>
    <row r="138" spans="3:6" x14ac:dyDescent="0.4">
      <c r="F138" s="4"/>
    </row>
    <row r="139" spans="3:6" x14ac:dyDescent="0.4">
      <c r="F139" s="4"/>
    </row>
    <row r="140" spans="3:6" x14ac:dyDescent="0.4">
      <c r="F140" s="4"/>
    </row>
    <row r="141" spans="3:6" x14ac:dyDescent="0.4">
      <c r="F141" s="4"/>
    </row>
    <row r="142" spans="3:6" x14ac:dyDescent="0.4">
      <c r="F142" s="4"/>
    </row>
    <row r="143" spans="3:6" x14ac:dyDescent="0.4">
      <c r="F143" s="4"/>
    </row>
    <row r="144" spans="3:6" x14ac:dyDescent="0.4">
      <c r="F144" s="4"/>
    </row>
    <row r="145" spans="6:6" x14ac:dyDescent="0.4">
      <c r="F145" s="4"/>
    </row>
    <row r="146" spans="6:6" x14ac:dyDescent="0.4">
      <c r="F146" s="4"/>
    </row>
    <row r="147" spans="6:6" x14ac:dyDescent="0.4">
      <c r="F147" s="4"/>
    </row>
    <row r="148" spans="6:6" x14ac:dyDescent="0.4">
      <c r="F148" s="4"/>
    </row>
    <row r="149" spans="6:6" x14ac:dyDescent="0.4">
      <c r="F149" s="4"/>
    </row>
    <row r="150" spans="6:6" x14ac:dyDescent="0.4">
      <c r="F150" s="4"/>
    </row>
    <row r="151" spans="6:6" x14ac:dyDescent="0.4">
      <c r="F151" s="4"/>
    </row>
    <row r="152" spans="6:6" x14ac:dyDescent="0.4">
      <c r="F152" s="4"/>
    </row>
    <row r="153" spans="6:6" x14ac:dyDescent="0.4">
      <c r="F153" s="4"/>
    </row>
    <row r="154" spans="6:6" x14ac:dyDescent="0.4">
      <c r="F154" s="4"/>
    </row>
    <row r="155" spans="6:6" x14ac:dyDescent="0.4">
      <c r="F155" s="4"/>
    </row>
    <row r="156" spans="6:6" x14ac:dyDescent="0.4">
      <c r="F156" s="4"/>
    </row>
    <row r="157" spans="6:6" x14ac:dyDescent="0.4">
      <c r="F157" s="4"/>
    </row>
    <row r="158" spans="6:6" x14ac:dyDescent="0.4">
      <c r="F158" s="4"/>
    </row>
    <row r="159" spans="6:6" x14ac:dyDescent="0.4">
      <c r="F159" s="4"/>
    </row>
    <row r="160" spans="6:6" x14ac:dyDescent="0.4">
      <c r="F160" s="4"/>
    </row>
    <row r="161" spans="6:6" x14ac:dyDescent="0.4">
      <c r="F161" s="4"/>
    </row>
    <row r="162" spans="6:6" x14ac:dyDescent="0.4">
      <c r="F162" s="4"/>
    </row>
    <row r="163" spans="6:6" x14ac:dyDescent="0.4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09375" defaultRowHeight="14.6" x14ac:dyDescent="0.4"/>
  <cols>
    <col min="1" max="1" width="6.84375" style="4" bestFit="1" customWidth="1"/>
    <col min="2" max="4" width="11.4609375" style="4"/>
    <col min="5" max="5" width="9.53515625" style="4" customWidth="1"/>
    <col min="6" max="7" width="11.4609375" style="4"/>
    <col min="8" max="8" width="10.69140625" style="4" customWidth="1"/>
    <col min="9" max="9" width="9.4609375" style="4" customWidth="1"/>
    <col min="10" max="11" width="10.53515625" style="4" bestFit="1" customWidth="1"/>
    <col min="12" max="12" width="14" style="4" bestFit="1" customWidth="1"/>
    <col min="13" max="13" width="14" style="4" customWidth="1"/>
    <col min="14" max="23" width="11.4609375" style="4"/>
    <col min="24" max="24" width="11.69140625" style="4" bestFit="1" customWidth="1"/>
    <col min="25" max="25" width="14.53515625" style="4" bestFit="1" customWidth="1"/>
    <col min="26" max="26" width="12.4609375" style="4" bestFit="1" customWidth="1"/>
    <col min="27" max="27" width="9.69140625" style="4" bestFit="1" customWidth="1"/>
    <col min="28" max="28" width="11" style="4" bestFit="1" customWidth="1"/>
    <col min="29" max="29" width="9.4609375" style="4" bestFit="1" customWidth="1"/>
    <col min="30" max="31" width="9.4609375" style="4" customWidth="1"/>
    <col min="32" max="32" width="11.4609375" style="4"/>
    <col min="33" max="34" width="14" style="4" bestFit="1" customWidth="1"/>
    <col min="35" max="35" width="10.53515625" style="4" bestFit="1" customWidth="1"/>
    <col min="36" max="36" width="9.4609375" style="4" bestFit="1" customWidth="1"/>
    <col min="37" max="38" width="10.53515625" style="4" bestFit="1" customWidth="1"/>
    <col min="39" max="41" width="10.53515625" style="4" customWidth="1"/>
    <col min="42" max="42" width="9" style="4" bestFit="1" customWidth="1"/>
    <col min="43" max="43" width="10.53515625" style="4" bestFit="1" customWidth="1"/>
    <col min="44" max="44" width="9.3046875" style="4" bestFit="1" customWidth="1"/>
    <col min="45" max="45" width="11.69140625" style="4" bestFit="1" customWidth="1"/>
    <col min="46" max="46" width="8.4609375" style="4" bestFit="1" customWidth="1"/>
    <col min="47" max="47" width="9.4609375" style="4" bestFit="1" customWidth="1"/>
    <col min="48" max="48" width="9.69140625" style="4" bestFit="1" customWidth="1"/>
    <col min="49" max="49" width="11" style="4" bestFit="1" customWidth="1"/>
    <col min="50" max="50" width="9.4609375" style="4" bestFit="1" customWidth="1"/>
    <col min="51" max="52" width="9.4609375" style="4" customWidth="1"/>
    <col min="53" max="53" width="10.53515625" style="4" bestFit="1" customWidth="1"/>
    <col min="54" max="54" width="14.3046875" style="4" customWidth="1"/>
    <col min="55" max="55" width="14" style="4" customWidth="1"/>
    <col min="56" max="56" width="10.53515625" style="4" bestFit="1" customWidth="1"/>
    <col min="57" max="57" width="9.4609375" style="4" bestFit="1" customWidth="1"/>
    <col min="58" max="59" width="10.53515625" style="4" bestFit="1" customWidth="1"/>
    <col min="60" max="62" width="10.53515625" style="4" customWidth="1"/>
    <col min="63" max="63" width="9" style="4" bestFit="1" customWidth="1"/>
    <col min="64" max="64" width="10.53515625" style="4" bestFit="1" customWidth="1"/>
    <col min="65" max="65" width="9.3046875" style="4" bestFit="1" customWidth="1"/>
    <col min="66" max="66" width="11.69140625" style="4" bestFit="1" customWidth="1"/>
    <col min="67" max="67" width="8.4609375" style="4" bestFit="1" customWidth="1"/>
    <col min="68" max="68" width="9.4609375" style="4" bestFit="1" customWidth="1"/>
    <col min="69" max="69" width="9.69140625" style="4" bestFit="1" customWidth="1"/>
    <col min="70" max="70" width="11" style="4" bestFit="1" customWidth="1"/>
    <col min="71" max="71" width="9.4609375" style="4" bestFit="1" customWidth="1"/>
    <col min="72" max="73" width="9.4609375" style="4" customWidth="1"/>
    <col min="74" max="74" width="10.53515625" style="4" bestFit="1" customWidth="1"/>
    <col min="75" max="75" width="14" style="4" bestFit="1" customWidth="1"/>
    <col min="76" max="76" width="13.84375" style="4" customWidth="1"/>
    <col min="77" max="77" width="10.53515625" style="4" bestFit="1" customWidth="1"/>
    <col min="78" max="78" width="9.4609375" style="4" bestFit="1" customWidth="1"/>
    <col min="79" max="80" width="10.53515625" style="4" bestFit="1" customWidth="1"/>
    <col min="81" max="83" width="10.53515625" style="4" customWidth="1"/>
    <col min="84" max="84" width="11.4609375" style="4"/>
    <col min="85" max="85" width="10.53515625" style="4" bestFit="1" customWidth="1"/>
    <col min="86" max="86" width="9.3046875" style="4" bestFit="1" customWidth="1"/>
    <col min="87" max="87" width="11.69140625" style="4" bestFit="1" customWidth="1"/>
    <col min="88" max="88" width="8.4609375" style="4" bestFit="1" customWidth="1"/>
    <col min="89" max="89" width="9.4609375" style="4" bestFit="1" customWidth="1"/>
    <col min="90" max="90" width="9.69140625" style="4" bestFit="1" customWidth="1"/>
    <col min="91" max="91" width="11" style="4" bestFit="1" customWidth="1"/>
    <col min="92" max="92" width="9.4609375" style="4" bestFit="1" customWidth="1"/>
    <col min="93" max="94" width="9.4609375" style="4" customWidth="1"/>
    <col min="95" max="95" width="11.4609375" style="4"/>
    <col min="96" max="97" width="14" style="4" customWidth="1"/>
    <col min="98" max="98" width="10.53515625" style="4" bestFit="1" customWidth="1"/>
    <col min="99" max="99" width="9.4609375" style="4" bestFit="1" customWidth="1"/>
    <col min="100" max="101" width="10.53515625" style="4" bestFit="1" customWidth="1"/>
    <col min="102" max="104" width="10.53515625" style="4" customWidth="1"/>
    <col min="105" max="105" width="9" style="4" bestFit="1" customWidth="1"/>
    <col min="106" max="106" width="10.53515625" style="4" bestFit="1" customWidth="1"/>
    <col min="107" max="107" width="9.3046875" style="4" bestFit="1" customWidth="1"/>
    <col min="108" max="108" width="11.69140625" style="4" bestFit="1" customWidth="1"/>
    <col min="109" max="109" width="8.4609375" style="4" bestFit="1" customWidth="1"/>
    <col min="110" max="110" width="9.4609375" style="4" bestFit="1" customWidth="1"/>
    <col min="111" max="111" width="9.69140625" style="4" bestFit="1" customWidth="1"/>
    <col min="112" max="112" width="11" style="4" bestFit="1" customWidth="1"/>
    <col min="113" max="113" width="9.4609375" style="4" bestFit="1" customWidth="1"/>
    <col min="114" max="115" width="9.4609375" style="4" customWidth="1"/>
    <col min="116" max="116" width="10.53515625" style="4" bestFit="1" customWidth="1"/>
    <col min="117" max="117" width="14.3046875" style="4" customWidth="1"/>
    <col min="118" max="118" width="14" style="4" bestFit="1" customWidth="1"/>
    <col min="119" max="119" width="10.53515625" style="4" bestFit="1" customWidth="1"/>
    <col min="120" max="120" width="9.4609375" style="4" bestFit="1" customWidth="1"/>
    <col min="121" max="122" width="10.53515625" style="4" bestFit="1" customWidth="1"/>
    <col min="123" max="125" width="10.53515625" style="4" customWidth="1"/>
    <col min="126" max="126" width="9" style="4" bestFit="1" customWidth="1"/>
    <col min="127" max="127" width="10.53515625" style="4" bestFit="1" customWidth="1"/>
    <col min="128" max="128" width="9.3046875" style="4" bestFit="1" customWidth="1"/>
    <col min="129" max="129" width="11.69140625" style="4" bestFit="1" customWidth="1"/>
    <col min="130" max="130" width="8.4609375" style="4" bestFit="1" customWidth="1"/>
    <col min="131" max="131" width="9.4609375" style="4" bestFit="1" customWidth="1"/>
    <col min="132" max="132" width="9.69140625" style="4" bestFit="1" customWidth="1"/>
    <col min="133" max="133" width="11" style="4" bestFit="1" customWidth="1"/>
    <col min="134" max="134" width="9.4609375" style="4" bestFit="1" customWidth="1"/>
    <col min="135" max="136" width="9.4609375" style="4" customWidth="1"/>
    <col min="137" max="137" width="10.53515625" style="4" bestFit="1" customWidth="1"/>
    <col min="138" max="139" width="14" style="4" customWidth="1"/>
    <col min="140" max="140" width="10.53515625" style="4" bestFit="1" customWidth="1"/>
    <col min="141" max="141" width="9.4609375" style="4" bestFit="1" customWidth="1"/>
    <col min="142" max="143" width="10.53515625" style="4" bestFit="1" customWidth="1"/>
    <col min="144" max="146" width="10.53515625" style="4" customWidth="1"/>
    <col min="147" max="147" width="9" style="4" bestFit="1" customWidth="1"/>
    <col min="148" max="148" width="10.53515625" style="4" bestFit="1" customWidth="1"/>
    <col min="149" max="149" width="9.3046875" style="4" bestFit="1" customWidth="1"/>
    <col min="150" max="150" width="11.69140625" style="4" bestFit="1" customWidth="1"/>
    <col min="151" max="151" width="8.4609375" style="4" bestFit="1" customWidth="1"/>
    <col min="152" max="152" width="9.4609375" style="4" bestFit="1" customWidth="1"/>
    <col min="153" max="153" width="9.69140625" style="4" bestFit="1" customWidth="1"/>
    <col min="154" max="154" width="11" style="4" bestFit="1" customWidth="1"/>
    <col min="155" max="155" width="9.4609375" style="4" bestFit="1" customWidth="1"/>
    <col min="156" max="157" width="9.4609375" style="4" customWidth="1"/>
    <col min="158" max="158" width="11.4609375" style="4"/>
    <col min="159" max="160" width="14" style="4" bestFit="1" customWidth="1"/>
    <col min="161" max="161" width="10.53515625" style="4" bestFit="1" customWidth="1"/>
    <col min="162" max="162" width="9.4609375" style="4" bestFit="1" customWidth="1"/>
    <col min="163" max="164" width="10.53515625" style="4" bestFit="1" customWidth="1"/>
    <col min="165" max="167" width="10.53515625" style="4" customWidth="1"/>
    <col min="168" max="168" width="9" style="4" bestFit="1" customWidth="1"/>
    <col min="169" max="169" width="10.53515625" style="4" bestFit="1" customWidth="1"/>
    <col min="170" max="170" width="9.3046875" style="4" bestFit="1" customWidth="1"/>
    <col min="171" max="171" width="11.69140625" style="4" bestFit="1" customWidth="1"/>
    <col min="172" max="172" width="8.07421875" style="4" bestFit="1" customWidth="1"/>
    <col min="173" max="173" width="9.4609375" style="4" bestFit="1" customWidth="1"/>
    <col min="174" max="174" width="9.69140625" style="4" bestFit="1" customWidth="1"/>
    <col min="175" max="175" width="11" style="4" bestFit="1" customWidth="1"/>
    <col min="176" max="176" width="9.4609375" style="4" bestFit="1" customWidth="1"/>
    <col min="177" max="178" width="9.4609375" style="4" customWidth="1"/>
    <col min="179" max="179" width="10.53515625" style="4" bestFit="1" customWidth="1"/>
    <col min="180" max="181" width="14" style="4" bestFit="1" customWidth="1"/>
    <col min="182" max="182" width="10.53515625" style="4" bestFit="1" customWidth="1"/>
    <col min="183" max="183" width="9.4609375" style="4" bestFit="1" customWidth="1"/>
    <col min="184" max="185" width="10.53515625" style="4" bestFit="1" customWidth="1"/>
    <col min="186" max="188" width="10.53515625" style="4" customWidth="1"/>
    <col min="189" max="189" width="9" style="4" bestFit="1" customWidth="1"/>
    <col min="190" max="190" width="10.53515625" style="4" bestFit="1" customWidth="1"/>
    <col min="191" max="191" width="9.3046875" style="4" bestFit="1" customWidth="1"/>
    <col min="192" max="192" width="11.4609375" style="4"/>
    <col min="193" max="193" width="8.4609375" style="4" bestFit="1" customWidth="1"/>
    <col min="194" max="194" width="9.4609375" style="4" bestFit="1" customWidth="1"/>
    <col min="195" max="195" width="9.69140625" style="4" bestFit="1" customWidth="1"/>
    <col min="196" max="196" width="11" style="4" bestFit="1" customWidth="1"/>
    <col min="197" max="197" width="9.4609375" style="4" bestFit="1" customWidth="1"/>
    <col min="198" max="199" width="9.4609375" style="4" customWidth="1"/>
    <col min="200" max="200" width="10.53515625" style="4" bestFit="1" customWidth="1"/>
    <col min="201" max="201" width="14" style="4" customWidth="1"/>
    <col min="202" max="202" width="14.3046875" style="4" customWidth="1"/>
    <col min="203" max="203" width="10.53515625" style="4" bestFit="1" customWidth="1"/>
    <col min="204" max="204" width="9.4609375" style="4" bestFit="1" customWidth="1"/>
    <col min="205" max="206" width="10.53515625" style="4" bestFit="1" customWidth="1"/>
    <col min="207" max="209" width="10.53515625" style="4" customWidth="1"/>
    <col min="210" max="210" width="9" style="4" bestFit="1" customWidth="1"/>
    <col min="211" max="211" width="10.53515625" style="4" bestFit="1" customWidth="1"/>
    <col min="212" max="212" width="9.3046875" style="4" bestFit="1" customWidth="1"/>
    <col min="213" max="213" width="11.69140625" style="4" bestFit="1" customWidth="1"/>
    <col min="214" max="214" width="8.4609375" style="4" bestFit="1" customWidth="1"/>
    <col min="215" max="215" width="9.4609375" style="4" bestFit="1" customWidth="1"/>
    <col min="216" max="216" width="9.69140625" style="4" bestFit="1" customWidth="1"/>
    <col min="217" max="217" width="11" style="4" bestFit="1" customWidth="1"/>
    <col min="218" max="218" width="9.4609375" style="4" bestFit="1" customWidth="1"/>
    <col min="219" max="16384" width="11.4609375" style="4"/>
  </cols>
  <sheetData>
    <row r="1" spans="1:218" ht="26.6" thickBot="1" x14ac:dyDescent="0.7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vert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maritime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Pin laricio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75" thickBot="1" x14ac:dyDescent="0.4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593.28343396240075</v>
      </c>
      <c r="T3" s="59">
        <f>IF('Données projet'!E9&gt;30,$R$33-$H$33,LOOKUP('Données projet'!$E$9,$A$3:$A$203,R3:R203)-LOOKUP('Données projet'!$E$9,$A$3:$A$203,$H$3:$H$203))</f>
        <v>289.66477662068695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302.00825291248458</v>
      </c>
      <c r="AO3" s="59">
        <f>IF('Données projet'!E10&gt;30,$AM$33-$H$33,LOOKUP('Données projet'!$E$10,$A$3:$A$203,AM3:AM203)-LOOKUP('Données projet'!$E$10,$A$3:$A$203,$H$3:$H$203))</f>
        <v>307.35115839449355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349.71285006949597</v>
      </c>
      <c r="BJ3" s="59">
        <f>IF('Données projet'!E11&gt;30,$BH$33-$H$33,LOOKUP('Données projet'!$E$11,$A$3:$A$203,BH3:BH203)-LOOKUP('Données projet'!$E$11,$A$3:$A$203,$H$3:$H$203))</f>
        <v>258.51550516456842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3.3603333333333336</v>
      </c>
      <c r="N4" s="13">
        <f>IF('Données projet'!$A$36&gt;35,N3+M4-V3,IF(A4&lt;'Données projet'!$A$36,$K$205^A4,IF(A4='Données projet'!$A$36,'Données projet'!$B$36,N3+M4-V3)))</f>
        <v>3.3603333333333336</v>
      </c>
      <c r="O4" s="13">
        <f>N4*VLOOKUP('Données projet'!$B$9,Paramètres!$A$1:$I$89,3,0)*VLOOKUP('Données projet'!$B$9,Paramètres!$A$1:$I$89,5,0)</f>
        <v>3.8267476000000005</v>
      </c>
      <c r="P4" s="13">
        <f>EXP(-1.0587+0.8836*LN(O4)+0.284)</f>
        <v>1.5084832510605695</v>
      </c>
      <c r="Q4" s="20">
        <f t="shared" ref="Q4:Q34" si="2">(O4+P4)*0.475*44/12</f>
        <v>9.2921937322638239</v>
      </c>
      <c r="R4" s="59">
        <f t="shared" si="0"/>
        <v>267.18108262115265</v>
      </c>
      <c r="S4" s="59">
        <f ca="1">AVERAGE(OFFSET($R$3,0,0,'Données projet'!$E$9+1,1))-AVERAGE(OFFSET($H$3,0,0,'Données projet'!$E$9+1,1))</f>
        <v>593.28343396240075</v>
      </c>
      <c r="T4" s="59">
        <f>$T$3</f>
        <v>289.66477662068695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7.2723529411764707</v>
      </c>
      <c r="AI4" s="13">
        <f>IF('Données projet'!$A$62&gt;35,AI3+AH4-AQ3,IF(A4&lt;'Données projet'!$A$62,$AF$205^A4,IF(A4='Données projet'!$A$62,'Données projet'!$B$62,AI3+AH4-AQ3)))</f>
        <v>1.3275965341357465</v>
      </c>
      <c r="AJ4" s="13">
        <f>AI4*VLOOKUP('Données projet'!$B$10,Paramètres!$A$1:$I$89,3,0)*VLOOKUP('Données projet'!$B$10,Paramètres!$A$1:$I$89,5,0)</f>
        <v>0.79390272741317647</v>
      </c>
      <c r="AK4" s="13">
        <f>EXP(-1.0587+0.8836*LN(AJ4)+0.284)</f>
        <v>0.37582567469791356</v>
      </c>
      <c r="AL4" s="20">
        <f t="shared" ref="AL4:AL67" si="4">(AJ4+AK4)*0.475*44/12</f>
        <v>2.0372769670101483</v>
      </c>
      <c r="AM4" s="59">
        <f t="shared" ref="AM4:AM67" si="5">AL4+(AD4+AE4)*44/12</f>
        <v>259.926165855899</v>
      </c>
      <c r="AN4" s="59">
        <f ca="1">AVERAGE(OFFSET($AM$3,0,0,'Données projet'!$E$10+1,1))-AVERAGE(OFFSET($H$3,0,0,'Données projet'!$E$10+1,1))</f>
        <v>302.00825291248458</v>
      </c>
      <c r="AO4" s="59">
        <f>$AO$3</f>
        <v>307.35115839449355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5.8890909090909096</v>
      </c>
      <c r="BD4" s="12">
        <f>IF('Données projet'!$A$88&gt;35,BD3+BC4-BL3,IF(A4&lt;'Données projet'!$A$88,$BA$205^A4,IF(A4='Données projet'!$A$88,'Données projet'!$B$88,BD3+BC4-BL3)))</f>
        <v>1.2474449991725556</v>
      </c>
      <c r="BE4" s="13">
        <f>BD4*VLOOKUP('Données projet'!$B$11,Paramètres!$A$1:$I$89,3,0)*VLOOKUP('Données projet'!$B$11,Paramètres!$A$1:$I$89,5,0)</f>
        <v>0.74597210950518822</v>
      </c>
      <c r="BF4" s="13">
        <f>EXP(-1.0587+0.8836*LN(BE4)+0.284)</f>
        <v>0.35570481632934337</v>
      </c>
      <c r="BG4" s="20">
        <f t="shared" ref="BG4:BG67" si="7">(BE4+BF4)*0.475*44/12</f>
        <v>1.9187539791618089</v>
      </c>
      <c r="BH4" s="59">
        <f t="shared" ref="BH4:BH67" si="8">BG4+(AY4+AZ4)*44/12</f>
        <v>259.80764286805066</v>
      </c>
      <c r="BI4" s="59">
        <f ca="1">AVERAGE(OFFSET($BH$3,0,0,'Données projet'!$E$11+1,1))-AVERAGE(OFFSET($H$3,0,0,'Données projet'!$E$11+1,1))</f>
        <v>349.71285006949597</v>
      </c>
      <c r="BJ4" s="59">
        <f>$BJ$3</f>
        <v>258.51550516456842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3.3603333333333336</v>
      </c>
      <c r="N5" s="13">
        <f>IF('Données projet'!$A$36&gt;35,N4+M5-V4,IF(A5&lt;'Données projet'!$A$36,$K$205^A5,IF(A5='Données projet'!$A$36,'Données projet'!$B$36,N4+M5-V4)))</f>
        <v>6.7206666666666672</v>
      </c>
      <c r="O5" s="13">
        <f>N5*VLOOKUP('Données projet'!$B$9,Paramètres!$A$1:$I$89,3,0)*VLOOKUP('Données projet'!$B$9,Paramètres!$A$1:$I$89,5,0)</f>
        <v>7.6534952000000009</v>
      </c>
      <c r="P5" s="13">
        <f t="shared" ref="P5:P68" si="33">EXP(-1.0587+0.8836*LN(O5)+0.284)</f>
        <v>2.7831114410986091</v>
      </c>
      <c r="Q5" s="20">
        <f t="shared" si="2"/>
        <v>18.177089899913412</v>
      </c>
      <c r="R5" s="59">
        <f t="shared" si="0"/>
        <v>277.28820101102457</v>
      </c>
      <c r="S5" s="59">
        <f ca="1">AVERAGE(OFFSET($R$3,0,0,'Données projet'!$E$9+1,1))-AVERAGE(OFFSET($H$3,0,0,'Données projet'!$E$9+1,1))</f>
        <v>593.28343396240075</v>
      </c>
      <c r="T5" s="59">
        <f t="shared" ref="T5:T68" si="34">$T$3</f>
        <v>289.66477662068695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7.2723529411764707</v>
      </c>
      <c r="AI5" s="13">
        <f>IF('Données projet'!$A$62&gt;35,AI4+AH5-AQ4,IF(A5&lt;'Données projet'!$A$62,$AF$205^A5,IF(A5='Données projet'!$A$62,'Données projet'!$B$62,AI4+AH5-AQ4)))</f>
        <v>1.7625125574492464</v>
      </c>
      <c r="AJ5" s="13">
        <f>AI5*VLOOKUP('Données projet'!$B$10,Paramètres!$A$1:$I$89,3,0)*VLOOKUP('Données projet'!$B$10,Paramètres!$A$1:$I$89,5,0)</f>
        <v>1.0539825093546495</v>
      </c>
      <c r="AK5" s="13">
        <f t="shared" ref="AK5:AK68" si="35">EXP(-1.0587+0.8836*LN(AJ5)+0.284)</f>
        <v>0.48275597819164817</v>
      </c>
      <c r="AL5" s="20">
        <f t="shared" si="4"/>
        <v>2.676486199143135</v>
      </c>
      <c r="AM5" s="59">
        <f t="shared" si="5"/>
        <v>261.78759731025428</v>
      </c>
      <c r="AN5" s="59">
        <f ca="1">AVERAGE(OFFSET($AM$3,0,0,'Données projet'!$E$10+1,1))-AVERAGE(OFFSET($H$3,0,0,'Données projet'!$E$10+1,1))</f>
        <v>302.00825291248458</v>
      </c>
      <c r="AO5" s="59">
        <f t="shared" ref="AO5:AO68" si="36">$AO$3</f>
        <v>307.35115839449355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5.8890909090909096</v>
      </c>
      <c r="BD5" s="12">
        <f>IF('Données projet'!$A$88&gt;35,BD4+BC5-BL4,IF(A5&lt;'Données projet'!$A$88,$BA$205^A5,IF(A5='Données projet'!$A$88,'Données projet'!$B$88,BD4+BC5-BL4)))</f>
        <v>1.5561190259606172</v>
      </c>
      <c r="BE5" s="13">
        <f>BD5*VLOOKUP('Données projet'!$B$11,Paramètres!$A$1:$I$89,3,0)*VLOOKUP('Données projet'!$B$11,Paramètres!$A$1:$I$89,5,0)</f>
        <v>0.93055917752444917</v>
      </c>
      <c r="BF5" s="13">
        <f t="shared" ref="BF5:BF68" si="37">EXP(-1.0587+0.8836*LN(BE5)+0.284)</f>
        <v>0.43244836584356472</v>
      </c>
      <c r="BG5" s="20">
        <f t="shared" si="7"/>
        <v>2.3739048046992908</v>
      </c>
      <c r="BH5" s="59">
        <f t="shared" si="8"/>
        <v>261.48501591581044</v>
      </c>
      <c r="BI5" s="59">
        <f ca="1">AVERAGE(OFFSET($BH$3,0,0,'Données projet'!$E$11+1,1))-AVERAGE(OFFSET($H$3,0,0,'Données projet'!$E$11+1,1))</f>
        <v>349.71285006949597</v>
      </c>
      <c r="BJ5" s="59">
        <f t="shared" ref="BJ5:BJ68" si="38">$BJ$3</f>
        <v>258.51550516456842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3.3603333333333336</v>
      </c>
      <c r="N6" s="13">
        <f>IF('Données projet'!$A$36&gt;35,N5+M6-V5,IF(A6&lt;'Données projet'!$A$36,$K$205^A6,IF(A6='Données projet'!$A$36,'Données projet'!$B$36,N5+M6-V5)))</f>
        <v>10.081000000000001</v>
      </c>
      <c r="O6" s="13">
        <f>N6*VLOOKUP('Données projet'!$B$9,Paramètres!$A$1:$I$89,3,0)*VLOOKUP('Données projet'!$B$9,Paramètres!$A$1:$I$89,5,0)</f>
        <v>11.480242800000001</v>
      </c>
      <c r="P6" s="13">
        <f t="shared" si="33"/>
        <v>3.9822161852161009</v>
      </c>
      <c r="Q6" s="20">
        <f t="shared" si="2"/>
        <v>26.930449399251376</v>
      </c>
      <c r="R6" s="59">
        <f t="shared" si="0"/>
        <v>287.26378273258467</v>
      </c>
      <c r="S6" s="59">
        <f ca="1">AVERAGE(OFFSET($R$3,0,0,'Données projet'!$E$9+1,1))-AVERAGE(OFFSET($H$3,0,0,'Données projet'!$E$9+1,1))</f>
        <v>593.28343396240075</v>
      </c>
      <c r="T6" s="59">
        <f t="shared" si="34"/>
        <v>289.66477662068695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7.2723529411764707</v>
      </c>
      <c r="AI6" s="13">
        <f>IF('Données projet'!$A$62&gt;35,AI5+AH6-AQ5,IF(A6&lt;'Données projet'!$A$62,$AF$205^A6,IF(A6='Données projet'!$A$62,'Données projet'!$B$62,AI5+AH6-AQ5)))</f>
        <v>2.3399055626403502</v>
      </c>
      <c r="AJ6" s="13">
        <f>AI6*VLOOKUP('Données projet'!$B$10,Paramètres!$A$1:$I$89,3,0)*VLOOKUP('Données projet'!$B$10,Paramètres!$A$1:$I$89,5,0)</f>
        <v>1.3992635264589295</v>
      </c>
      <c r="AK6" s="13">
        <f t="shared" si="35"/>
        <v>0.62011020047287035</v>
      </c>
      <c r="AL6" s="20">
        <f t="shared" si="4"/>
        <v>3.5170759077395513</v>
      </c>
      <c r="AM6" s="59">
        <f t="shared" si="5"/>
        <v>263.85040924107284</v>
      </c>
      <c r="AN6" s="59">
        <f ca="1">AVERAGE(OFFSET($AM$3,0,0,'Données projet'!$E$10+1,1))-AVERAGE(OFFSET($H$3,0,0,'Données projet'!$E$10+1,1))</f>
        <v>302.00825291248458</v>
      </c>
      <c r="AO6" s="59">
        <f t="shared" si="36"/>
        <v>307.35115839449355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5.8890909090909096</v>
      </c>
      <c r="BD6" s="12">
        <f>IF('Données projet'!$A$88&gt;35,BD5+BC6-BL5,IF(A6&lt;'Données projet'!$A$88,$BA$205^A6,IF(A6='Données projet'!$A$88,'Données projet'!$B$88,BD5+BC6-BL5)))</f>
        <v>1.9411728970518403</v>
      </c>
      <c r="BE6" s="13">
        <f>BD6*VLOOKUP('Données projet'!$B$11,Paramètres!$A$1:$I$89,3,0)*VLOOKUP('Données projet'!$B$11,Paramètres!$A$1:$I$89,5,0)</f>
        <v>1.1608213924370006</v>
      </c>
      <c r="BF6" s="13">
        <f t="shared" si="37"/>
        <v>0.52574938695127893</v>
      </c>
      <c r="BG6" s="20">
        <f t="shared" si="7"/>
        <v>2.9374441074345867</v>
      </c>
      <c r="BH6" s="59">
        <f t="shared" si="8"/>
        <v>263.27077744076792</v>
      </c>
      <c r="BI6" s="59">
        <f ca="1">AVERAGE(OFFSET($BH$3,0,0,'Données projet'!$E$11+1,1))-AVERAGE(OFFSET($H$3,0,0,'Données projet'!$E$11+1,1))</f>
        <v>349.71285006949597</v>
      </c>
      <c r="BJ6" s="59">
        <f t="shared" si="38"/>
        <v>258.51550516456842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3.3603333333333336</v>
      </c>
      <c r="N7" s="13">
        <f>IF('Données projet'!$A$36&gt;35,N6+M7-V6,IF(A7&lt;'Données projet'!$A$36,$K$205^A7,IF(A7='Données projet'!$A$36,'Données projet'!$B$36,N6+M7-V6)))</f>
        <v>13.441333333333334</v>
      </c>
      <c r="O7" s="13">
        <f>N7*VLOOKUP('Données projet'!$B$9,Paramètres!$A$1:$I$89,3,0)*VLOOKUP('Données projet'!$B$9,Paramètres!$A$1:$I$89,5,0)</f>
        <v>15.306990400000002</v>
      </c>
      <c r="P7" s="13">
        <f t="shared" si="33"/>
        <v>5.1347665200314268</v>
      </c>
      <c r="Q7" s="20">
        <f t="shared" si="2"/>
        <v>35.602726635721403</v>
      </c>
      <c r="R7" s="59">
        <f t="shared" si="0"/>
        <v>297.15828219127695</v>
      </c>
      <c r="S7" s="59">
        <f ca="1">AVERAGE(OFFSET($R$3,0,0,'Données projet'!$E$9+1,1))-AVERAGE(OFFSET($H$3,0,0,'Données projet'!$E$9+1,1))</f>
        <v>593.28343396240075</v>
      </c>
      <c r="T7" s="59">
        <f t="shared" si="34"/>
        <v>289.66477662068695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7.2723529411764707</v>
      </c>
      <c r="AI7" s="13">
        <f>IF('Données projet'!$A$62&gt;35,AI6+AH7-AQ6,IF(A7&lt;'Données projet'!$A$62,$AF$205^A7,IF(A7='Données projet'!$A$62,'Données projet'!$B$62,AI6+AH7-AQ6)))</f>
        <v>3.1064505151662831</v>
      </c>
      <c r="AJ7" s="13">
        <f>AI7*VLOOKUP('Données projet'!$B$10,Paramètres!$A$1:$I$89,3,0)*VLOOKUP('Données projet'!$B$10,Paramètres!$A$1:$I$89,5,0)</f>
        <v>1.8576574080694375</v>
      </c>
      <c r="AK7" s="13">
        <f t="shared" si="35"/>
        <v>0.7965445858815392</v>
      </c>
      <c r="AL7" s="20">
        <f t="shared" si="4"/>
        <v>4.6227351394646172</v>
      </c>
      <c r="AM7" s="59">
        <f t="shared" si="5"/>
        <v>266.17829069502017</v>
      </c>
      <c r="AN7" s="59">
        <f ca="1">AVERAGE(OFFSET($AM$3,0,0,'Données projet'!$E$10+1,1))-AVERAGE(OFFSET($H$3,0,0,'Données projet'!$E$10+1,1))</f>
        <v>302.00825291248458</v>
      </c>
      <c r="AO7" s="59">
        <f t="shared" si="36"/>
        <v>307.35115839449355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5.8890909090909096</v>
      </c>
      <c r="BD7" s="12">
        <f>IF('Données projet'!$A$88&gt;35,BD6+BC7-BL6,IF(A7&lt;'Données projet'!$A$88,$BA$205^A7,IF(A7='Données projet'!$A$88,'Données projet'!$B$88,BD6+BC7-BL6)))</f>
        <v>2.4215064229566203</v>
      </c>
      <c r="BE7" s="13">
        <f>BD7*VLOOKUP('Données projet'!$B$11,Paramètres!$A$1:$I$89,3,0)*VLOOKUP('Données projet'!$B$11,Paramètres!$A$1:$I$89,5,0)</f>
        <v>1.4480608409280591</v>
      </c>
      <c r="BF7" s="13">
        <f t="shared" si="37"/>
        <v>0.63918016510585218</v>
      </c>
      <c r="BG7" s="20">
        <f t="shared" si="7"/>
        <v>3.6352780855090621</v>
      </c>
      <c r="BH7" s="59">
        <f t="shared" si="8"/>
        <v>265.19083364106461</v>
      </c>
      <c r="BI7" s="59">
        <f ca="1">AVERAGE(OFFSET($BH$3,0,0,'Données projet'!$E$11+1,1))-AVERAGE(OFFSET($H$3,0,0,'Données projet'!$E$11+1,1))</f>
        <v>349.71285006949597</v>
      </c>
      <c r="BJ7" s="59">
        <f t="shared" si="38"/>
        <v>258.51550516456842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3.3603333333333336</v>
      </c>
      <c r="N8" s="13">
        <f>IF('Données projet'!$A$36&gt;35,N7+M8-V7,IF(A8&lt;'Données projet'!$A$36,$K$205^A8,IF(A8='Données projet'!$A$36,'Données projet'!$B$36,N7+M8-V7)))</f>
        <v>16.801666666666669</v>
      </c>
      <c r="O8" s="13">
        <f>N8*VLOOKUP('Données projet'!$B$9,Paramètres!$A$1:$I$89,3,0)*VLOOKUP('Données projet'!$B$9,Paramètres!$A$1:$I$89,5,0)</f>
        <v>19.133738000000005</v>
      </c>
      <c r="P8" s="13">
        <f t="shared" si="33"/>
        <v>6.2538921626078503</v>
      </c>
      <c r="Q8" s="20">
        <f t="shared" si="2"/>
        <v>44.216789199875343</v>
      </c>
      <c r="R8" s="59">
        <f t="shared" si="0"/>
        <v>306.99456697765311</v>
      </c>
      <c r="S8" s="59">
        <f ca="1">AVERAGE(OFFSET($R$3,0,0,'Données projet'!$E$9+1,1))-AVERAGE(OFFSET($H$3,0,0,'Données projet'!$E$9+1,1))</f>
        <v>593.28343396240075</v>
      </c>
      <c r="T8" s="59">
        <f t="shared" si="34"/>
        <v>289.66477662068695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7.2723529411764707</v>
      </c>
      <c r="AI8" s="13">
        <f>IF('Données projet'!$A$62&gt;35,AI7+AH8-AQ7,IF(A8&lt;'Données projet'!$A$62,$AF$205^A8,IF(A8='Données projet'!$A$62,'Données projet'!$B$62,AI7+AH8-AQ7)))</f>
        <v>4.1241129373989613</v>
      </c>
      <c r="AJ8" s="13">
        <f>AI8*VLOOKUP('Données projet'!$B$10,Paramètres!$A$1:$I$89,3,0)*VLOOKUP('Données projet'!$B$10,Paramètres!$A$1:$I$89,5,0)</f>
        <v>2.4662195365645792</v>
      </c>
      <c r="AK8" s="13">
        <f t="shared" si="35"/>
        <v>1.0231782622078491</v>
      </c>
      <c r="AL8" s="20">
        <f t="shared" si="4"/>
        <v>6.0773678328619782</v>
      </c>
      <c r="AM8" s="59">
        <f t="shared" si="5"/>
        <v>268.85514561063974</v>
      </c>
      <c r="AN8" s="59">
        <f ca="1">AVERAGE(OFFSET($AM$3,0,0,'Données projet'!$E$10+1,1))-AVERAGE(OFFSET($H$3,0,0,'Données projet'!$E$10+1,1))</f>
        <v>302.00825291248458</v>
      </c>
      <c r="AO8" s="59">
        <f t="shared" si="36"/>
        <v>307.35115839449355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5.8890909090909096</v>
      </c>
      <c r="BD8" s="12">
        <f>IF('Données projet'!$A$88&gt;35,BD7+BC8-BL7,IF(A8&lt;'Données projet'!$A$88,$BA$205^A8,IF(A8='Données projet'!$A$88,'Données projet'!$B$88,BD7+BC8-BL7)))</f>
        <v>3.0206960777814591</v>
      </c>
      <c r="BE8" s="13">
        <f>BD8*VLOOKUP('Données projet'!$B$11,Paramètres!$A$1:$I$89,3,0)*VLOOKUP('Données projet'!$B$11,Paramètres!$A$1:$I$89,5,0)</f>
        <v>1.8063762545133126</v>
      </c>
      <c r="BF8" s="13">
        <f t="shared" si="37"/>
        <v>0.77708370871120902</v>
      </c>
      <c r="BG8" s="20">
        <f t="shared" si="7"/>
        <v>4.4995261026160422</v>
      </c>
      <c r="BH8" s="59">
        <f t="shared" si="8"/>
        <v>267.27730388039379</v>
      </c>
      <c r="BI8" s="59">
        <f ca="1">AVERAGE(OFFSET($BH$3,0,0,'Données projet'!$E$11+1,1))-AVERAGE(OFFSET($H$3,0,0,'Données projet'!$E$11+1,1))</f>
        <v>349.71285006949597</v>
      </c>
      <c r="BJ8" s="59">
        <f t="shared" si="38"/>
        <v>258.51550516456842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3.3603333333333336</v>
      </c>
      <c r="N9" s="13">
        <f>IF('Données projet'!$A$36&gt;35,N8+M9-V8,IF(A9&lt;'Données projet'!$A$36,$K$205^A9,IF(A9='Données projet'!$A$36,'Données projet'!$B$36,N8+M9-V8)))</f>
        <v>20.162000000000003</v>
      </c>
      <c r="O9" s="13">
        <f>N9*VLOOKUP('Données projet'!$B$9,Paramètres!$A$1:$I$89,3,0)*VLOOKUP('Données projet'!$B$9,Paramètres!$A$1:$I$89,5,0)</f>
        <v>22.960485600000002</v>
      </c>
      <c r="P9" s="13">
        <f t="shared" si="33"/>
        <v>7.3470828517392546</v>
      </c>
      <c r="Q9" s="20">
        <f t="shared" si="2"/>
        <v>52.785681720112542</v>
      </c>
      <c r="R9" s="59">
        <f t="shared" si="0"/>
        <v>316.78568172011256</v>
      </c>
      <c r="S9" s="59">
        <f ca="1">AVERAGE(OFFSET($R$3,0,0,'Données projet'!$E$9+1,1))-AVERAGE(OFFSET($H$3,0,0,'Données projet'!$E$9+1,1))</f>
        <v>593.28343396240075</v>
      </c>
      <c r="T9" s="59">
        <f t="shared" si="34"/>
        <v>289.66477662068695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7.2723529411764707</v>
      </c>
      <c r="AI9" s="13">
        <f>IF('Données projet'!$A$62&gt;35,AI8+AH9-AQ8,IF(A9&lt;'Données projet'!$A$62,$AF$205^A9,IF(A9='Données projet'!$A$62,'Données projet'!$B$62,AI8+AH9-AQ8)))</f>
        <v>5.4751580420752548</v>
      </c>
      <c r="AJ9" s="13">
        <f>AI9*VLOOKUP('Données projet'!$B$10,Paramètres!$A$1:$I$89,3,0)*VLOOKUP('Données projet'!$B$10,Paramètres!$A$1:$I$89,5,0)</f>
        <v>3.2741445091610024</v>
      </c>
      <c r="AK9" s="13">
        <f t="shared" si="35"/>
        <v>1.3142939827983047</v>
      </c>
      <c r="AL9" s="20">
        <f t="shared" si="4"/>
        <v>7.9915303734957925</v>
      </c>
      <c r="AM9" s="59">
        <f t="shared" si="5"/>
        <v>271.99153037349578</v>
      </c>
      <c r="AN9" s="59">
        <f ca="1">AVERAGE(OFFSET($AM$3,0,0,'Données projet'!$E$10+1,1))-AVERAGE(OFFSET($H$3,0,0,'Données projet'!$E$10+1,1))</f>
        <v>302.00825291248458</v>
      </c>
      <c r="AO9" s="59">
        <f t="shared" si="36"/>
        <v>307.35115839449355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5.8890909090909096</v>
      </c>
      <c r="BD9" s="12">
        <f>IF('Données projet'!$A$88&gt;35,BD8+BC9-BL8,IF(A9&lt;'Données projet'!$A$88,$BA$205^A9,IF(A9='Données projet'!$A$88,'Données projet'!$B$88,BD8+BC9-BL8)))</f>
        <v>3.7681522162486343</v>
      </c>
      <c r="BE9" s="13">
        <f>BD9*VLOOKUP('Données projet'!$B$11,Paramètres!$A$1:$I$89,3,0)*VLOOKUP('Données projet'!$B$11,Paramètres!$A$1:$I$89,5,0)</f>
        <v>2.2533550253166834</v>
      </c>
      <c r="BF9" s="13">
        <f t="shared" si="37"/>
        <v>0.94474003310844989</v>
      </c>
      <c r="BG9" s="20">
        <f t="shared" si="7"/>
        <v>5.5700155600904404</v>
      </c>
      <c r="BH9" s="59">
        <f t="shared" si="8"/>
        <v>269.57001556009044</v>
      </c>
      <c r="BI9" s="59">
        <f ca="1">AVERAGE(OFFSET($BH$3,0,0,'Données projet'!$E$11+1,1))-AVERAGE(OFFSET($H$3,0,0,'Données projet'!$E$11+1,1))</f>
        <v>349.71285006949597</v>
      </c>
      <c r="BJ9" s="59">
        <f t="shared" si="38"/>
        <v>258.51550516456842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3.3603333333333336</v>
      </c>
      <c r="N10" s="13">
        <f>IF('Données projet'!$A$36&gt;35,N9+M10-V9,IF(A10&lt;'Données projet'!$A$36,$K$205^A10,IF(A10='Données projet'!$A$36,'Données projet'!$B$36,N9+M10-V9)))</f>
        <v>23.522333333333336</v>
      </c>
      <c r="O10" s="13">
        <f>N10*VLOOKUP('Données projet'!$B$9,Paramètres!$A$1:$I$89,3,0)*VLOOKUP('Données projet'!$B$9,Paramètres!$A$1:$I$89,5,0)</f>
        <v>26.787233200000003</v>
      </c>
      <c r="P10" s="13">
        <f t="shared" si="33"/>
        <v>8.4191669324310805</v>
      </c>
      <c r="Q10" s="20">
        <f t="shared" si="2"/>
        <v>61.317813563984139</v>
      </c>
      <c r="R10" s="59">
        <f t="shared" si="0"/>
        <v>326.54003578620637</v>
      </c>
      <c r="S10" s="59">
        <f ca="1">AVERAGE(OFFSET($R$3,0,0,'Données projet'!$E$9+1,1))-AVERAGE(OFFSET($H$3,0,0,'Données projet'!$E$9+1,1))</f>
        <v>593.28343396240075</v>
      </c>
      <c r="T10" s="59">
        <f t="shared" si="34"/>
        <v>289.66477662068695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7.2723529411764707</v>
      </c>
      <c r="AI10" s="13">
        <f>IF('Données projet'!$A$62&gt;35,AI9+AH10-AQ9,IF(A10&lt;'Données projet'!$A$62,$AF$205^A10,IF(A10='Données projet'!$A$62,'Données projet'!$B$62,AI9+AH10-AQ9)))</f>
        <v>7.2688008405045679</v>
      </c>
      <c r="AJ10" s="13">
        <f>AI10*VLOOKUP('Données projet'!$B$10,Paramètres!$A$1:$I$89,3,0)*VLOOKUP('Données projet'!$B$10,Paramètres!$A$1:$I$89,5,0)</f>
        <v>4.3467429026217319</v>
      </c>
      <c r="AK10" s="13">
        <f t="shared" si="35"/>
        <v>1.6882382445190491</v>
      </c>
      <c r="AL10" s="20">
        <f t="shared" si="4"/>
        <v>10.510925497936862</v>
      </c>
      <c r="AM10" s="59">
        <f t="shared" si="5"/>
        <v>275.73314772015908</v>
      </c>
      <c r="AN10" s="59">
        <f ca="1">AVERAGE(OFFSET($AM$3,0,0,'Données projet'!$E$10+1,1))-AVERAGE(OFFSET($H$3,0,0,'Données projet'!$E$10+1,1))</f>
        <v>302.00825291248458</v>
      </c>
      <c r="AO10" s="59">
        <f t="shared" si="36"/>
        <v>307.35115839449355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5.8890909090909096</v>
      </c>
      <c r="BD10" s="12">
        <f>IF('Données projet'!$A$88&gt;35,BD9+BC10-BL9,IF(A10&lt;'Données projet'!$A$88,$BA$205^A10,IF(A10='Données projet'!$A$88,'Données projet'!$B$88,BD9+BC10-BL9)))</f>
        <v>4.7005626382803412</v>
      </c>
      <c r="BE10" s="13">
        <f>BD10*VLOOKUP('Données projet'!$B$11,Paramètres!$A$1:$I$89,3,0)*VLOOKUP('Données projet'!$B$11,Paramètres!$A$1:$I$89,5,0)</f>
        <v>2.8109364576916445</v>
      </c>
      <c r="BF10" s="13">
        <f t="shared" si="37"/>
        <v>1.1485683204426194</v>
      </c>
      <c r="BG10" s="20">
        <f t="shared" si="7"/>
        <v>6.8961374885838422</v>
      </c>
      <c r="BH10" s="59">
        <f t="shared" si="8"/>
        <v>272.11835971080609</v>
      </c>
      <c r="BI10" s="59">
        <f ca="1">AVERAGE(OFFSET($BH$3,0,0,'Données projet'!$E$11+1,1))-AVERAGE(OFFSET($H$3,0,0,'Données projet'!$E$11+1,1))</f>
        <v>349.71285006949597</v>
      </c>
      <c r="BJ10" s="59">
        <f t="shared" si="38"/>
        <v>258.51550516456842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3.3603333333333336</v>
      </c>
      <c r="N11" s="13">
        <f>IF('Données projet'!$A$36&gt;35,N10+M11-V10,IF(A11&lt;'Données projet'!$A$36,$K$205^A11,IF(A11='Données projet'!$A$36,'Données projet'!$B$36,N10+M11-V10)))</f>
        <v>26.882666666666669</v>
      </c>
      <c r="O11" s="13">
        <f>N11*VLOOKUP('Données projet'!$B$9,Paramètres!$A$1:$I$89,3,0)*VLOOKUP('Données projet'!$B$9,Paramètres!$A$1:$I$89,5,0)</f>
        <v>30.613980800000004</v>
      </c>
      <c r="P11" s="13">
        <f t="shared" si="33"/>
        <v>9.473507537602579</v>
      </c>
      <c r="Q11" s="20">
        <f t="shared" si="2"/>
        <v>69.819042187991144</v>
      </c>
      <c r="R11" s="59">
        <f t="shared" si="0"/>
        <v>336.26348663243562</v>
      </c>
      <c r="S11" s="59">
        <f ca="1">AVERAGE(OFFSET($R$3,0,0,'Données projet'!$E$9+1,1))-AVERAGE(OFFSET($H$3,0,0,'Données projet'!$E$9+1,1))</f>
        <v>593.28343396240075</v>
      </c>
      <c r="T11" s="59">
        <f t="shared" si="34"/>
        <v>289.66477662068695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7.2723529411764707</v>
      </c>
      <c r="AI11" s="13">
        <f>IF('Données projet'!$A$62&gt;35,AI10+AH11-AQ10,IF(A11&lt;'Données projet'!$A$62,$AF$205^A11,IF(A11='Données projet'!$A$62,'Données projet'!$B$62,AI10+AH11-AQ10)))</f>
        <v>9.6500348031768652</v>
      </c>
      <c r="AJ11" s="13">
        <f>AI11*VLOOKUP('Données projet'!$B$10,Paramètres!$A$1:$I$89,3,0)*VLOOKUP('Données projet'!$B$10,Paramètres!$A$1:$I$89,5,0)</f>
        <v>5.770720812299766</v>
      </c>
      <c r="AK11" s="13">
        <f t="shared" si="35"/>
        <v>2.168577508198295</v>
      </c>
      <c r="AL11" s="20">
        <f t="shared" si="4"/>
        <v>13.827611241534122</v>
      </c>
      <c r="AM11" s="59">
        <f t="shared" si="5"/>
        <v>280.27205568597856</v>
      </c>
      <c r="AN11" s="59">
        <f ca="1">AVERAGE(OFFSET($AM$3,0,0,'Données projet'!$E$10+1,1))-AVERAGE(OFFSET($H$3,0,0,'Données projet'!$E$10+1,1))</f>
        <v>302.00825291248458</v>
      </c>
      <c r="AO11" s="59">
        <f t="shared" si="36"/>
        <v>307.35115839449355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5.8890909090909096</v>
      </c>
      <c r="BD11" s="12">
        <f>IF('Données projet'!$A$88&gt;35,BD10+BC11-BL10,IF(A11&lt;'Données projet'!$A$88,$BA$205^A11,IF(A11='Données projet'!$A$88,'Données projet'!$B$88,BD10+BC11-BL10)))</f>
        <v>5.8636933564201668</v>
      </c>
      <c r="BE11" s="13">
        <f>BD11*VLOOKUP('Données projet'!$B$11,Paramètres!$A$1:$I$89,3,0)*VLOOKUP('Données projet'!$B$11,Paramètres!$A$1:$I$89,5,0)</f>
        <v>3.5064886271392601</v>
      </c>
      <c r="BF11" s="13">
        <f t="shared" si="37"/>
        <v>1.3963726956545126</v>
      </c>
      <c r="BG11" s="20">
        <f t="shared" si="7"/>
        <v>8.5391501371991527</v>
      </c>
      <c r="BH11" s="59">
        <f t="shared" si="8"/>
        <v>274.98359458164362</v>
      </c>
      <c r="BI11" s="59">
        <f ca="1">AVERAGE(OFFSET($BH$3,0,0,'Données projet'!$E$11+1,1))-AVERAGE(OFFSET($H$3,0,0,'Données projet'!$E$11+1,1))</f>
        <v>349.71285006949597</v>
      </c>
      <c r="BJ11" s="59">
        <f t="shared" si="38"/>
        <v>258.51550516456842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3.3603333333333336</v>
      </c>
      <c r="N12" s="13">
        <f>IF('Données projet'!$A$36&gt;35,N11+M12-V11,IF(A12&lt;'Données projet'!$A$36,$K$205^A12,IF(A12='Données projet'!$A$36,'Données projet'!$B$36,N11+M12-V11)))</f>
        <v>30.243000000000002</v>
      </c>
      <c r="O12" s="13">
        <f>N12*VLOOKUP('Données projet'!$B$9,Paramètres!$A$1:$I$89,3,0)*VLOOKUP('Données projet'!$B$9,Paramètres!$A$1:$I$89,5,0)</f>
        <v>34.440728400000005</v>
      </c>
      <c r="P12" s="13">
        <f t="shared" si="33"/>
        <v>10.512576612731865</v>
      </c>
      <c r="Q12" s="20">
        <f t="shared" si="2"/>
        <v>78.293672897174659</v>
      </c>
      <c r="R12" s="59">
        <f t="shared" si="0"/>
        <v>345.96033956384133</v>
      </c>
      <c r="S12" s="59">
        <f ca="1">AVERAGE(OFFSET($R$3,0,0,'Données projet'!$E$9+1,1))-AVERAGE(OFFSET($H$3,0,0,'Données projet'!$E$9+1,1))</f>
        <v>593.28343396240075</v>
      </c>
      <c r="T12" s="59">
        <f t="shared" si="34"/>
        <v>289.66477662068695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7.2723529411764707</v>
      </c>
      <c r="AI12" s="13">
        <f>IF('Données projet'!$A$62&gt;35,AI11+AH12-AQ11,IF(A12&lt;'Données projet'!$A$62,$AF$205^A12,IF(A12='Données projet'!$A$62,'Données projet'!$B$62,AI11+AH12-AQ11)))</f>
        <v>12.811352758986937</v>
      </c>
      <c r="AJ12" s="13">
        <f>AI12*VLOOKUP('Données projet'!$B$10,Paramètres!$A$1:$I$89,3,0)*VLOOKUP('Données projet'!$B$10,Paramètres!$A$1:$I$89,5,0)</f>
        <v>7.6611889498741892</v>
      </c>
      <c r="AK12" s="13">
        <f t="shared" si="35"/>
        <v>2.7855833880858762</v>
      </c>
      <c r="AL12" s="20">
        <f t="shared" si="4"/>
        <v>18.194795155280449</v>
      </c>
      <c r="AM12" s="59">
        <f t="shared" si="5"/>
        <v>285.86146182194716</v>
      </c>
      <c r="AN12" s="59">
        <f ca="1">AVERAGE(OFFSET($AM$3,0,0,'Données projet'!$E$10+1,1))-AVERAGE(OFFSET($H$3,0,0,'Données projet'!$E$10+1,1))</f>
        <v>302.00825291248458</v>
      </c>
      <c r="AO12" s="59">
        <f t="shared" si="36"/>
        <v>307.35115839449355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5.8890909090909096</v>
      </c>
      <c r="BD12" s="12">
        <f>IF('Données projet'!$A$88&gt;35,BD11+BC12-BL11,IF(A12&lt;'Données projet'!$A$88,$BA$205^A12,IF(A12='Données projet'!$A$88,'Données projet'!$B$88,BD11+BC12-BL11)))</f>
        <v>7.3146349541476745</v>
      </c>
      <c r="BE12" s="13">
        <f>BD12*VLOOKUP('Données projet'!$B$11,Paramètres!$A$1:$I$89,3,0)*VLOOKUP('Données projet'!$B$11,Paramètres!$A$1:$I$89,5,0)</f>
        <v>4.3741517025803098</v>
      </c>
      <c r="BF12" s="13">
        <f t="shared" si="37"/>
        <v>1.6976410288053578</v>
      </c>
      <c r="BG12" s="20">
        <f t="shared" si="7"/>
        <v>10.575039007163371</v>
      </c>
      <c r="BH12" s="59">
        <f t="shared" si="8"/>
        <v>278.24170567383004</v>
      </c>
      <c r="BI12" s="59">
        <f ca="1">AVERAGE(OFFSET($BH$3,0,0,'Données projet'!$E$11+1,1))-AVERAGE(OFFSET($H$3,0,0,'Données projet'!$E$11+1,1))</f>
        <v>349.71285006949597</v>
      </c>
      <c r="BJ12" s="59">
        <f t="shared" si="38"/>
        <v>258.51550516456842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3.3603333333333336</v>
      </c>
      <c r="N13" s="13">
        <f>IF('Données projet'!$A$36&gt;35,N12+M13-V12,IF(A13&lt;'Données projet'!$A$36,$K$205^A13,IF(A13='Données projet'!$A$36,'Données projet'!$B$36,N12+M13-V12)))</f>
        <v>33.603333333333339</v>
      </c>
      <c r="O13" s="13">
        <f>N13*VLOOKUP('Données projet'!$B$9,Paramètres!$A$1:$I$89,3,0)*VLOOKUP('Données projet'!$B$9,Paramètres!$A$1:$I$89,5,0)</f>
        <v>38.267476000000009</v>
      </c>
      <c r="P13" s="13">
        <f t="shared" si="33"/>
        <v>11.538264556078891</v>
      </c>
      <c r="Q13" s="20">
        <f t="shared" si="2"/>
        <v>86.744998135170761</v>
      </c>
      <c r="R13" s="59">
        <f t="shared" si="0"/>
        <v>355.63388702405962</v>
      </c>
      <c r="S13" s="59">
        <f ca="1">AVERAGE(OFFSET($R$3,0,0,'Données projet'!$E$9+1,1))-AVERAGE(OFFSET($H$3,0,0,'Données projet'!$E$9+1,1))</f>
        <v>593.28343396240075</v>
      </c>
      <c r="T13" s="59">
        <f t="shared" si="34"/>
        <v>289.66477662068695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7.2723529411764707</v>
      </c>
      <c r="AI13" s="13">
        <f>IF('Données projet'!$A$62&gt;35,AI12+AH13-AQ12,IF(A13&lt;'Données projet'!$A$62,$AF$205^A13,IF(A13='Données projet'!$A$62,'Données projet'!$B$62,AI12+AH13-AQ12)))</f>
        <v>17.008307520421493</v>
      </c>
      <c r="AJ13" s="13">
        <f>AI13*VLOOKUP('Données projet'!$B$10,Paramètres!$A$1:$I$89,3,0)*VLOOKUP('Données projet'!$B$10,Paramètres!$A$1:$I$89,5,0)</f>
        <v>10.170967897212053</v>
      </c>
      <c r="AK13" s="13">
        <f t="shared" si="35"/>
        <v>3.5781404089295137</v>
      </c>
      <c r="AL13" s="20">
        <f t="shared" si="4"/>
        <v>23.946363633196558</v>
      </c>
      <c r="AM13" s="59">
        <f t="shared" si="5"/>
        <v>292.8352525220854</v>
      </c>
      <c r="AN13" s="59">
        <f ca="1">AVERAGE(OFFSET($AM$3,0,0,'Données projet'!$E$10+1,1))-AVERAGE(OFFSET($H$3,0,0,'Données projet'!$E$10+1,1))</f>
        <v>302.00825291248458</v>
      </c>
      <c r="AO13" s="59">
        <f t="shared" si="36"/>
        <v>307.35115839449355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5.8890909090909096</v>
      </c>
      <c r="BD13" s="12">
        <f>IF('Données projet'!$A$88&gt;35,BD12+BC13-BL12,IF(A13&lt;'Données projet'!$A$88,$BA$205^A13,IF(A13='Données projet'!$A$88,'Données projet'!$B$88,BD12+BC13-BL12)))</f>
        <v>9.1246047943242932</v>
      </c>
      <c r="BE13" s="13">
        <f>BD13*VLOOKUP('Données projet'!$B$11,Paramètres!$A$1:$I$89,3,0)*VLOOKUP('Données projet'!$B$11,Paramètres!$A$1:$I$89,5,0)</f>
        <v>5.456513667005928</v>
      </c>
      <c r="BF13" s="13">
        <f t="shared" si="37"/>
        <v>2.0639082042007839</v>
      </c>
      <c r="BG13" s="20">
        <f t="shared" si="7"/>
        <v>13.098068092351689</v>
      </c>
      <c r="BH13" s="59">
        <f t="shared" si="8"/>
        <v>281.98695698124055</v>
      </c>
      <c r="BI13" s="59">
        <f ca="1">AVERAGE(OFFSET($BH$3,0,0,'Données projet'!$E$11+1,1))-AVERAGE(OFFSET($H$3,0,0,'Données projet'!$E$11+1,1))</f>
        <v>349.71285006949597</v>
      </c>
      <c r="BJ13" s="59">
        <f t="shared" si="38"/>
        <v>258.51550516456842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3.3603333333333336</v>
      </c>
      <c r="N14" s="13">
        <f>IF('Données projet'!$A$36&gt;35,N13+M14-V13,IF(A14&lt;'Données projet'!$A$36,$K$205^A14,IF(A14='Données projet'!$A$36,'Données projet'!$B$36,N13+M14-V13)))</f>
        <v>36.963666666666676</v>
      </c>
      <c r="O14" s="13">
        <f>N14*VLOOKUP('Données projet'!$B$9,Paramètres!$A$1:$I$89,3,0)*VLOOKUP('Données projet'!$B$9,Paramètres!$A$1:$I$89,5,0)</f>
        <v>42.094223600000007</v>
      </c>
      <c r="P14" s="13">
        <f t="shared" si="33"/>
        <v>12.552061807792626</v>
      </c>
      <c r="Q14" s="20">
        <f t="shared" si="2"/>
        <v>95.175613751905487</v>
      </c>
      <c r="R14" s="59">
        <f t="shared" si="0"/>
        <v>365.28672486301662</v>
      </c>
      <c r="S14" s="59">
        <f ca="1">AVERAGE(OFFSET($R$3,0,0,'Données projet'!$E$9+1,1))-AVERAGE(OFFSET($H$3,0,0,'Données projet'!$E$9+1,1))</f>
        <v>593.28343396240075</v>
      </c>
      <c r="T14" s="59">
        <f t="shared" si="34"/>
        <v>289.66477662068695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7.2723529411764707</v>
      </c>
      <c r="AI14" s="13">
        <f>IF('Données projet'!$A$62&gt;35,AI13+AH14-AQ13,IF(A14&lt;'Données projet'!$A$62,$AF$205^A14,IF(A14='Données projet'!$A$62,'Données projet'!$B$62,AI13+AH14-AQ13)))</f>
        <v>22.580170115626522</v>
      </c>
      <c r="AJ14" s="13">
        <f>AI14*VLOOKUP('Données projet'!$B$10,Paramètres!$A$1:$I$89,3,0)*VLOOKUP('Données projet'!$B$10,Paramètres!$A$1:$I$89,5,0)</f>
        <v>13.502941729144661</v>
      </c>
      <c r="AK14" s="13">
        <f t="shared" si="35"/>
        <v>4.5961965600361916</v>
      </c>
      <c r="AL14" s="20">
        <f t="shared" si="4"/>
        <v>31.522665853656651</v>
      </c>
      <c r="AM14" s="59">
        <f t="shared" si="5"/>
        <v>301.63377696476778</v>
      </c>
      <c r="AN14" s="59">
        <f ca="1">AVERAGE(OFFSET($AM$3,0,0,'Données projet'!$E$10+1,1))-AVERAGE(OFFSET($H$3,0,0,'Données projet'!$E$10+1,1))</f>
        <v>302.00825291248458</v>
      </c>
      <c r="AO14" s="59">
        <f t="shared" si="36"/>
        <v>307.35115839449355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5.8890909090909096</v>
      </c>
      <c r="BD14" s="12">
        <f>IF('Données projet'!$A$88&gt;35,BD13+BC14-BL13,IF(A14&lt;'Données projet'!$A$88,$BA$205^A14,IF(A14='Données projet'!$A$88,'Données projet'!$B$88,BD13+BC14-BL13)))</f>
        <v>11.382442620105763</v>
      </c>
      <c r="BE14" s="13">
        <f>BD14*VLOOKUP('Données projet'!$B$11,Paramètres!$A$1:$I$89,3,0)*VLOOKUP('Données projet'!$B$11,Paramètres!$A$1:$I$89,5,0)</f>
        <v>6.8067006868232474</v>
      </c>
      <c r="BF14" s="13">
        <f t="shared" si="37"/>
        <v>2.5091977650686839</v>
      </c>
      <c r="BG14" s="20">
        <f t="shared" si="7"/>
        <v>16.225189803711778</v>
      </c>
      <c r="BH14" s="59">
        <f t="shared" si="8"/>
        <v>286.33630091482291</v>
      </c>
      <c r="BI14" s="59">
        <f ca="1">AVERAGE(OFFSET($BH$3,0,0,'Données projet'!$E$11+1,1))-AVERAGE(OFFSET($H$3,0,0,'Données projet'!$E$11+1,1))</f>
        <v>349.71285006949597</v>
      </c>
      <c r="BJ14" s="59">
        <f t="shared" si="38"/>
        <v>258.51550516456842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3.3603333333333336</v>
      </c>
      <c r="N15" s="13">
        <f>IF('Données projet'!$A$36&gt;35,N14+M15-V14,IF(A15&lt;'Données projet'!$A$36,$K$205^A15,IF(A15='Données projet'!$A$36,'Données projet'!$B$36,N14+M15-V14)))</f>
        <v>40.324000000000012</v>
      </c>
      <c r="O15" s="13">
        <f>N15*VLOOKUP('Données projet'!$B$9,Paramètres!$A$1:$I$89,3,0)*VLOOKUP('Données projet'!$B$9,Paramètres!$A$1:$I$89,5,0)</f>
        <v>45.920971200000018</v>
      </c>
      <c r="P15" s="13">
        <f t="shared" si="33"/>
        <v>13.555172275859681</v>
      </c>
      <c r="Q15" s="20">
        <f t="shared" si="2"/>
        <v>103.58761655378898</v>
      </c>
      <c r="R15" s="59">
        <f t="shared" si="0"/>
        <v>374.92094988712228</v>
      </c>
      <c r="S15" s="59">
        <f ca="1">AVERAGE(OFFSET($R$3,0,0,'Données projet'!$E$9+1,1))-AVERAGE(OFFSET($H$3,0,0,'Données projet'!$E$9+1,1))</f>
        <v>593.28343396240075</v>
      </c>
      <c r="T15" s="59">
        <f t="shared" si="34"/>
        <v>289.66477662068695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7.2723529411764707</v>
      </c>
      <c r="AI15" s="13">
        <f>IF('Données projet'!$A$62&gt;35,AI14+AH15-AQ14,IF(A15&lt;'Données projet'!$A$62,$AF$205^A15,IF(A15='Données projet'!$A$62,'Données projet'!$B$62,AI14+AH15-AQ14)))</f>
        <v>29.977355585701336</v>
      </c>
      <c r="AJ15" s="13">
        <f>AI15*VLOOKUP('Données projet'!$B$10,Paramètres!$A$1:$I$89,3,0)*VLOOKUP('Données projet'!$B$10,Paramètres!$A$1:$I$89,5,0)</f>
        <v>17.9264586402494</v>
      </c>
      <c r="AK15" s="13">
        <f t="shared" si="35"/>
        <v>5.9039110834693549</v>
      </c>
      <c r="AL15" s="20">
        <f t="shared" si="4"/>
        <v>41.504560602143492</v>
      </c>
      <c r="AM15" s="59">
        <f t="shared" si="5"/>
        <v>312.83789393547681</v>
      </c>
      <c r="AN15" s="59">
        <f ca="1">AVERAGE(OFFSET($AM$3,0,0,'Données projet'!$E$10+1,1))-AVERAGE(OFFSET($H$3,0,0,'Données projet'!$E$10+1,1))</f>
        <v>302.00825291248458</v>
      </c>
      <c r="AO15" s="59">
        <f t="shared" si="36"/>
        <v>307.35115839449355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5.8890909090909096</v>
      </c>
      <c r="BD15" s="12">
        <f>IF('Données projet'!$A$88&gt;35,BD14+BC15-BL14,IF(A15&lt;'Données projet'!$A$88,$BA$205^A15,IF(A15='Données projet'!$A$88,'Données projet'!$B$88,BD14+BC15-BL14)))</f>
        <v>14.198971124819497</v>
      </c>
      <c r="BE15" s="13">
        <f>BD15*VLOOKUP('Données projet'!$B$11,Paramètres!$A$1:$I$89,3,0)*VLOOKUP('Données projet'!$B$11,Paramètres!$A$1:$I$89,5,0)</f>
        <v>8.49098473264206</v>
      </c>
      <c r="BF15" s="13">
        <f t="shared" si="37"/>
        <v>3.0505588433685857</v>
      </c>
      <c r="BG15" s="20">
        <f t="shared" si="7"/>
        <v>20.10152172821854</v>
      </c>
      <c r="BH15" s="59">
        <f t="shared" si="8"/>
        <v>291.43485506155184</v>
      </c>
      <c r="BI15" s="59">
        <f ca="1">AVERAGE(OFFSET($BH$3,0,0,'Données projet'!$E$11+1,1))-AVERAGE(OFFSET($H$3,0,0,'Données projet'!$E$11+1,1))</f>
        <v>349.71285006949597</v>
      </c>
      <c r="BJ15" s="59">
        <f t="shared" si="38"/>
        <v>258.51550516456842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3.3603333333333336</v>
      </c>
      <c r="N16" s="13">
        <f>IF('Données projet'!$A$36&gt;35,N15+M16-V15,IF(A16&lt;'Données projet'!$A$36,$K$205^A16,IF(A16='Données projet'!$A$36,'Données projet'!$B$36,N15+M16-V15)))</f>
        <v>43.684333333333349</v>
      </c>
      <c r="O16" s="13">
        <f>N16*VLOOKUP('Données projet'!$B$9,Paramètres!$A$1:$I$89,3,0)*VLOOKUP('Données projet'!$B$9,Paramètres!$A$1:$I$89,5,0)</f>
        <v>49.747718800000023</v>
      </c>
      <c r="P16" s="13">
        <f t="shared" si="33"/>
        <v>14.548587774950079</v>
      </c>
      <c r="Q16" s="20">
        <f t="shared" si="2"/>
        <v>111.98273395137143</v>
      </c>
      <c r="R16" s="59">
        <f t="shared" si="0"/>
        <v>384.53828950692696</v>
      </c>
      <c r="S16" s="59">
        <f ca="1">AVERAGE(OFFSET($R$3,0,0,'Données projet'!$E$9+1,1))-AVERAGE(OFFSET($H$3,0,0,'Données projet'!$E$9+1,1))</f>
        <v>593.28343396240075</v>
      </c>
      <c r="T16" s="59">
        <f t="shared" si="34"/>
        <v>289.66477662068695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7.2723529411764707</v>
      </c>
      <c r="AI16" s="13">
        <f>IF('Données projet'!$A$62&gt;35,AI15+AH16-AQ15,IF(A16&lt;'Données projet'!$A$62,$AF$205^A16,IF(A16='Données projet'!$A$62,'Données projet'!$B$62,AI15+AH16-AQ15)))</f>
        <v>39.797833378131948</v>
      </c>
      <c r="AJ16" s="13">
        <f>AI16*VLOOKUP('Données projet'!$B$10,Paramètres!$A$1:$I$89,3,0)*VLOOKUP('Données projet'!$B$10,Paramètres!$A$1:$I$89,5,0)</f>
        <v>23.799104360122907</v>
      </c>
      <c r="AK16" s="13">
        <f t="shared" si="35"/>
        <v>7.583697874147882</v>
      </c>
      <c r="AL16" s="20">
        <f t="shared" si="4"/>
        <v>54.658380558021626</v>
      </c>
      <c r="AM16" s="59">
        <f t="shared" si="5"/>
        <v>327.21393611357718</v>
      </c>
      <c r="AN16" s="59">
        <f ca="1">AVERAGE(OFFSET($AM$3,0,0,'Données projet'!$E$10+1,1))-AVERAGE(OFFSET($H$3,0,0,'Données projet'!$E$10+1,1))</f>
        <v>302.00825291248458</v>
      </c>
      <c r="AO16" s="59">
        <f t="shared" si="36"/>
        <v>307.35115839449355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5.8890909090909096</v>
      </c>
      <c r="BD16" s="12">
        <f>IF('Données projet'!$A$88&gt;35,BD15+BC16-BL15,IF(A16&lt;'Données projet'!$A$88,$BA$205^A16,IF(A16='Données projet'!$A$88,'Données projet'!$B$88,BD15+BC16-BL15)))</f>
        <v>17.712435523051596</v>
      </c>
      <c r="BE16" s="13">
        <f>BD16*VLOOKUP('Données projet'!$B$11,Paramètres!$A$1:$I$89,3,0)*VLOOKUP('Données projet'!$B$11,Paramètres!$A$1:$I$89,5,0)</f>
        <v>10.592036442784856</v>
      </c>
      <c r="BF16" s="13">
        <f t="shared" si="37"/>
        <v>3.708718932562717</v>
      </c>
      <c r="BG16" s="20">
        <f t="shared" si="7"/>
        <v>24.907148945397026</v>
      </c>
      <c r="BH16" s="59">
        <f t="shared" si="8"/>
        <v>297.46270450095255</v>
      </c>
      <c r="BI16" s="59">
        <f ca="1">AVERAGE(OFFSET($BH$3,0,0,'Données projet'!$E$11+1,1))-AVERAGE(OFFSET($H$3,0,0,'Données projet'!$E$11+1,1))</f>
        <v>349.71285006949597</v>
      </c>
      <c r="BJ16" s="59">
        <f t="shared" si="38"/>
        <v>258.51550516456842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3.3603333333333336</v>
      </c>
      <c r="N17" s="13">
        <f>IF('Données projet'!$A$36&gt;35,N16+M17-V16,IF(A17&lt;'Données projet'!$A$36,$K$205^A17,IF(A17='Données projet'!$A$36,'Données projet'!$B$36,N16+M17-V16)))</f>
        <v>47.044666666666686</v>
      </c>
      <c r="O17" s="13">
        <f>N17*VLOOKUP('Données projet'!$B$9,Paramètres!$A$1:$I$89,3,0)*VLOOKUP('Données projet'!$B$9,Paramètres!$A$1:$I$89,5,0)</f>
        <v>53.574466400000027</v>
      </c>
      <c r="P17" s="13">
        <f t="shared" si="33"/>
        <v>15.533138864945339</v>
      </c>
      <c r="Q17" s="20">
        <f t="shared" si="2"/>
        <v>120.36241250311315</v>
      </c>
      <c r="R17" s="59">
        <f t="shared" si="0"/>
        <v>394.14019028089092</v>
      </c>
      <c r="S17" s="59">
        <f ca="1">AVERAGE(OFFSET($R$3,0,0,'Données projet'!$E$9+1,1))-AVERAGE(OFFSET($H$3,0,0,'Données projet'!$E$9+1,1))</f>
        <v>593.28343396240075</v>
      </c>
      <c r="T17" s="59">
        <f t="shared" si="34"/>
        <v>289.66477662068695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7.2723529411764707</v>
      </c>
      <c r="AI17" s="13">
        <f>IF('Données projet'!$A$62&gt;35,AI16+AH17-AQ16,IF(A17&lt;'Données projet'!$A$62,$AF$205^A17,IF(A17='Données projet'!$A$62,'Données projet'!$B$62,AI16+AH17-AQ16)))</f>
        <v>52.835465658919915</v>
      </c>
      <c r="AJ17" s="13">
        <f>AI17*VLOOKUP('Données projet'!$B$10,Paramètres!$A$1:$I$89,3,0)*VLOOKUP('Données projet'!$B$10,Paramètres!$A$1:$I$89,5,0)</f>
        <v>31.595608464034111</v>
      </c>
      <c r="AK17" s="13">
        <f t="shared" si="35"/>
        <v>9.7414193122567614</v>
      </c>
      <c r="AL17" s="20">
        <f t="shared" si="4"/>
        <v>71.995323377039924</v>
      </c>
      <c r="AM17" s="59">
        <f t="shared" si="5"/>
        <v>345.77310115481771</v>
      </c>
      <c r="AN17" s="59">
        <f ca="1">AVERAGE(OFFSET($AM$3,0,0,'Données projet'!$E$10+1,1))-AVERAGE(OFFSET($H$3,0,0,'Données projet'!$E$10+1,1))</f>
        <v>302.00825291248458</v>
      </c>
      <c r="AO17" s="59">
        <f t="shared" si="36"/>
        <v>307.35115839449355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5.8890909090909096</v>
      </c>
      <c r="BD17" s="12">
        <f>IF('Données projet'!$A$88&gt;35,BD16+BC17-BL16,IF(A17&lt;'Données projet'!$A$88,$BA$205^A17,IF(A17='Données projet'!$A$88,'Données projet'!$B$88,BD16+BC17-BL16)))</f>
        <v>22.095289116397044</v>
      </c>
      <c r="BE17" s="13">
        <f>BD17*VLOOKUP('Données projet'!$B$11,Paramètres!$A$1:$I$89,3,0)*VLOOKUP('Données projet'!$B$11,Paramètres!$A$1:$I$89,5,0)</f>
        <v>13.212982891605433</v>
      </c>
      <c r="BF17" s="13">
        <f t="shared" si="37"/>
        <v>4.508877496544403</v>
      </c>
      <c r="BG17" s="20">
        <f t="shared" si="7"/>
        <v>30.86557350936096</v>
      </c>
      <c r="BH17" s="59">
        <f t="shared" si="8"/>
        <v>304.64335128713873</v>
      </c>
      <c r="BI17" s="59">
        <f ca="1">AVERAGE(OFFSET($BH$3,0,0,'Données projet'!$E$11+1,1))-AVERAGE(OFFSET($H$3,0,0,'Données projet'!$E$11+1,1))</f>
        <v>349.71285006949597</v>
      </c>
      <c r="BJ17" s="59">
        <f t="shared" si="38"/>
        <v>258.51550516456842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3.3603333333333336</v>
      </c>
      <c r="N18" s="13">
        <f>IF('Données projet'!$A$36&gt;35,N17+M18-V17,IF(A18&lt;'Données projet'!$A$36,$K$205^A18,IF(A18='Données projet'!$A$36,'Données projet'!$B$36,N17+M18-V17)))</f>
        <v>50.405000000000022</v>
      </c>
      <c r="O18" s="13">
        <f>N18*VLOOKUP('Données projet'!$B$9,Paramètres!$A$1:$I$89,3,0)*VLOOKUP('Données projet'!$B$9,Paramètres!$A$1:$I$89,5,0)</f>
        <v>57.401214000000024</v>
      </c>
      <c r="P18" s="13">
        <f t="shared" si="33"/>
        <v>16.509530730966755</v>
      </c>
      <c r="Q18" s="20">
        <f t="shared" si="2"/>
        <v>128.7278804064338</v>
      </c>
      <c r="R18" s="59">
        <f t="shared" si="0"/>
        <v>403.72788040643377</v>
      </c>
      <c r="S18" s="59">
        <f ca="1">AVERAGE(OFFSET($R$3,0,0,'Données projet'!$E$9+1,1))-AVERAGE(OFFSET($H$3,0,0,'Données projet'!$E$9+1,1))</f>
        <v>593.28343396240075</v>
      </c>
      <c r="T18" s="59">
        <f t="shared" si="34"/>
        <v>289.66477662068695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7.2723529411764707</v>
      </c>
      <c r="AI18" s="13">
        <f>IF('Données projet'!$A$62&gt;35,AI17+AH18-AQ17,IF(A18&lt;'Données projet'!$A$62,$AF$205^A18,IF(A18='Données projet'!$A$62,'Données projet'!$B$62,AI17+AH18-AQ17)))</f>
        <v>70.144181088230326</v>
      </c>
      <c r="AJ18" s="13">
        <f>AI18*VLOOKUP('Données projet'!$B$10,Paramètres!$A$1:$I$89,3,0)*VLOOKUP('Données projet'!$B$10,Paramètres!$A$1:$I$89,5,0)</f>
        <v>41.946220290761737</v>
      </c>
      <c r="AK18" s="13">
        <f t="shared" si="35"/>
        <v>12.51305785014169</v>
      </c>
      <c r="AL18" s="20">
        <f t="shared" si="4"/>
        <v>94.849909428740133</v>
      </c>
      <c r="AM18" s="59">
        <f t="shared" si="5"/>
        <v>369.84990942874015</v>
      </c>
      <c r="AN18" s="59">
        <f ca="1">AVERAGE(OFFSET($AM$3,0,0,'Données projet'!$E$10+1,1))-AVERAGE(OFFSET($H$3,0,0,'Données projet'!$E$10+1,1))</f>
        <v>302.00825291248458</v>
      </c>
      <c r="AO18" s="59">
        <f t="shared" si="36"/>
        <v>307.35115839449355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5.8890909090909096</v>
      </c>
      <c r="BD18" s="12">
        <f>IF('Données projet'!$A$88&gt;35,BD17+BC18-BL17,IF(A18&lt;'Données projet'!$A$88,$BA$205^A18,IF(A18='Données projet'!$A$88,'Données projet'!$B$88,BD17+BC18-BL17)))</f>
        <v>27.562657913521289</v>
      </c>
      <c r="BE18" s="13">
        <f>BD18*VLOOKUP('Données projet'!$B$11,Paramètres!$A$1:$I$89,3,0)*VLOOKUP('Données projet'!$B$11,Paramètres!$A$1:$I$89,5,0)</f>
        <v>16.482469432285733</v>
      </c>
      <c r="BF18" s="13">
        <f t="shared" si="37"/>
        <v>5.4816708002179473</v>
      </c>
      <c r="BG18" s="20">
        <f t="shared" si="7"/>
        <v>38.254210904943911</v>
      </c>
      <c r="BH18" s="59">
        <f t="shared" si="8"/>
        <v>313.25421090494393</v>
      </c>
      <c r="BI18" s="59">
        <f ca="1">AVERAGE(OFFSET($BH$3,0,0,'Données projet'!$E$11+1,1))-AVERAGE(OFFSET($H$3,0,0,'Données projet'!$E$11+1,1))</f>
        <v>349.71285006949597</v>
      </c>
      <c r="BJ18" s="59">
        <f t="shared" si="38"/>
        <v>258.51550516456842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3.3603333333333336</v>
      </c>
      <c r="N19" s="13">
        <f>IF('Données projet'!$A$36&gt;35,N18+M19-V18,IF(A19&lt;'Données projet'!$A$36,$K$205^A19,IF(A19='Données projet'!$A$36,'Données projet'!$B$36,N18+M19-V18)))</f>
        <v>53.765333333333359</v>
      </c>
      <c r="O19" s="13">
        <f>N19*VLOOKUP('Données projet'!$B$9,Paramètres!$A$1:$I$89,3,0)*VLOOKUP('Données projet'!$B$9,Paramètres!$A$1:$I$89,5,0)</f>
        <v>61.227961600000029</v>
      </c>
      <c r="P19" s="13">
        <f t="shared" si="33"/>
        <v>17.478369214042406</v>
      </c>
      <c r="Q19" s="20">
        <f t="shared" si="2"/>
        <v>137.08019283445722</v>
      </c>
      <c r="R19" s="59">
        <f t="shared" si="0"/>
        <v>413.30241505667948</v>
      </c>
      <c r="S19" s="59">
        <f ca="1">AVERAGE(OFFSET($R$3,0,0,'Données projet'!$E$9+1,1))-AVERAGE(OFFSET($H$3,0,0,'Données projet'!$E$9+1,1))</f>
        <v>593.28343396240075</v>
      </c>
      <c r="T19" s="59">
        <f t="shared" si="34"/>
        <v>289.66477662068695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7.2723529411764707</v>
      </c>
      <c r="AI19" s="13">
        <f>IF('Données projet'!$A$62&gt;35,AI18+AH19-AQ18,IF(A19&lt;'Données projet'!$A$62,$AF$205^A19,IF(A19='Données projet'!$A$62,'Données projet'!$B$62,AI18+AH19-AQ18)))</f>
        <v>93.123171702524758</v>
      </c>
      <c r="AJ19" s="13">
        <f>AI19*VLOOKUP('Données projet'!$B$10,Paramètres!$A$1:$I$89,3,0)*VLOOKUP('Données projet'!$B$10,Paramètres!$A$1:$I$89,5,0)</f>
        <v>55.687656678109811</v>
      </c>
      <c r="AK19" s="13">
        <f t="shared" si="35"/>
        <v>16.073285805897523</v>
      </c>
      <c r="AL19" s="20">
        <f t="shared" si="4"/>
        <v>124.98364149297942</v>
      </c>
      <c r="AM19" s="59">
        <f t="shared" si="5"/>
        <v>401.20586371520164</v>
      </c>
      <c r="AN19" s="59">
        <f ca="1">AVERAGE(OFFSET($AM$3,0,0,'Données projet'!$E$10+1,1))-AVERAGE(OFFSET($H$3,0,0,'Données projet'!$E$10+1,1))</f>
        <v>302.00825291248458</v>
      </c>
      <c r="AO19" s="59">
        <f t="shared" si="36"/>
        <v>307.35115839449355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5.8890909090909096</v>
      </c>
      <c r="BD19" s="12">
        <f>IF('Données projet'!$A$88&gt;35,BD18+BC19-BL18,IF(A19&lt;'Données projet'!$A$88,$BA$205^A19,IF(A19='Données projet'!$A$88,'Données projet'!$B$88,BD18+BC19-BL18)))</f>
        <v>34.382899778126003</v>
      </c>
      <c r="BE19" s="13">
        <f>BD19*VLOOKUP('Données projet'!$B$11,Paramètres!$A$1:$I$89,3,0)*VLOOKUP('Données projet'!$B$11,Paramètres!$A$1:$I$89,5,0)</f>
        <v>20.560974067319354</v>
      </c>
      <c r="BF19" s="13">
        <f t="shared" si="37"/>
        <v>6.6643449029146105</v>
      </c>
      <c r="BG19" s="20">
        <f t="shared" si="7"/>
        <v>47.417430539824153</v>
      </c>
      <c r="BH19" s="59">
        <f t="shared" si="8"/>
        <v>323.63965276204635</v>
      </c>
      <c r="BI19" s="59">
        <f ca="1">AVERAGE(OFFSET($BH$3,0,0,'Données projet'!$E$11+1,1))-AVERAGE(OFFSET($H$3,0,0,'Données projet'!$E$11+1,1))</f>
        <v>349.71285006949597</v>
      </c>
      <c r="BJ19" s="59">
        <f t="shared" si="38"/>
        <v>258.51550516456842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3.3603333333333336</v>
      </c>
      <c r="N20" s="13">
        <f>IF('Données projet'!$A$36&gt;35,N19+M20-V19,IF(A20&lt;'Données projet'!$A$36,$K$205^A20,IF(A20='Données projet'!$A$36,'Données projet'!$B$36,N19+M20-V19)))</f>
        <v>57.125666666666696</v>
      </c>
      <c r="O20" s="13">
        <f>N20*VLOOKUP('Données projet'!$B$9,Paramètres!$A$1:$I$89,3,0)*VLOOKUP('Données projet'!$B$9,Paramètres!$A$1:$I$89,5,0)</f>
        <v>65.054709200000033</v>
      </c>
      <c r="P20" s="13">
        <f t="shared" si="33"/>
        <v>18.440180144791182</v>
      </c>
      <c r="Q20" s="20">
        <f t="shared" si="2"/>
        <v>145.42026560884469</v>
      </c>
      <c r="R20" s="59">
        <f t="shared" si="0"/>
        <v>422.86471005328917</v>
      </c>
      <c r="S20" s="59">
        <f ca="1">AVERAGE(OFFSET($R$3,0,0,'Données projet'!$E$9+1,1))-AVERAGE(OFFSET($H$3,0,0,'Données projet'!$E$9+1,1))</f>
        <v>593.28343396240075</v>
      </c>
      <c r="T20" s="59">
        <f t="shared" si="34"/>
        <v>289.66477662068695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>
        <f>VLOOKUP(A20,'Données projet'!$A$61:$I$81,2,0)</f>
        <v>123.63</v>
      </c>
      <c r="AG20" s="12">
        <f>VLOOKUP(A20,'Données projet'!$A$61:$I$81,9,0)</f>
        <v>7.2723529411764707</v>
      </c>
      <c r="AH20" s="12">
        <f t="array" ref="AH20">INDEX(AG:AG,MIN(IF(ISNUMBER(AG20:AG216),ROW(AG20:AG216),"")))</f>
        <v>7.2723529411764707</v>
      </c>
      <c r="AI20" s="13">
        <f>IF('Données projet'!$A$62&gt;35,AI19+AH20-AQ19,IF(A20&lt;'Données projet'!$A$62,$AF$205^A20,IF(A20='Données projet'!$A$62,'Données projet'!$B$62,AI19+AH20-AQ19)))</f>
        <v>123.63</v>
      </c>
      <c r="AJ20" s="13">
        <f>AI20*VLOOKUP('Données projet'!$B$10,Paramètres!$A$1:$I$89,3,0)*VLOOKUP('Données projet'!$B$10,Paramètres!$A$1:$I$89,5,0)</f>
        <v>73.93074</v>
      </c>
      <c r="AK20" s="13">
        <f t="shared" si="35"/>
        <v>20.646473443351134</v>
      </c>
      <c r="AL20" s="20">
        <f t="shared" si="4"/>
        <v>164.72198008050322</v>
      </c>
      <c r="AM20" s="59">
        <f t="shared" si="5"/>
        <v>442.16642452494767</v>
      </c>
      <c r="AN20" s="59">
        <f ca="1">AVERAGE(OFFSET($AM$3,0,0,'Données projet'!$E$10+1,1))-AVERAGE(OFFSET($H$3,0,0,'Données projet'!$E$10+1,1))</f>
        <v>302.00825291248458</v>
      </c>
      <c r="AO20" s="59">
        <f t="shared" si="36"/>
        <v>307.35115839449355</v>
      </c>
      <c r="AP20" s="15">
        <f>IF(ISNA(VLOOKUP(A20,'Données projet'!$A$61:$I$81,3,0)),0,VLOOKUP(A20,'Données projet'!$A$61:$I$81,3,0))</f>
        <v>1</v>
      </c>
      <c r="AQ20" s="15">
        <f>IF(ISNA(VLOOKUP(A20,'Données projet'!$A$61:$I$81,4,0)),0,VLOOKUP(A20,'Données projet'!$A$61:$I$81,4,0))</f>
        <v>41.179999999999993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0.22500000000000001</v>
      </c>
      <c r="AT20" s="16">
        <f>IF(ISNA(VLOOKUP(A20,'Données projet'!$A$61:$I$81,7,0)),0%,VLOOKUP(A20,'Données projet'!$A$61:$I$81,7,0))</f>
        <v>0.5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7.3212467235098906</v>
      </c>
      <c r="AW20" s="21">
        <f>EXP(-LN(2)/2)*AW19+(1-EXP(-LN(2)/2))/(LN(2)/2)*AQ20*AT20*VLOOKUP('Données projet'!$B$10,Paramètres!$A$1:$I$89,3,0)*0.475*44/12</f>
        <v>13.940972477629819</v>
      </c>
      <c r="AX20" s="21">
        <f t="shared" si="6"/>
        <v>21.262219201139708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5.8890909090909096</v>
      </c>
      <c r="BD20" s="12">
        <f>IF('Données projet'!$A$88&gt;35,BD19+BC20-BL19,IF(A20&lt;'Données projet'!$A$88,$BA$205^A20,IF(A20='Données projet'!$A$88,'Données projet'!$B$88,BD19+BC20-BL19)))</f>
        <v>42.890776385274457</v>
      </c>
      <c r="BE20" s="13">
        <f>BD20*VLOOKUP('Données projet'!$B$11,Paramètres!$A$1:$I$89,3,0)*VLOOKUP('Données projet'!$B$11,Paramètres!$A$1:$I$89,5,0)</f>
        <v>25.648684278394128</v>
      </c>
      <c r="BF20" s="13">
        <f t="shared" si="37"/>
        <v>8.1021817259143134</v>
      </c>
      <c r="BG20" s="20">
        <f t="shared" si="7"/>
        <v>58.782758290837201</v>
      </c>
      <c r="BH20" s="59">
        <f t="shared" si="8"/>
        <v>336.22720273528165</v>
      </c>
      <c r="BI20" s="59">
        <f ca="1">AVERAGE(OFFSET($BH$3,0,0,'Données projet'!$E$11+1,1))-AVERAGE(OFFSET($H$3,0,0,'Données projet'!$E$11+1,1))</f>
        <v>349.71285006949597</v>
      </c>
      <c r="BJ20" s="59">
        <f t="shared" si="38"/>
        <v>258.51550516456842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3.3603333333333336</v>
      </c>
      <c r="N21" s="13">
        <f>IF('Données projet'!$A$36&gt;35,N20+M21-V20,IF(A21&lt;'Données projet'!$A$36,$K$205^A21,IF(A21='Données projet'!$A$36,'Données projet'!$B$36,N20+M21-V20)))</f>
        <v>60.486000000000033</v>
      </c>
      <c r="O21" s="13">
        <f>N21*VLOOKUP('Données projet'!$B$9,Paramètres!$A$1:$I$89,3,0)*VLOOKUP('Données projet'!$B$9,Paramètres!$A$1:$I$89,5,0)</f>
        <v>68.881456800000038</v>
      </c>
      <c r="P21" s="13">
        <f t="shared" si="33"/>
        <v>19.395423996752726</v>
      </c>
      <c r="Q21" s="20">
        <f t="shared" si="2"/>
        <v>153.74890072101104</v>
      </c>
      <c r="R21" s="59">
        <f t="shared" si="0"/>
        <v>432.4155673876777</v>
      </c>
      <c r="S21" s="59">
        <f ca="1">AVERAGE(OFFSET($R$3,0,0,'Données projet'!$E$9+1,1))-AVERAGE(OFFSET($H$3,0,0,'Données projet'!$E$9+1,1))</f>
        <v>593.28343396240075</v>
      </c>
      <c r="T21" s="59">
        <f t="shared" si="34"/>
        <v>289.66477662068695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17.793333333333333</v>
      </c>
      <c r="AI21" s="13">
        <f>IF('Données projet'!$A$62&gt;35,AI20+AH21-AQ20,IF(A21&lt;'Données projet'!$A$62,$AF$205^A21,IF(A21='Données projet'!$A$62,'Données projet'!$B$62,AI20+AH21-AQ20)))</f>
        <v>100.24333333333333</v>
      </c>
      <c r="AJ21" s="13">
        <f>AI21*VLOOKUP('Données projet'!$B$10,Paramètres!$A$1:$I$89,3,0)*VLOOKUP('Données projet'!$B$10,Paramètres!$A$1:$I$89,5,0)</f>
        <v>59.945513333333338</v>
      </c>
      <c r="AK21" s="13">
        <f t="shared" si="35"/>
        <v>17.15449234531231</v>
      </c>
      <c r="AL21" s="20">
        <f t="shared" si="4"/>
        <v>134.28250989030781</v>
      </c>
      <c r="AM21" s="59">
        <f t="shared" si="5"/>
        <v>412.94917655697452</v>
      </c>
      <c r="AN21" s="59">
        <f ca="1">AVERAGE(OFFSET($AM$3,0,0,'Données projet'!$E$10+1,1))-AVERAGE(OFFSET($H$3,0,0,'Données projet'!$E$10+1,1))</f>
        <v>302.00825291248458</v>
      </c>
      <c r="AO21" s="59">
        <f t="shared" si="36"/>
        <v>307.35115839449355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7.1210468468478805</v>
      </c>
      <c r="AW21" s="21">
        <f>EXP(-LN(2)/2)*AW20+(1-EXP(-LN(2)/2))/(LN(2)/2)*AQ21*AT21*VLOOKUP('Données projet'!$B$10,Paramètres!$A$1:$I$89,3,0)*0.475*44/12</f>
        <v>9.8577561752670704</v>
      </c>
      <c r="AX21" s="21">
        <f t="shared" si="6"/>
        <v>16.978803022114953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5.8890909090909096</v>
      </c>
      <c r="BD21" s="12">
        <f>IF('Données projet'!$A$88&gt;35,BD20+BC21-BL20,IF(A21&lt;'Données projet'!$A$88,$BA$205^A21,IF(A21='Données projet'!$A$88,'Données projet'!$B$88,BD20+BC21-BL20)))</f>
        <v>53.503884512438958</v>
      </c>
      <c r="BE21" s="13">
        <f>BD21*VLOOKUP('Données projet'!$B$11,Paramètres!$A$1:$I$89,3,0)*VLOOKUP('Données projet'!$B$11,Paramètres!$A$1:$I$89,5,0)</f>
        <v>31.995322938438498</v>
      </c>
      <c r="BF21" s="13">
        <f t="shared" si="37"/>
        <v>9.8502327949788757</v>
      </c>
      <c r="BG21" s="20">
        <f t="shared" si="7"/>
        <v>72.881009569035243</v>
      </c>
      <c r="BH21" s="59">
        <f t="shared" si="8"/>
        <v>351.54767623570194</v>
      </c>
      <c r="BI21" s="59">
        <f ca="1">AVERAGE(OFFSET($BH$3,0,0,'Données projet'!$E$11+1,1))-AVERAGE(OFFSET($H$3,0,0,'Données projet'!$E$11+1,1))</f>
        <v>349.71285006949597</v>
      </c>
      <c r="BJ21" s="59">
        <f t="shared" si="38"/>
        <v>258.51550516456842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3.3603333333333336</v>
      </c>
      <c r="N22" s="13">
        <f>IF('Données projet'!$A$36&gt;35,N21+M22-V21,IF(A22&lt;'Données projet'!$A$36,$K$205^A22,IF(A22='Données projet'!$A$36,'Données projet'!$B$36,N21+M22-V21)))</f>
        <v>63.846333333333369</v>
      </c>
      <c r="O22" s="13">
        <f>N22*VLOOKUP('Données projet'!$B$9,Paramètres!$A$1:$I$89,3,0)*VLOOKUP('Données projet'!$B$9,Paramètres!$A$1:$I$89,5,0)</f>
        <v>72.708204400000042</v>
      </c>
      <c r="P22" s="13">
        <f t="shared" si="33"/>
        <v>20.344507190066661</v>
      </c>
      <c r="Q22" s="20">
        <f t="shared" si="2"/>
        <v>162.06680601936617</v>
      </c>
      <c r="R22" s="59">
        <f t="shared" si="0"/>
        <v>441.95569490825505</v>
      </c>
      <c r="S22" s="59">
        <f ca="1">AVERAGE(OFFSET($R$3,0,0,'Données projet'!$E$9+1,1))-AVERAGE(OFFSET($H$3,0,0,'Données projet'!$E$9+1,1))</f>
        <v>593.28343396240075</v>
      </c>
      <c r="T22" s="59">
        <f t="shared" si="34"/>
        <v>289.66477662068695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17.793333333333333</v>
      </c>
      <c r="AI22" s="13">
        <f>IF('Données projet'!$A$62&gt;35,AI21+AH22-AQ21,IF(A22&lt;'Données projet'!$A$62,$AF$205^A22,IF(A22='Données projet'!$A$62,'Données projet'!$B$62,AI21+AH22-AQ21)))</f>
        <v>118.03666666666666</v>
      </c>
      <c r="AJ22" s="13">
        <f>AI22*VLOOKUP('Données projet'!$B$10,Paramètres!$A$1:$I$89,3,0)*VLOOKUP('Données projet'!$B$10,Paramètres!$A$1:$I$89,5,0)</f>
        <v>70.585926666666666</v>
      </c>
      <c r="AK22" s="13">
        <f t="shared" si="35"/>
        <v>19.818893148924182</v>
      </c>
      <c r="AL22" s="20">
        <f t="shared" si="4"/>
        <v>157.45506117882073</v>
      </c>
      <c r="AM22" s="59">
        <f t="shared" si="5"/>
        <v>437.34395006770956</v>
      </c>
      <c r="AN22" s="59">
        <f ca="1">AVERAGE(OFFSET($AM$3,0,0,'Données projet'!$E$10+1,1))-AVERAGE(OFFSET($H$3,0,0,'Données projet'!$E$10+1,1))</f>
        <v>302.00825291248458</v>
      </c>
      <c r="AO22" s="59">
        <f t="shared" si="36"/>
        <v>307.35115839449355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6.9263214463412472</v>
      </c>
      <c r="AW22" s="21">
        <f>EXP(-LN(2)/2)*AW21+(1-EXP(-LN(2)/2))/(LN(2)/2)*AQ22*AT22*VLOOKUP('Données projet'!$B$10,Paramètres!$A$1:$I$89,3,0)*0.475*44/12</f>
        <v>6.9704862388149103</v>
      </c>
      <c r="AX22" s="21">
        <f t="shared" si="6"/>
        <v>13.896807685156158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5.8890909090909096</v>
      </c>
      <c r="BD22" s="12">
        <f>IF('Données projet'!$A$88&gt;35,BD21+BC22-BL21,IF(A22&lt;'Données projet'!$A$88,$BA$205^A22,IF(A22='Données projet'!$A$88,'Données projet'!$B$88,BD21+BC22-BL21)))</f>
        <v>66.743153171347927</v>
      </c>
      <c r="BE22" s="13">
        <f>BD22*VLOOKUP('Données projet'!$B$11,Paramètres!$A$1:$I$89,3,0)*VLOOKUP('Données projet'!$B$11,Paramètres!$A$1:$I$89,5,0)</f>
        <v>39.912405596466066</v>
      </c>
      <c r="BF22" s="13">
        <f t="shared" si="37"/>
        <v>11.975427038984135</v>
      </c>
      <c r="BG22" s="20">
        <f t="shared" si="7"/>
        <v>90.371308506742437</v>
      </c>
      <c r="BH22" s="59">
        <f t="shared" si="8"/>
        <v>370.26019739563128</v>
      </c>
      <c r="BI22" s="59">
        <f ca="1">AVERAGE(OFFSET($BH$3,0,0,'Données projet'!$E$11+1,1))-AVERAGE(OFFSET($H$3,0,0,'Données projet'!$E$11+1,1))</f>
        <v>349.71285006949597</v>
      </c>
      <c r="BJ22" s="59">
        <f t="shared" si="38"/>
        <v>258.51550516456842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3.3603333333333336</v>
      </c>
      <c r="N23" s="13">
        <f>IF('Données projet'!$A$36&gt;35,N22+M23-V22,IF(A23&lt;'Données projet'!$A$36,$K$205^A23,IF(A23='Données projet'!$A$36,'Données projet'!$B$36,N22+M23-V22)))</f>
        <v>67.206666666666706</v>
      </c>
      <c r="O23" s="13">
        <f>N23*VLOOKUP('Données projet'!$B$9,Paramètres!$A$1:$I$89,3,0)*VLOOKUP('Données projet'!$B$9,Paramètres!$A$1:$I$89,5,0)</f>
        <v>76.534952000000047</v>
      </c>
      <c r="P23" s="13">
        <f t="shared" si="33"/>
        <v>21.287790947541872</v>
      </c>
      <c r="Q23" s="20">
        <f t="shared" si="2"/>
        <v>170.37461063363551</v>
      </c>
      <c r="R23" s="59">
        <f t="shared" si="0"/>
        <v>451.48572174474668</v>
      </c>
      <c r="S23" s="59">
        <f ca="1">AVERAGE(OFFSET($R$3,0,0,'Données projet'!$E$9+1,1))-AVERAGE(OFFSET($H$3,0,0,'Données projet'!$E$9+1,1))</f>
        <v>593.28343396240075</v>
      </c>
      <c r="T23" s="59">
        <f t="shared" si="34"/>
        <v>289.66477662068695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17.793333333333333</v>
      </c>
      <c r="AI23" s="13">
        <f>IF('Données projet'!$A$62&gt;35,AI22+AH23-AQ22,IF(A23&lt;'Données projet'!$A$62,$AF$205^A23,IF(A23='Données projet'!$A$62,'Données projet'!$B$62,AI22+AH23-AQ22)))</f>
        <v>135.82999999999998</v>
      </c>
      <c r="AJ23" s="13">
        <f>AI23*VLOOKUP('Données projet'!$B$10,Paramètres!$A$1:$I$89,3,0)*VLOOKUP('Données projet'!$B$10,Paramètres!$A$1:$I$89,5,0)</f>
        <v>81.226339999999993</v>
      </c>
      <c r="AK23" s="13">
        <f t="shared" si="35"/>
        <v>22.43676463604092</v>
      </c>
      <c r="AL23" s="20">
        <f t="shared" si="4"/>
        <v>180.54657390777126</v>
      </c>
      <c r="AM23" s="59">
        <f t="shared" si="5"/>
        <v>461.65768501888238</v>
      </c>
      <c r="AN23" s="59">
        <f ca="1">AVERAGE(OFFSET($AM$3,0,0,'Données projet'!$E$10+1,1))-AVERAGE(OFFSET($H$3,0,0,'Données projet'!$E$10+1,1))</f>
        <v>302.00825291248458</v>
      </c>
      <c r="AO23" s="59">
        <f t="shared" si="36"/>
        <v>307.35115839449355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6.7369208221516317</v>
      </c>
      <c r="AW23" s="21">
        <f>EXP(-LN(2)/2)*AW22+(1-EXP(-LN(2)/2))/(LN(2)/2)*AQ23*AT23*VLOOKUP('Données projet'!$B$10,Paramètres!$A$1:$I$89,3,0)*0.475*44/12</f>
        <v>4.9288780876335361</v>
      </c>
      <c r="AX23" s="21">
        <f t="shared" si="6"/>
        <v>11.665798909785167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5.8890909090909096</v>
      </c>
      <c r="BD23" s="12">
        <f>IF('Données projet'!$A$88&gt;35,BD22+BC23-BL22,IF(A23&lt;'Données projet'!$A$88,$BA$205^A23,IF(A23='Données projet'!$A$88,'Données projet'!$B$88,BD22+BC23-BL22)))</f>
        <v>83.25841265260587</v>
      </c>
      <c r="BE23" s="13">
        <f>BD23*VLOOKUP('Données projet'!$B$11,Paramètres!$A$1:$I$89,3,0)*VLOOKUP('Données projet'!$B$11,Paramètres!$A$1:$I$89,5,0)</f>
        <v>49.788530766258319</v>
      </c>
      <c r="BF23" s="13">
        <f t="shared" si="37"/>
        <v>14.559133347501747</v>
      </c>
      <c r="BG23" s="20">
        <f t="shared" si="7"/>
        <v>112.07218166479875</v>
      </c>
      <c r="BH23" s="59">
        <f t="shared" si="8"/>
        <v>393.18329277590988</v>
      </c>
      <c r="BI23" s="59">
        <f ca="1">AVERAGE(OFFSET($BH$3,0,0,'Données projet'!$E$11+1,1))-AVERAGE(OFFSET($H$3,0,0,'Données projet'!$E$11+1,1))</f>
        <v>349.71285006949597</v>
      </c>
      <c r="BJ23" s="59">
        <f t="shared" si="38"/>
        <v>258.51550516456842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3.3603333333333336</v>
      </c>
      <c r="N24" s="13">
        <f>IF('Données projet'!$A$36&gt;35,N23+M24-V23,IF(A24&lt;'Données projet'!$A$36,$K$205^A24,IF(A24='Données projet'!$A$36,'Données projet'!$B$36,N23+M24-V23)))</f>
        <v>70.567000000000036</v>
      </c>
      <c r="O24" s="13">
        <f>N24*VLOOKUP('Données projet'!$B$9,Paramètres!$A$1:$I$89,3,0)*VLOOKUP('Données projet'!$B$9,Paramètres!$A$1:$I$89,5,0)</f>
        <v>80.361699600000037</v>
      </c>
      <c r="P24" s="13">
        <f t="shared" si="33"/>
        <v>22.225598329176997</v>
      </c>
      <c r="Q24" s="20">
        <f t="shared" si="2"/>
        <v>178.67287722665</v>
      </c>
      <c r="R24" s="59">
        <f t="shared" si="0"/>
        <v>461.00621055998329</v>
      </c>
      <c r="S24" s="59">
        <f ca="1">AVERAGE(OFFSET($R$3,0,0,'Données projet'!$E$9+1,1))-AVERAGE(OFFSET($H$3,0,0,'Données projet'!$E$9+1,1))</f>
        <v>593.28343396240075</v>
      </c>
      <c r="T24" s="59">
        <f t="shared" si="34"/>
        <v>289.66477662068695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17.793333333333333</v>
      </c>
      <c r="AI24" s="13">
        <f>IF('Données projet'!$A$62&gt;35,AI23+AH24-AQ23,IF(A24&lt;'Données projet'!$A$62,$AF$205^A24,IF(A24='Données projet'!$A$62,'Données projet'!$B$62,AI23+AH24-AQ23)))</f>
        <v>153.62333333333331</v>
      </c>
      <c r="AJ24" s="13">
        <f>AI24*VLOOKUP('Données projet'!$B$10,Paramètres!$A$1:$I$89,3,0)*VLOOKUP('Données projet'!$B$10,Paramètres!$A$1:$I$89,5,0)</f>
        <v>91.866753333333321</v>
      </c>
      <c r="AK24" s="13">
        <f t="shared" si="35"/>
        <v>25.014901610216608</v>
      </c>
      <c r="AL24" s="20">
        <f t="shared" si="4"/>
        <v>203.56888236001612</v>
      </c>
      <c r="AM24" s="59">
        <f t="shared" si="5"/>
        <v>485.90221569334943</v>
      </c>
      <c r="AN24" s="59">
        <f ca="1">AVERAGE(OFFSET($AM$3,0,0,'Données projet'!$E$10+1,1))-AVERAGE(OFFSET($H$3,0,0,'Données projet'!$E$10+1,1))</f>
        <v>302.00825291248458</v>
      </c>
      <c r="AO24" s="59">
        <f t="shared" si="36"/>
        <v>307.35115839449355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6.5526993679906269</v>
      </c>
      <c r="AW24" s="21">
        <f>EXP(-LN(2)/2)*AW23+(1-EXP(-LN(2)/2))/(LN(2)/2)*AQ24*AT24*VLOOKUP('Données projet'!$B$10,Paramètres!$A$1:$I$89,3,0)*0.475*44/12</f>
        <v>3.485243119407456</v>
      </c>
      <c r="AX24" s="21">
        <f t="shared" si="6"/>
        <v>10.037942487398084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5.8890909090909096</v>
      </c>
      <c r="BD24" s="12">
        <f>IF('Données projet'!$A$88&gt;35,BD23+BC24-BL23,IF(A24&lt;'Données projet'!$A$88,$BA$205^A24,IF(A24='Données projet'!$A$88,'Données projet'!$B$88,BD23+BC24-BL23)))</f>
        <v>103.86029050253822</v>
      </c>
      <c r="BE24" s="13">
        <f>BD24*VLOOKUP('Données projet'!$B$11,Paramètres!$A$1:$I$89,3,0)*VLOOKUP('Données projet'!$B$11,Paramètres!$A$1:$I$89,5,0)</f>
        <v>62.108453720517858</v>
      </c>
      <c r="BF24" s="13">
        <f t="shared" si="37"/>
        <v>17.700276001875135</v>
      </c>
      <c r="BG24" s="20">
        <f t="shared" si="7"/>
        <v>139.00020426650113</v>
      </c>
      <c r="BH24" s="59">
        <f t="shared" si="8"/>
        <v>421.33353759983447</v>
      </c>
      <c r="BI24" s="59">
        <f ca="1">AVERAGE(OFFSET($BH$3,0,0,'Données projet'!$E$11+1,1))-AVERAGE(OFFSET($H$3,0,0,'Données projet'!$E$11+1,1))</f>
        <v>349.71285006949597</v>
      </c>
      <c r="BJ24" s="59">
        <f t="shared" si="38"/>
        <v>258.51550516456842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3.3603333333333336</v>
      </c>
      <c r="N25" s="13">
        <f>IF('Données projet'!$A$36&gt;35,N24+M25-V24,IF(A25&lt;'Données projet'!$A$36,$K$205^A25,IF(A25='Données projet'!$A$36,'Données projet'!$B$36,N24+M25-V24)))</f>
        <v>73.927333333333365</v>
      </c>
      <c r="O25" s="13">
        <f>N25*VLOOKUP('Données projet'!$B$9,Paramètres!$A$1:$I$89,3,0)*VLOOKUP('Données projet'!$B$9,Paramètres!$A$1:$I$89,5,0)</f>
        <v>84.188447200000041</v>
      </c>
      <c r="P25" s="13">
        <f t="shared" si="33"/>
        <v>23.158219888807942</v>
      </c>
      <c r="Q25" s="20">
        <f t="shared" si="2"/>
        <v>186.96211184634055</v>
      </c>
      <c r="R25" s="59">
        <f t="shared" si="0"/>
        <v>470.51766740189612</v>
      </c>
      <c r="S25" s="59">
        <f ca="1">AVERAGE(OFFSET($R$3,0,0,'Données projet'!$E$9+1,1))-AVERAGE(OFFSET($H$3,0,0,'Données projet'!$E$9+1,1))</f>
        <v>593.28343396240075</v>
      </c>
      <c r="T25" s="59">
        <f t="shared" si="34"/>
        <v>289.66477662068695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17.793333333333333</v>
      </c>
      <c r="AI25" s="13">
        <f>IF('Données projet'!$A$62&gt;35,AI24+AH25-AQ24,IF(A25&lt;'Données projet'!$A$62,$AF$205^A25,IF(A25='Données projet'!$A$62,'Données projet'!$B$62,AI24+AH25-AQ24)))</f>
        <v>171.41666666666663</v>
      </c>
      <c r="AJ25" s="13">
        <f>AI25*VLOOKUP('Données projet'!$B$10,Paramètres!$A$1:$I$89,3,0)*VLOOKUP('Données projet'!$B$10,Paramètres!$A$1:$I$89,5,0)</f>
        <v>102.50716666666666</v>
      </c>
      <c r="AK25" s="13">
        <f t="shared" si="35"/>
        <v>27.558431899391174</v>
      </c>
      <c r="AL25" s="20">
        <f t="shared" si="4"/>
        <v>226.53091750255075</v>
      </c>
      <c r="AM25" s="59">
        <f t="shared" si="5"/>
        <v>510.08647305810632</v>
      </c>
      <c r="AN25" s="59">
        <f ca="1">AVERAGE(OFFSET($AM$3,0,0,'Données projet'!$E$10+1,1))-AVERAGE(OFFSET($H$3,0,0,'Données projet'!$E$10+1,1))</f>
        <v>302.00825291248458</v>
      </c>
      <c r="AO25" s="59">
        <f t="shared" si="36"/>
        <v>307.35115839449355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6.3735154591814398</v>
      </c>
      <c r="AW25" s="21">
        <f>EXP(-LN(2)/2)*AW24+(1-EXP(-LN(2)/2))/(LN(2)/2)*AQ25*AT25*VLOOKUP('Données projet'!$B$10,Paramètres!$A$1:$I$89,3,0)*0.475*44/12</f>
        <v>2.4644390438167685</v>
      </c>
      <c r="AX25" s="21">
        <f t="shared" si="6"/>
        <v>8.8379545029982083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>
        <f>VLOOKUP(A25,'Données projet'!$A$87:$I$107,2,0)</f>
        <v>129.56</v>
      </c>
      <c r="BB25" s="12">
        <f>VLOOKUP(A25,'Données projet'!$A$87:$I$107,9,0)</f>
        <v>5.8890909090909096</v>
      </c>
      <c r="BC25" s="12">
        <f t="array" ref="BC25">INDEX(BB:BB,MIN(IF(ISNUMBER(BB25:BB221),ROW(BB25:BB221),"")))</f>
        <v>5.8890909090909096</v>
      </c>
      <c r="BD25" s="12">
        <f>IF('Données projet'!$A$88&gt;35,BD24+BC25-BL24,IF(A25&lt;'Données projet'!$A$88,$BA$205^A25,IF(A25='Données projet'!$A$88,'Données projet'!$B$88,BD24+BC25-BL24)))</f>
        <v>129.56</v>
      </c>
      <c r="BE25" s="13">
        <f>BD25*VLOOKUP('Données projet'!$B$11,Paramètres!$A$1:$I$89,3,0)*VLOOKUP('Données projet'!$B$11,Paramètres!$A$1:$I$89,5,0)</f>
        <v>77.476880000000008</v>
      </c>
      <c r="BF25" s="13">
        <f t="shared" si="37"/>
        <v>21.519122262611628</v>
      </c>
      <c r="BG25" s="20">
        <f t="shared" si="7"/>
        <v>172.4180372740486</v>
      </c>
      <c r="BH25" s="59">
        <f t="shared" si="8"/>
        <v>455.97359282960417</v>
      </c>
      <c r="BI25" s="59">
        <f ca="1">AVERAGE(OFFSET($BH$3,0,0,'Données projet'!$E$11+1,1))-AVERAGE(OFFSET($H$3,0,0,'Données projet'!$E$11+1,1))</f>
        <v>349.71285006949597</v>
      </c>
      <c r="BJ25" s="59">
        <f t="shared" si="38"/>
        <v>258.51550516456842</v>
      </c>
      <c r="BK25" s="15">
        <f>IF(ISNA(VLOOKUP(A25,'Données projet'!$A$87:$I$107,3,0)),0,VLOOKUP(A25,'Données projet'!$A$87:$I$107,3,0))</f>
        <v>1</v>
      </c>
      <c r="BL25" s="15">
        <f>IF(ISNA(VLOOKUP(A25,'Données projet'!$A$87:$I$107,4,0)),0,VLOOKUP(A25,'Données projet'!$A$87:$I$107,4,0))</f>
        <v>52.620000000000005</v>
      </c>
      <c r="BM25" s="16">
        <f>IF(ISNA(VLOOKUP(A25,'Données projet'!$A$87:$I$107,5,0)),0%,VLOOKUP(A25,'Données projet'!$A$87:$I$107,5,0)*VLOOKUP('Données projet'!$B$11,Paramètres!$A$1:$I$89,7,0))</f>
        <v>0.1125</v>
      </c>
      <c r="BN25" s="16">
        <f>IF(ISNA(VLOOKUP(A25,'Données projet'!$A$87:$I$107,6,0)),0%,VLOOKUP(A25,'Données projet'!$A$87:$I$107,6,0)*VLOOKUP('Données projet'!$B$11,Paramètres!$A$1:$I$89,7,0))</f>
        <v>0.16650000000000001</v>
      </c>
      <c r="BO25" s="16">
        <f>IF(ISNA(VLOOKUP(A25,'Données projet'!$A$87:$I$107,7,0)),0%,VLOOKUP(A25,'Données projet'!$A$87:$I$107,7,0))</f>
        <v>0.38</v>
      </c>
      <c r="BP25" s="21">
        <f>EXP(-LN(2)/35)*BP24+(1-EXP(-LN(2)/35))/(LN(2)/35)*BL25*BM25*VLOOKUP('Données projet'!$B$11,Paramètres!$A$1:$I$89,3,0)*0.475*44/12</f>
        <v>4.6960521011827554</v>
      </c>
      <c r="BQ25" s="21">
        <f>EXP(-LN(2)/25)*BQ24+(1-EXP(-LN(2)/25))/(LN(2)/25)*Calculateur!BL25*Calculateur!BN25*VLOOKUP('Données projet'!$B$11,Paramètres!$A$1:$I$89,3,0)*0.475*44/12</f>
        <v>6.9227916929919147</v>
      </c>
      <c r="BR25" s="21">
        <f>EXP(-LN(2)/2)*BR24+(1-EXP(-LN(2)/2))/(LN(2)/2)*BL25*BO25*VLOOKUP('Données projet'!$B$11,Paramètres!$A$1:$I$89,3,0)*0.475*44/12</f>
        <v>13.538519148795281</v>
      </c>
      <c r="BS25" s="22">
        <f t="shared" si="9"/>
        <v>25.15736294296995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3.3603333333333336</v>
      </c>
      <c r="N26" s="13">
        <f>IF('Données projet'!$A$36&gt;35,N25+M26-V25,IF(A26&lt;'Données projet'!$A$36,$K$205^A26,IF(A26='Données projet'!$A$36,'Données projet'!$B$36,N25+M26-V25)))</f>
        <v>77.287666666666695</v>
      </c>
      <c r="O26" s="13">
        <f>N26*VLOOKUP('Données projet'!$B$9,Paramètres!$A$1:$I$89,3,0)*VLOOKUP('Données projet'!$B$9,Paramètres!$A$1:$I$89,5,0)</f>
        <v>88.015194800000032</v>
      </c>
      <c r="P26" s="13">
        <f t="shared" si="33"/>
        <v>24.085918273201479</v>
      </c>
      <c r="Q26" s="20">
        <f t="shared" si="2"/>
        <v>195.24277193582597</v>
      </c>
      <c r="R26" s="59">
        <f t="shared" si="0"/>
        <v>480.02054971360371</v>
      </c>
      <c r="S26" s="59">
        <f ca="1">AVERAGE(OFFSET($R$3,0,0,'Données projet'!$E$9+1,1))-AVERAGE(OFFSET($H$3,0,0,'Données projet'!$E$9+1,1))</f>
        <v>593.28343396240075</v>
      </c>
      <c r="T26" s="59">
        <f t="shared" si="34"/>
        <v>289.66477662068695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>
        <f>VLOOKUP(A26,'Données projet'!$A$61:$I$81,2,0)</f>
        <v>189.21</v>
      </c>
      <c r="AG26" s="12">
        <f>VLOOKUP(A26,'Données projet'!$A$61:$I$81,9,0)</f>
        <v>17.793333333333333</v>
      </c>
      <c r="AH26" s="12">
        <f t="array" ref="AH26">INDEX(AG:AG,MIN(IF(ISNUMBER(AG26:AG222),ROW(AG26:AG222),"")))</f>
        <v>17.793333333333333</v>
      </c>
      <c r="AI26" s="13">
        <f>IF('Données projet'!$A$62&gt;35,AI25+AH26-AQ25,IF(A26&lt;'Données projet'!$A$62,$AF$205^A26,IF(A26='Données projet'!$A$62,'Données projet'!$B$62,AI25+AH26-AQ25)))</f>
        <v>189.20999999999995</v>
      </c>
      <c r="AJ26" s="13">
        <f>AI26*VLOOKUP('Données projet'!$B$10,Paramètres!$A$1:$I$89,3,0)*VLOOKUP('Données projet'!$B$10,Paramètres!$A$1:$I$89,5,0)</f>
        <v>113.14757999999998</v>
      </c>
      <c r="AK26" s="13">
        <f t="shared" si="35"/>
        <v>30.071356907423628</v>
      </c>
      <c r="AL26" s="20">
        <f t="shared" si="4"/>
        <v>249.43964844709606</v>
      </c>
      <c r="AM26" s="59">
        <f t="shared" si="5"/>
        <v>534.21742622487386</v>
      </c>
      <c r="AN26" s="59">
        <f ca="1">AVERAGE(OFFSET($AM$3,0,0,'Données projet'!$E$10+1,1))-AVERAGE(OFFSET($H$3,0,0,'Données projet'!$E$10+1,1))</f>
        <v>302.00825291248458</v>
      </c>
      <c r="AO26" s="59">
        <f t="shared" si="36"/>
        <v>307.35115839449355</v>
      </c>
      <c r="AP26" s="15">
        <f>IF(ISNA(VLOOKUP(A26,'Données projet'!$A$61:$I$81,3,0)),0,VLOOKUP(A26,'Données projet'!$A$61:$I$81,3,0))</f>
        <v>2</v>
      </c>
      <c r="AQ26" s="15">
        <f>IF(ISNA(VLOOKUP(A26,'Données projet'!$A$61:$I$81,4,0)),0,VLOOKUP(A26,'Données projet'!$A$61:$I$81,4,0))</f>
        <v>58.370000000000005</v>
      </c>
      <c r="AR26" s="16">
        <f>IF(ISNA(VLOOKUP(A26,'Données projet'!$A$61:$I$81,5,0)),0%,VLOOKUP(A26,'Données projet'!$A$61:$I$81,5,0)*VLOOKUP('Données projet'!$B$10,Paramètres!$A$1:$I$89,7,0))</f>
        <v>0.1125</v>
      </c>
      <c r="AS26" s="16">
        <f>IF(ISNA(VLOOKUP(A26,'Données projet'!$A$61:$I$81,6,0)),0%,VLOOKUP(A26,'Données projet'!$A$61:$I$81,6,0)*VLOOKUP('Données projet'!$B$10,Paramètres!$A$1:$I$89,7,0))</f>
        <v>0.16650000000000001</v>
      </c>
      <c r="AT26" s="16">
        <f>IF(ISNA(VLOOKUP(A26,'Données projet'!$A$61:$I$81,7,0)),0%,VLOOKUP(A26,'Données projet'!$A$61:$I$81,7,0))</f>
        <v>0.38</v>
      </c>
      <c r="AU26" s="21">
        <f>EXP(-LN(2)/35)*AU25+(1-EXP(-LN(2)/35))/(LN(2)/35)*AQ26*AR26*VLOOKUP('Données projet'!$B$10,Paramètres!$A$1:$I$89,3,0)*0.475*44/12</f>
        <v>5.2092086876860018</v>
      </c>
      <c r="AV26" s="21">
        <f>EXP(-LN(2)/25)*AV25+(1-EXP(-LN(2)/25))/(LN(2)/25)*Calculateur!AQ26*Calculateur!AS26*VLOOKUP('Données projet'!$B$10,Paramètres!$A$1:$I$89,3,0)*0.475*44/12</f>
        <v>13.878504455144835</v>
      </c>
      <c r="AW26" s="21">
        <f>EXP(-LN(2)/2)*AW25+(1-EXP(-LN(2)/2))/(LN(2)/2)*AQ26*AT26*VLOOKUP('Données projet'!$B$10,Paramètres!$A$1:$I$89,3,0)*0.475*44/12</f>
        <v>16.760549395416017</v>
      </c>
      <c r="AX26" s="21">
        <f t="shared" si="6"/>
        <v>35.848262538246857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15.782</v>
      </c>
      <c r="BD26" s="12">
        <f>IF('Données projet'!$A$88&gt;35,BD25+BC26-BL25,IF(A26&lt;'Données projet'!$A$88,$BA$205^A26,IF(A26='Données projet'!$A$88,'Données projet'!$B$88,BD25+BC26-BL25)))</f>
        <v>92.722000000000008</v>
      </c>
      <c r="BE26" s="13">
        <f>BD26*VLOOKUP('Données projet'!$B$11,Paramètres!$A$1:$I$89,3,0)*VLOOKUP('Données projet'!$B$11,Paramètres!$A$1:$I$89,5,0)</f>
        <v>55.447756000000005</v>
      </c>
      <c r="BF26" s="13">
        <f t="shared" si="37"/>
        <v>16.012087139856263</v>
      </c>
      <c r="BG26" s="20">
        <f t="shared" si="7"/>
        <v>124.45922680191636</v>
      </c>
      <c r="BH26" s="59">
        <f t="shared" si="8"/>
        <v>409.23700457969414</v>
      </c>
      <c r="BI26" s="59">
        <f ca="1">AVERAGE(OFFSET($BH$3,0,0,'Données projet'!$E$11+1,1))-AVERAGE(OFFSET($H$3,0,0,'Données projet'!$E$11+1,1))</f>
        <v>349.71285006949597</v>
      </c>
      <c r="BJ26" s="59">
        <f t="shared" si="38"/>
        <v>258.51550516456842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4.6039653837875161</v>
      </c>
      <c r="BQ26" s="21">
        <f>EXP(-LN(2)/25)*BQ25+(1-EXP(-LN(2)/25))/(LN(2)/25)*Calculateur!BL26*Calculateur!BN26*VLOOKUP('Données projet'!$B$11,Paramètres!$A$1:$I$89,3,0)*0.475*44/12</f>
        <v>6.733487590093258</v>
      </c>
      <c r="BR26" s="21">
        <f>EXP(-LN(2)/2)*BR25+(1-EXP(-LN(2)/2))/(LN(2)/2)*BL26*BO26*VLOOKUP('Données projet'!$B$11,Paramètres!$A$1:$I$89,3,0)*0.475*44/12</f>
        <v>9.5731786973370685</v>
      </c>
      <c r="BS26" s="22">
        <f t="shared" si="9"/>
        <v>20.910631671217843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3.3603333333333336</v>
      </c>
      <c r="N27" s="13">
        <f>IF('Données projet'!$A$36&gt;35,N26+M27-V26,IF(A27&lt;'Données projet'!$A$36,$K$205^A27,IF(A27='Données projet'!$A$36,'Données projet'!$B$36,N26+M27-V26)))</f>
        <v>80.648000000000025</v>
      </c>
      <c r="O27" s="13">
        <f>N27*VLOOKUP('Données projet'!$B$9,Paramètres!$A$1:$I$89,3,0)*VLOOKUP('Données projet'!$B$9,Paramètres!$A$1:$I$89,5,0)</f>
        <v>91.841942400000036</v>
      </c>
      <c r="P27" s="13">
        <f t="shared" si="33"/>
        <v>25.008931998737175</v>
      </c>
      <c r="Q27" s="20">
        <f t="shared" si="2"/>
        <v>203.51527291113393</v>
      </c>
      <c r="R27" s="59">
        <f t="shared" si="0"/>
        <v>489.51527291113393</v>
      </c>
      <c r="S27" s="59">
        <f ca="1">AVERAGE(OFFSET($R$3,0,0,'Données projet'!$E$9+1,1))-AVERAGE(OFFSET($H$3,0,0,'Données projet'!$E$9+1,1))</f>
        <v>593.28343396240075</v>
      </c>
      <c r="T27" s="59">
        <f t="shared" si="34"/>
        <v>289.66477662068695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18.678333333333331</v>
      </c>
      <c r="AI27" s="13">
        <f>IF('Données projet'!$A$62&gt;35,AI26+AH27-AQ26,IF(A27&lt;'Données projet'!$A$62,$AF$205^A27,IF(A27='Données projet'!$A$62,'Données projet'!$B$62,AI26+AH27-AQ26)))</f>
        <v>149.51833333333329</v>
      </c>
      <c r="AJ27" s="13">
        <f>AI27*VLOOKUP('Données projet'!$B$10,Paramètres!$A$1:$I$89,3,0)*VLOOKUP('Données projet'!$B$10,Paramètres!$A$1:$I$89,5,0)</f>
        <v>89.411963333333304</v>
      </c>
      <c r="AK27" s="13">
        <f t="shared" si="35"/>
        <v>24.423350649115033</v>
      </c>
      <c r="AL27" s="20">
        <f t="shared" si="4"/>
        <v>198.2631718527642</v>
      </c>
      <c r="AM27" s="59">
        <f t="shared" si="5"/>
        <v>484.26317185276423</v>
      </c>
      <c r="AN27" s="59">
        <f ca="1">AVERAGE(OFFSET($AM$3,0,0,'Données projet'!$E$10+1,1))-AVERAGE(OFFSET($H$3,0,0,'Données projet'!$E$10+1,1))</f>
        <v>302.00825291248458</v>
      </c>
      <c r="AO27" s="59">
        <f t="shared" si="36"/>
        <v>307.35115839449355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5.1070592826240464</v>
      </c>
      <c r="AV27" s="21">
        <f>EXP(-LN(2)/25)*AV26+(1-EXP(-LN(2)/25))/(LN(2)/25)*Calculateur!AQ27*Calculateur!AS27*VLOOKUP('Données projet'!$B$10,Paramètres!$A$1:$I$89,3,0)*0.475*44/12</f>
        <v>13.498996020980069</v>
      </c>
      <c r="AW27" s="21">
        <f>EXP(-LN(2)/2)*AW26+(1-EXP(-LN(2)/2))/(LN(2)/2)*AQ27*AT27*VLOOKUP('Données projet'!$B$10,Paramètres!$A$1:$I$89,3,0)*0.475*44/12</f>
        <v>11.851498133910756</v>
      </c>
      <c r="AX27" s="21">
        <f t="shared" si="6"/>
        <v>30.457553437514871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15.782</v>
      </c>
      <c r="BD27" s="12">
        <f>IF('Données projet'!$A$88&gt;35,BD26+BC27-BL26,IF(A27&lt;'Données projet'!$A$88,$BA$205^A27,IF(A27='Données projet'!$A$88,'Données projet'!$B$88,BD26+BC27-BL26)))</f>
        <v>108.504</v>
      </c>
      <c r="BE27" s="13">
        <f>BD27*VLOOKUP('Données projet'!$B$11,Paramètres!$A$1:$I$89,3,0)*VLOOKUP('Données projet'!$B$11,Paramètres!$A$1:$I$89,5,0)</f>
        <v>64.88539200000001</v>
      </c>
      <c r="BF27" s="13">
        <f t="shared" si="37"/>
        <v>18.397766162676771</v>
      </c>
      <c r="BG27" s="20">
        <f t="shared" si="7"/>
        <v>145.05150046666205</v>
      </c>
      <c r="BH27" s="59">
        <f t="shared" si="8"/>
        <v>431.05150046666205</v>
      </c>
      <c r="BI27" s="59">
        <f ca="1">AVERAGE(OFFSET($BH$3,0,0,'Données projet'!$E$11+1,1))-AVERAGE(OFFSET($H$3,0,0,'Données projet'!$E$11+1,1))</f>
        <v>349.71285006949597</v>
      </c>
      <c r="BJ27" s="59">
        <f t="shared" si="38"/>
        <v>258.51550516456842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4.5136844307530462</v>
      </c>
      <c r="BQ27" s="21">
        <f>EXP(-LN(2)/25)*BQ26+(1-EXP(-LN(2)/25))/(LN(2)/25)*Calculateur!BL27*Calculateur!BN27*VLOOKUP('Données projet'!$B$11,Paramètres!$A$1:$I$89,3,0)*0.475*44/12</f>
        <v>6.5493600178434352</v>
      </c>
      <c r="BR27" s="21">
        <f>EXP(-LN(2)/2)*BR26+(1-EXP(-LN(2)/2))/(LN(2)/2)*BL27*BO27*VLOOKUP('Données projet'!$B$11,Paramètres!$A$1:$I$89,3,0)*0.475*44/12</f>
        <v>6.7692595743976414</v>
      </c>
      <c r="BS27" s="22">
        <f t="shared" si="9"/>
        <v>17.832304022994123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3.3603333333333336</v>
      </c>
      <c r="N28" s="13">
        <f>IF('Données projet'!$A$36&gt;35,N27+M28-V27,IF(A28&lt;'Données projet'!$A$36,$K$205^A28,IF(A28='Données projet'!$A$36,'Données projet'!$B$36,N27+M28-V27)))</f>
        <v>84.008333333333354</v>
      </c>
      <c r="O28" s="13">
        <f>N28*VLOOKUP('Données projet'!$B$9,Paramètres!$A$1:$I$89,3,0)*VLOOKUP('Données projet'!$B$9,Paramètres!$A$1:$I$89,5,0)</f>
        <v>95.668690000000026</v>
      </c>
      <c r="P28" s="13">
        <f t="shared" si="33"/>
        <v>25.927478580905699</v>
      </c>
      <c r="Q28" s="20">
        <f t="shared" si="2"/>
        <v>211.77999361174412</v>
      </c>
      <c r="R28" s="59">
        <f t="shared" si="0"/>
        <v>499.00221583396637</v>
      </c>
      <c r="S28" s="59">
        <f ca="1">AVERAGE(OFFSET($R$3,0,0,'Données projet'!$E$9+1,1))-AVERAGE(OFFSET($H$3,0,0,'Données projet'!$E$9+1,1))</f>
        <v>593.28343396240075</v>
      </c>
      <c r="T28" s="59">
        <f t="shared" si="34"/>
        <v>289.66477662068695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18.678333333333331</v>
      </c>
      <c r="AI28" s="13">
        <f>IF('Données projet'!$A$62&gt;35,AI27+AH28-AQ27,IF(A28&lt;'Données projet'!$A$62,$AF$205^A28,IF(A28='Données projet'!$A$62,'Données projet'!$B$62,AI27+AH28-AQ27)))</f>
        <v>168.19666666666663</v>
      </c>
      <c r="AJ28" s="13">
        <f>AI28*VLOOKUP('Données projet'!$B$10,Paramètres!$A$1:$I$89,3,0)*VLOOKUP('Données projet'!$B$10,Paramètres!$A$1:$I$89,5,0)</f>
        <v>100.58160666666666</v>
      </c>
      <c r="AK28" s="13">
        <f t="shared" si="35"/>
        <v>27.100510515925464</v>
      </c>
      <c r="AL28" s="20">
        <f t="shared" si="4"/>
        <v>222.37968742634794</v>
      </c>
      <c r="AM28" s="59">
        <f t="shared" si="5"/>
        <v>509.6019096485702</v>
      </c>
      <c r="AN28" s="59">
        <f ca="1">AVERAGE(OFFSET($AM$3,0,0,'Données projet'!$E$10+1,1))-AVERAGE(OFFSET($H$3,0,0,'Données projet'!$E$10+1,1))</f>
        <v>302.00825291248458</v>
      </c>
      <c r="AO28" s="59">
        <f t="shared" si="36"/>
        <v>307.35115839449355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5.006912965090371</v>
      </c>
      <c r="AV28" s="21">
        <f>EXP(-LN(2)/25)*AV27+(1-EXP(-LN(2)/25))/(LN(2)/25)*Calculateur!AQ28*Calculateur!AS28*VLOOKUP('Données projet'!$B$10,Paramètres!$A$1:$I$89,3,0)*0.475*44/12</f>
        <v>13.129865264905021</v>
      </c>
      <c r="AW28" s="21">
        <f>EXP(-LN(2)/2)*AW27+(1-EXP(-LN(2)/2))/(LN(2)/2)*AQ28*AT28*VLOOKUP('Données projet'!$B$10,Paramètres!$A$1:$I$89,3,0)*0.475*44/12</f>
        <v>8.3802746977080105</v>
      </c>
      <c r="AX28" s="21">
        <f t="shared" si="6"/>
        <v>26.517052927703403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15.782</v>
      </c>
      <c r="BD28" s="12">
        <f>IF('Données projet'!$A$88&gt;35,BD27+BC28-BL27,IF(A28&lt;'Données projet'!$A$88,$BA$205^A28,IF(A28='Données projet'!$A$88,'Données projet'!$B$88,BD27+BC28-BL27)))</f>
        <v>124.286</v>
      </c>
      <c r="BE28" s="13">
        <f>BD28*VLOOKUP('Données projet'!$B$11,Paramètres!$A$1:$I$89,3,0)*VLOOKUP('Données projet'!$B$11,Paramètres!$A$1:$I$89,5,0)</f>
        <v>74.323028000000008</v>
      </c>
      <c r="BF28" s="13">
        <f t="shared" si="37"/>
        <v>20.743244990540482</v>
      </c>
      <c r="BG28" s="20">
        <f t="shared" si="7"/>
        <v>165.57375879185801</v>
      </c>
      <c r="BH28" s="59">
        <f t="shared" si="8"/>
        <v>452.79598101408021</v>
      </c>
      <c r="BI28" s="59">
        <f ca="1">AVERAGE(OFFSET($BH$3,0,0,'Données projet'!$E$11+1,1))-AVERAGE(OFFSET($H$3,0,0,'Données projet'!$E$11+1,1))</f>
        <v>349.71285006949597</v>
      </c>
      <c r="BJ28" s="59">
        <f t="shared" si="38"/>
        <v>258.51550516456842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4.4251738321416383</v>
      </c>
      <c r="BQ28" s="21">
        <f>EXP(-LN(2)/25)*BQ27+(1-EXP(-LN(2)/25))/(LN(2)/25)*Calculateur!BL28*Calculateur!BN28*VLOOKUP('Données projet'!$B$11,Paramètres!$A$1:$I$89,3,0)*0.475*44/12</f>
        <v>6.370267423739632</v>
      </c>
      <c r="BR28" s="21">
        <f>EXP(-LN(2)/2)*BR27+(1-EXP(-LN(2)/2))/(LN(2)/2)*BL28*BO28*VLOOKUP('Données projet'!$B$11,Paramètres!$A$1:$I$89,3,0)*0.475*44/12</f>
        <v>4.7865893486685351</v>
      </c>
      <c r="BS28" s="22">
        <f t="shared" si="9"/>
        <v>15.582030604549805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3.3603333333333336</v>
      </c>
      <c r="N29" s="13">
        <f>IF('Données projet'!$A$36&gt;35,N28+M29-V28,IF(A29&lt;'Données projet'!$A$36,$K$205^A29,IF(A29='Données projet'!$A$36,'Données projet'!$B$36,N28+M29-V28)))</f>
        <v>87.368666666666684</v>
      </c>
      <c r="O29" s="13">
        <f>N29*VLOOKUP('Données projet'!$B$9,Paramètres!$A$1:$I$89,3,0)*VLOOKUP('Données projet'!$B$9,Paramètres!$A$1:$I$89,5,0)</f>
        <v>99.495437600000017</v>
      </c>
      <c r="P29" s="13">
        <f t="shared" si="33"/>
        <v>26.84175714899277</v>
      </c>
      <c r="Q29" s="20">
        <f t="shared" si="2"/>
        <v>220.03728085449575</v>
      </c>
      <c r="R29" s="59">
        <f t="shared" si="0"/>
        <v>508.4817252989402</v>
      </c>
      <c r="S29" s="59">
        <f ca="1">AVERAGE(OFFSET($R$3,0,0,'Données projet'!$E$9+1,1))-AVERAGE(OFFSET($H$3,0,0,'Données projet'!$E$9+1,1))</f>
        <v>593.28343396240075</v>
      </c>
      <c r="T29" s="59">
        <f t="shared" si="34"/>
        <v>289.66477662068695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18.678333333333331</v>
      </c>
      <c r="AI29" s="13">
        <f>IF('Données projet'!$A$62&gt;35,AI28+AH29-AQ28,IF(A29&lt;'Données projet'!$A$62,$AF$205^A29,IF(A29='Données projet'!$A$62,'Données projet'!$B$62,AI28+AH29-AQ28)))</f>
        <v>186.87499999999997</v>
      </c>
      <c r="AJ29" s="13">
        <f>AI29*VLOOKUP('Données projet'!$B$10,Paramètres!$A$1:$I$89,3,0)*VLOOKUP('Données projet'!$B$10,Paramètres!$A$1:$I$89,5,0)</f>
        <v>111.75125</v>
      </c>
      <c r="AK29" s="13">
        <f t="shared" si="35"/>
        <v>29.743212667393731</v>
      </c>
      <c r="AL29" s="20">
        <f t="shared" si="4"/>
        <v>246.4361891457107</v>
      </c>
      <c r="AM29" s="59">
        <f t="shared" si="5"/>
        <v>534.88063359015518</v>
      </c>
      <c r="AN29" s="59">
        <f ca="1">AVERAGE(OFFSET($AM$3,0,0,'Données projet'!$E$10+1,1))-AVERAGE(OFFSET($H$3,0,0,'Données projet'!$E$10+1,1))</f>
        <v>302.00825291248458</v>
      </c>
      <c r="AO29" s="59">
        <f t="shared" si="36"/>
        <v>307.35115839449355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4.908730455760308</v>
      </c>
      <c r="AV29" s="21">
        <f>EXP(-LN(2)/25)*AV28+(1-EXP(-LN(2)/25))/(LN(2)/25)*Calculateur!AQ29*Calculateur!AS29*VLOOKUP('Données projet'!$B$10,Paramètres!$A$1:$I$89,3,0)*0.475*44/12</f>
        <v>12.770828408766588</v>
      </c>
      <c r="AW29" s="21">
        <f>EXP(-LN(2)/2)*AW28+(1-EXP(-LN(2)/2))/(LN(2)/2)*AQ29*AT29*VLOOKUP('Données projet'!$B$10,Paramètres!$A$1:$I$89,3,0)*0.475*44/12</f>
        <v>5.9257490669553796</v>
      </c>
      <c r="AX29" s="21">
        <f t="shared" si="6"/>
        <v>23.605307931482276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15.782</v>
      </c>
      <c r="BD29" s="12">
        <f>IF('Données projet'!$A$88&gt;35,BD28+BC29-BL28,IF(A29&lt;'Données projet'!$A$88,$BA$205^A29,IF(A29='Données projet'!$A$88,'Données projet'!$B$88,BD28+BC29-BL28)))</f>
        <v>140.06800000000001</v>
      </c>
      <c r="BE29" s="13">
        <f>BD29*VLOOKUP('Données projet'!$B$11,Paramètres!$A$1:$I$89,3,0)*VLOOKUP('Données projet'!$B$11,Paramètres!$A$1:$I$89,5,0)</f>
        <v>83.76066400000002</v>
      </c>
      <c r="BF29" s="13">
        <f t="shared" si="37"/>
        <v>23.054213321234659</v>
      </c>
      <c r="BG29" s="20">
        <f t="shared" si="7"/>
        <v>186.0359113344837</v>
      </c>
      <c r="BH29" s="59">
        <f t="shared" si="8"/>
        <v>474.48035577892813</v>
      </c>
      <c r="BI29" s="59">
        <f ca="1">AVERAGE(OFFSET($BH$3,0,0,'Données projet'!$E$11+1,1))-AVERAGE(OFFSET($H$3,0,0,'Données projet'!$E$11+1,1))</f>
        <v>349.71285006949597</v>
      </c>
      <c r="BJ29" s="59">
        <f t="shared" si="38"/>
        <v>258.51550516456842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4.3383988723828653</v>
      </c>
      <c r="BQ29" s="21">
        <f>EXP(-LN(2)/25)*BQ28+(1-EXP(-LN(2)/25))/(LN(2)/25)*Calculateur!BL29*Calculateur!BN29*VLOOKUP('Données projet'!$B$11,Paramètres!$A$1:$I$89,3,0)*0.475*44/12</f>
        <v>6.1960721260396676</v>
      </c>
      <c r="BR29" s="21">
        <f>EXP(-LN(2)/2)*BR28+(1-EXP(-LN(2)/2))/(LN(2)/2)*BL29*BO29*VLOOKUP('Données projet'!$B$11,Paramètres!$A$1:$I$89,3,0)*0.475*44/12</f>
        <v>3.3846297871988211</v>
      </c>
      <c r="BS29" s="22">
        <f t="shared" si="9"/>
        <v>13.919100785621353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3.3603333333333336</v>
      </c>
      <c r="N30" s="13">
        <f>IF('Données projet'!$A$36&gt;35,N29+M30-V29,IF(A30&lt;'Données projet'!$A$36,$K$205^A30,IF(A30='Données projet'!$A$36,'Données projet'!$B$36,N29+M30-V29)))</f>
        <v>90.729000000000013</v>
      </c>
      <c r="O30" s="13">
        <f>N30*VLOOKUP('Données projet'!$B$9,Paramètres!$A$1:$I$89,3,0)*VLOOKUP('Données projet'!$B$9,Paramètres!$A$1:$I$89,5,0)</f>
        <v>103.32218520000002</v>
      </c>
      <c r="P30" s="13">
        <f t="shared" si="33"/>
        <v>27.751950647189656</v>
      </c>
      <c r="Q30" s="20">
        <f t="shared" si="2"/>
        <v>228.28745326718865</v>
      </c>
      <c r="R30" s="59">
        <f t="shared" si="0"/>
        <v>517.95411993385528</v>
      </c>
      <c r="S30" s="59">
        <f ca="1">AVERAGE(OFFSET($R$3,0,0,'Données projet'!$E$9+1,1))-AVERAGE(OFFSET($H$3,0,0,'Données projet'!$E$9+1,1))</f>
        <v>593.28343396240075</v>
      </c>
      <c r="T30" s="59">
        <f t="shared" si="34"/>
        <v>289.66477662068695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18.678333333333331</v>
      </c>
      <c r="AI30" s="13">
        <f>IF('Données projet'!$A$62&gt;35,AI29+AH30-AQ29,IF(A30&lt;'Données projet'!$A$62,$AF$205^A30,IF(A30='Données projet'!$A$62,'Données projet'!$B$62,AI29+AH30-AQ29)))</f>
        <v>205.55333333333331</v>
      </c>
      <c r="AJ30" s="13">
        <f>AI30*VLOOKUP('Données projet'!$B$10,Paramètres!$A$1:$I$89,3,0)*VLOOKUP('Données projet'!$B$10,Paramètres!$A$1:$I$89,5,0)</f>
        <v>122.92089333333332</v>
      </c>
      <c r="AK30" s="13">
        <f t="shared" si="35"/>
        <v>32.355293246449399</v>
      </c>
      <c r="AL30" s="20">
        <f t="shared" si="4"/>
        <v>270.43935829312153</v>
      </c>
      <c r="AM30" s="59">
        <f t="shared" si="5"/>
        <v>560.10602495978821</v>
      </c>
      <c r="AN30" s="59">
        <f ca="1">AVERAGE(OFFSET($AM$3,0,0,'Données projet'!$E$10+1,1))-AVERAGE(OFFSET($H$3,0,0,'Données projet'!$E$10+1,1))</f>
        <v>302.00825291248458</v>
      </c>
      <c r="AO30" s="59">
        <f t="shared" si="36"/>
        <v>307.35115839449355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4.8124732455527903</v>
      </c>
      <c r="AV30" s="21">
        <f>EXP(-LN(2)/25)*AV29+(1-EXP(-LN(2)/25))/(LN(2)/25)*Calculateur!AQ30*Calculateur!AS30*VLOOKUP('Données projet'!$B$10,Paramètres!$A$1:$I$89,3,0)*0.475*44/12</f>
        <v>12.421609434340189</v>
      </c>
      <c r="AW30" s="21">
        <f>EXP(-LN(2)/2)*AW29+(1-EXP(-LN(2)/2))/(LN(2)/2)*AQ30*AT30*VLOOKUP('Données projet'!$B$10,Paramètres!$A$1:$I$89,3,0)*0.475*44/12</f>
        <v>4.1901373488540061</v>
      </c>
      <c r="AX30" s="21">
        <f t="shared" si="6"/>
        <v>21.424220028746984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>
        <f>VLOOKUP(A30,'Données projet'!$A$87:$I$107,2,0)</f>
        <v>155.85</v>
      </c>
      <c r="BB30" s="12">
        <f>VLOOKUP(A30,'Données projet'!$A$87:$I$107,9,0)</f>
        <v>15.782</v>
      </c>
      <c r="BC30" s="12">
        <f t="array" ref="BC30">INDEX(BB:BB,MIN(IF(ISNUMBER(BB30:BB226),ROW(BB30:BB226),"")))</f>
        <v>15.782</v>
      </c>
      <c r="BD30" s="12">
        <f>IF('Données projet'!$A$88&gt;35,BD29+BC30-BL29,IF(A30&lt;'Données projet'!$A$88,$BA$205^A30,IF(A30='Données projet'!$A$88,'Données projet'!$B$88,BD29+BC30-BL29)))</f>
        <v>155.85000000000002</v>
      </c>
      <c r="BE30" s="13">
        <f>BD30*VLOOKUP('Données projet'!$B$11,Paramètres!$A$1:$I$89,3,0)*VLOOKUP('Données projet'!$B$11,Paramètres!$A$1:$I$89,5,0)</f>
        <v>93.198300000000032</v>
      </c>
      <c r="BF30" s="13">
        <f t="shared" si="37"/>
        <v>25.335003309876146</v>
      </c>
      <c r="BG30" s="20">
        <f t="shared" si="7"/>
        <v>206.44550326470099</v>
      </c>
      <c r="BH30" s="59">
        <f t="shared" si="8"/>
        <v>496.1121699313677</v>
      </c>
      <c r="BI30" s="59">
        <f ca="1">AVERAGE(OFFSET($BH$3,0,0,'Données projet'!$E$11+1,1))-AVERAGE(OFFSET($H$3,0,0,'Données projet'!$E$11+1,1))</f>
        <v>349.71285006949597</v>
      </c>
      <c r="BJ30" s="59">
        <f t="shared" si="38"/>
        <v>258.51550516456842</v>
      </c>
      <c r="BK30" s="15">
        <f>IF(ISNA(VLOOKUP(A30,'Données projet'!$A$87:$I$107,3,0)),0,VLOOKUP(A30,'Données projet'!$A$87:$I$107,3,0))</f>
        <v>2</v>
      </c>
      <c r="BL30" s="15">
        <f>IF(ISNA(VLOOKUP(A30,'Données projet'!$A$87:$I$107,4,0)),0,VLOOKUP(A30,'Données projet'!$A$87:$I$107,4,0))</f>
        <v>37.929999999999993</v>
      </c>
      <c r="BM30" s="16">
        <f>IF(ISNA(VLOOKUP(A30,'Données projet'!$A$87:$I$107,5,0)),0%,VLOOKUP(A30,'Données projet'!$A$87:$I$107,5,0)*VLOOKUP('Données projet'!$B$11,Paramètres!$A$1:$I$89,7,0))</f>
        <v>0.1125</v>
      </c>
      <c r="BN30" s="16">
        <f>IF(ISNA(VLOOKUP(A30,'Données projet'!$A$87:$I$107,6,0)),0%,VLOOKUP(A30,'Données projet'!$A$87:$I$107,6,0)*VLOOKUP('Données projet'!$B$11,Paramètres!$A$1:$I$89,7,0))</f>
        <v>0.16650000000000001</v>
      </c>
      <c r="BO30" s="16">
        <f>IF(ISNA(VLOOKUP(A30,'Données projet'!$A$87:$I$107,7,0)),0%,VLOOKUP(A30,'Données projet'!$A$87:$I$107,7,0))</f>
        <v>0.38</v>
      </c>
      <c r="BP30" s="21">
        <f>EXP(-LN(2)/35)*BP29+(1-EXP(-LN(2)/35))/(LN(2)/35)*BL30*BM30*VLOOKUP('Données projet'!$B$11,Paramètres!$A$1:$I$89,3,0)*0.475*44/12</f>
        <v>7.6383740951040968</v>
      </c>
      <c r="BQ30" s="21">
        <f>EXP(-LN(2)/25)*BQ29+(1-EXP(-LN(2)/25))/(LN(2)/25)*Calculateur!BL30*Calculateur!BN30*VLOOKUP('Données projet'!$B$11,Paramètres!$A$1:$I$89,3,0)*0.475*44/12</f>
        <v>11.016786329451062</v>
      </c>
      <c r="BR30" s="21">
        <f>EXP(-LN(2)/2)*BR29+(1-EXP(-LN(2)/2))/(LN(2)/2)*BL30*BO30*VLOOKUP('Données projet'!$B$11,Paramètres!$A$1:$I$89,3,0)*0.475*44/12</f>
        <v>12.152246238640709</v>
      </c>
      <c r="BS30" s="22">
        <f t="shared" si="9"/>
        <v>30.80740666319587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3.3603333333333336</v>
      </c>
      <c r="N31" s="13">
        <f>IF('Données projet'!$A$36&gt;35,N30+M31-V30,IF(A31&lt;'Données projet'!$A$36,$K$205^A31,IF(A31='Données projet'!$A$36,'Données projet'!$B$36,N30+M31-V30)))</f>
        <v>94.089333333333343</v>
      </c>
      <c r="O31" s="13">
        <f>N31*VLOOKUP('Données projet'!$B$9,Paramètres!$A$1:$I$89,3,0)*VLOOKUP('Données projet'!$B$9,Paramètres!$A$1:$I$89,5,0)</f>
        <v>107.14893280000001</v>
      </c>
      <c r="P31" s="13">
        <f t="shared" si="33"/>
        <v>28.658227700445973</v>
      </c>
      <c r="Q31" s="20">
        <f t="shared" si="2"/>
        <v>236.53080453827673</v>
      </c>
      <c r="R31" s="59">
        <f t="shared" si="0"/>
        <v>527.41969342716561</v>
      </c>
      <c r="S31" s="59">
        <f ca="1">AVERAGE(OFFSET($R$3,0,0,'Données projet'!$E$9+1,1))-AVERAGE(OFFSET($H$3,0,0,'Données projet'!$E$9+1,1))</f>
        <v>593.28343396240075</v>
      </c>
      <c r="T31" s="59">
        <f t="shared" si="34"/>
        <v>289.66477662068695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18.678333333333331</v>
      </c>
      <c r="AI31" s="13">
        <f>IF('Données projet'!$A$62&gt;35,AI30+AH31-AQ30,IF(A31&lt;'Données projet'!$A$62,$AF$205^A31,IF(A31='Données projet'!$A$62,'Données projet'!$B$62,AI30+AH31-AQ30)))</f>
        <v>224.23166666666665</v>
      </c>
      <c r="AJ31" s="13">
        <f>AI31*VLOOKUP('Données projet'!$B$10,Paramètres!$A$1:$I$89,3,0)*VLOOKUP('Données projet'!$B$10,Paramètres!$A$1:$I$89,5,0)</f>
        <v>134.09053666666668</v>
      </c>
      <c r="AK31" s="13">
        <f t="shared" si="35"/>
        <v>34.93985124057766</v>
      </c>
      <c r="AL31" s="20">
        <f t="shared" si="4"/>
        <v>294.39459227178389</v>
      </c>
      <c r="AM31" s="59">
        <f t="shared" si="5"/>
        <v>585.28348116067275</v>
      </c>
      <c r="AN31" s="59">
        <f ca="1">AVERAGE(OFFSET($AM$3,0,0,'Données projet'!$E$10+1,1))-AVERAGE(OFFSET($H$3,0,0,'Données projet'!$E$10+1,1))</f>
        <v>302.00825291248458</v>
      </c>
      <c r="AO31" s="59">
        <f t="shared" si="36"/>
        <v>307.35115839449355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4.7181035805263409</v>
      </c>
      <c r="AV31" s="21">
        <f>EXP(-LN(2)/25)*AV30+(1-EXP(-LN(2)/25))/(LN(2)/25)*Calculateur!AQ31*Calculateur!AS31*VLOOKUP('Données projet'!$B$10,Paramètres!$A$1:$I$89,3,0)*0.475*44/12</f>
        <v>12.081939871134106</v>
      </c>
      <c r="AW31" s="21">
        <f>EXP(-LN(2)/2)*AW30+(1-EXP(-LN(2)/2))/(LN(2)/2)*AQ31*AT31*VLOOKUP('Données projet'!$B$10,Paramètres!$A$1:$I$89,3,0)*0.475*44/12</f>
        <v>2.9628745334776903</v>
      </c>
      <c r="AX31" s="21">
        <f t="shared" si="6"/>
        <v>19.762917985138138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16.621666666666666</v>
      </c>
      <c r="BD31" s="12">
        <f>IF('Données projet'!$A$88&gt;35,BD30+BC31-BL30,IF(A31&lt;'Données projet'!$A$88,$BA$205^A31,IF(A31='Données projet'!$A$88,'Données projet'!$B$88,BD30+BC31-BL30)))</f>
        <v>134.54166666666669</v>
      </c>
      <c r="BE31" s="13">
        <f>BD31*VLOOKUP('Données projet'!$B$11,Paramètres!$A$1:$I$89,3,0)*VLOOKUP('Données projet'!$B$11,Paramètres!$A$1:$I$89,5,0)</f>
        <v>80.455916666666681</v>
      </c>
      <c r="BF31" s="13">
        <f t="shared" si="37"/>
        <v>22.248621228387805</v>
      </c>
      <c r="BG31" s="20">
        <f t="shared" si="7"/>
        <v>178.8770701672199</v>
      </c>
      <c r="BH31" s="59">
        <f t="shared" si="8"/>
        <v>469.76595905610873</v>
      </c>
      <c r="BI31" s="59">
        <f ca="1">AVERAGE(OFFSET($BH$3,0,0,'Données projet'!$E$11+1,1))-AVERAGE(OFFSET($H$3,0,0,'Données projet'!$E$11+1,1))</f>
        <v>349.71285006949597</v>
      </c>
      <c r="BJ31" s="59">
        <f t="shared" si="38"/>
        <v>258.51550516456842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7.4885902380472702</v>
      </c>
      <c r="BQ31" s="21">
        <f>EXP(-LN(2)/25)*BQ30+(1-EXP(-LN(2)/25))/(LN(2)/25)*Calculateur!BL31*Calculateur!BN31*VLOOKUP('Données projet'!$B$11,Paramètres!$A$1:$I$89,3,0)*0.475*44/12</f>
        <v>10.715531727924608</v>
      </c>
      <c r="BR31" s="21">
        <f>EXP(-LN(2)/2)*BR30+(1-EXP(-LN(2)/2))/(LN(2)/2)*BL31*BO31*VLOOKUP('Données projet'!$B$11,Paramètres!$A$1:$I$89,3,0)*0.475*44/12</f>
        <v>8.5929357219915623</v>
      </c>
      <c r="BS31" s="22">
        <f t="shared" si="9"/>
        <v>26.797057687963441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3.3603333333333336</v>
      </c>
      <c r="N32" s="13">
        <f>IF('Données projet'!$A$36&gt;35,N31+M32-V31,IF(A32&lt;'Données projet'!$A$36,$K$205^A32,IF(A32='Données projet'!$A$36,'Données projet'!$B$36,N31+M32-V31)))</f>
        <v>97.449666666666673</v>
      </c>
      <c r="O32" s="13">
        <f>N32*VLOOKUP('Données projet'!$B$9,Paramètres!$A$1:$I$89,3,0)*VLOOKUP('Données projet'!$B$9,Paramètres!$A$1:$I$89,5,0)</f>
        <v>110.9756804</v>
      </c>
      <c r="P32" s="13">
        <f t="shared" si="33"/>
        <v>29.560744206282198</v>
      </c>
      <c r="Q32" s="20">
        <f t="shared" si="2"/>
        <v>244.76760618927483</v>
      </c>
      <c r="R32" s="59">
        <f t="shared" si="0"/>
        <v>536.87871730038592</v>
      </c>
      <c r="S32" s="59">
        <f ca="1">AVERAGE(OFFSET($R$3,0,0,'Données projet'!$E$9+1,1))-AVERAGE(OFFSET($H$3,0,0,'Données projet'!$E$9+1,1))</f>
        <v>593.28343396240075</v>
      </c>
      <c r="T32" s="59">
        <f t="shared" si="34"/>
        <v>289.66477662068695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>
        <f>VLOOKUP(A32,'Données projet'!$A$61:$I$81,2,0)</f>
        <v>242.91</v>
      </c>
      <c r="AG32" s="12">
        <f>VLOOKUP(A32,'Données projet'!$A$61:$I$81,9,0)</f>
        <v>18.678333333333331</v>
      </c>
      <c r="AH32" s="12">
        <f t="array" ref="AH32">INDEX(AG:AG,MIN(IF(ISNUMBER(AG32:AG228),ROW(AG32:AG228),"")))</f>
        <v>18.678333333333331</v>
      </c>
      <c r="AI32" s="13">
        <f>IF('Données projet'!$A$62&gt;35,AI31+AH32-AQ31,IF(A32&lt;'Données projet'!$A$62,$AF$205^A32,IF(A32='Données projet'!$A$62,'Données projet'!$B$62,AI31+AH32-AQ31)))</f>
        <v>242.91</v>
      </c>
      <c r="AJ32" s="13">
        <f>AI32*VLOOKUP('Données projet'!$B$10,Paramètres!$A$1:$I$89,3,0)*VLOOKUP('Données projet'!$B$10,Paramètres!$A$1:$I$89,5,0)</f>
        <v>145.26018000000002</v>
      </c>
      <c r="AK32" s="13">
        <f t="shared" si="35"/>
        <v>37.499439910321911</v>
      </c>
      <c r="AL32" s="20">
        <f t="shared" si="4"/>
        <v>318.30633801047736</v>
      </c>
      <c r="AM32" s="59">
        <f t="shared" si="5"/>
        <v>610.41744912158856</v>
      </c>
      <c r="AN32" s="59">
        <f ca="1">AVERAGE(OFFSET($AM$3,0,0,'Données projet'!$E$10+1,1))-AVERAGE(OFFSET($H$3,0,0,'Données projet'!$E$10+1,1))</f>
        <v>302.00825291248458</v>
      </c>
      <c r="AO32" s="59">
        <f t="shared" si="36"/>
        <v>307.35115839449355</v>
      </c>
      <c r="AP32" s="15">
        <f>IF(ISNA(VLOOKUP(A32,'Données projet'!$A$61:$I$81,3,0)),0,VLOOKUP(A32,'Données projet'!$A$61:$I$81,3,0))</f>
        <v>3</v>
      </c>
      <c r="AQ32" s="15">
        <f>IF(ISNA(VLOOKUP(A32,'Données projet'!$A$61:$I$81,4,0)),0,VLOOKUP(A32,'Données projet'!$A$61:$I$81,4,0))</f>
        <v>54.97</v>
      </c>
      <c r="AR32" s="16">
        <f>IF(ISNA(VLOOKUP(A32,'Données projet'!$A$61:$I$81,5,0)),0%,VLOOKUP(A32,'Données projet'!$A$61:$I$81,5,0)*VLOOKUP('Données projet'!$B$10,Paramètres!$A$1:$I$89,7,0))</f>
        <v>0.27</v>
      </c>
      <c r="AS32" s="16">
        <f>IF(ISNA(VLOOKUP(A32,'Données projet'!$A$61:$I$81,6,0)),0%,VLOOKUP(A32,'Données projet'!$A$61:$I$81,6,0)*VLOOKUP('Données projet'!$B$10,Paramètres!$A$1:$I$89,7,0))</f>
        <v>9.0000000000000011E-2</v>
      </c>
      <c r="AT32" s="16">
        <f>IF(ISNA(VLOOKUP(A32,'Données projet'!$A$61:$I$81,7,0)),0%,VLOOKUP(A32,'Données projet'!$A$61:$I$81,7,0))</f>
        <v>0.2</v>
      </c>
      <c r="AU32" s="21">
        <f>EXP(-LN(2)/35)*AU31+(1-EXP(-LN(2)/35))/(LN(2)/35)*AQ32*AR32*VLOOKUP('Données projet'!$B$10,Paramètres!$A$1:$I$89,3,0)*0.475*44/12</f>
        <v>16.399449167801741</v>
      </c>
      <c r="AV32" s="21">
        <f>EXP(-LN(2)/25)*AV31+(1-EXP(-LN(2)/25))/(LN(2)/25)*Calculateur!AQ32*Calculateur!AS32*VLOOKUP('Données projet'!$B$10,Paramètres!$A$1:$I$89,3,0)*0.475*44/12</f>
        <v>15.66072743303994</v>
      </c>
      <c r="AW32" s="21">
        <f>EXP(-LN(2)/2)*AW31+(1-EXP(-LN(2)/2))/(LN(2)/2)*AQ32*AT32*VLOOKUP('Données projet'!$B$10,Paramètres!$A$1:$I$89,3,0)*0.475*44/12</f>
        <v>9.5388302780725702</v>
      </c>
      <c r="AX32" s="21">
        <f t="shared" si="6"/>
        <v>41.599006878914253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16.621666666666666</v>
      </c>
      <c r="BD32" s="12">
        <f>IF('Données projet'!$A$88&gt;35,BD31+BC32-BL31,IF(A32&lt;'Données projet'!$A$88,$BA$205^A32,IF(A32='Données projet'!$A$88,'Données projet'!$B$88,BD31+BC32-BL31)))</f>
        <v>151.16333333333336</v>
      </c>
      <c r="BE32" s="13">
        <f>BD32*VLOOKUP('Données projet'!$B$11,Paramètres!$A$1:$I$89,3,0)*VLOOKUP('Données projet'!$B$11,Paramètres!$A$1:$I$89,5,0)</f>
        <v>90.395673333333363</v>
      </c>
      <c r="BF32" s="13">
        <f t="shared" si="37"/>
        <v>24.660627497212822</v>
      </c>
      <c r="BG32" s="20">
        <f t="shared" si="7"/>
        <v>200.38972394653459</v>
      </c>
      <c r="BH32" s="59">
        <f t="shared" si="8"/>
        <v>492.50083505764576</v>
      </c>
      <c r="BI32" s="59">
        <f ca="1">AVERAGE(OFFSET($BH$3,0,0,'Données projet'!$E$11+1,1))-AVERAGE(OFFSET($H$3,0,0,'Données projet'!$E$11+1,1))</f>
        <v>349.71285006949597</v>
      </c>
      <c r="BJ32" s="59">
        <f t="shared" si="38"/>
        <v>258.51550516456842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7.3417435510681965</v>
      </c>
      <c r="BQ32" s="21">
        <f>EXP(-LN(2)/25)*BQ31+(1-EXP(-LN(2)/25))/(LN(2)/25)*Calculateur!BL32*Calculateur!BN32*VLOOKUP('Données projet'!$B$11,Paramètres!$A$1:$I$89,3,0)*0.475*44/12</f>
        <v>10.422514949319186</v>
      </c>
      <c r="BR32" s="21">
        <f>EXP(-LN(2)/2)*BR31+(1-EXP(-LN(2)/2))/(LN(2)/2)*BL32*BO32*VLOOKUP('Données projet'!$B$11,Paramètres!$A$1:$I$89,3,0)*0.475*44/12</f>
        <v>6.0761231193203562</v>
      </c>
      <c r="BS32" s="22">
        <f t="shared" si="9"/>
        <v>23.840381619707742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3.3603333333333336</v>
      </c>
      <c r="N33" s="13">
        <f>IF('Données projet'!$A$36&gt;35,N32+M33-V32,IF(A33&lt;'Données projet'!$A$36,$K$205^A33,IF(A33='Données projet'!$A$36,'Données projet'!$B$36,N32+M33-V32)))</f>
        <v>100.81</v>
      </c>
      <c r="O33" s="13">
        <f>N33*VLOOKUP('Données projet'!$B$9,Paramètres!$A$1:$I$89,3,0)*VLOOKUP('Données projet'!$B$9,Paramètres!$A$1:$I$89,5,0)</f>
        <v>114.80242800000001</v>
      </c>
      <c r="P33" s="13">
        <f t="shared" si="33"/>
        <v>30.459644700872925</v>
      </c>
      <c r="Q33" s="20">
        <f t="shared" si="2"/>
        <v>252.99810995402035</v>
      </c>
      <c r="R33" s="59">
        <f t="shared" si="0"/>
        <v>546.33144328735364</v>
      </c>
      <c r="S33" s="59">
        <f ca="1">AVERAGE(OFFSET($R$3,0,0,'Données projet'!$E$9+1,1))-AVERAGE(OFFSET($H$3,0,0,'Données projet'!$E$9+1,1))</f>
        <v>593.28343396240075</v>
      </c>
      <c r="T33" s="59">
        <f t="shared" si="34"/>
        <v>289.66477662068695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17.804285714285715</v>
      </c>
      <c r="AI33" s="13">
        <f>IF('Données projet'!$A$62&gt;35,AI32+AH33-AQ32,IF(A33&lt;'Données projet'!$A$62,$AF$205^A33,IF(A33='Données projet'!$A$62,'Données projet'!$B$62,AI32+AH33-AQ32)))</f>
        <v>205.74428571428572</v>
      </c>
      <c r="AJ33" s="13">
        <f>AI33*VLOOKUP('Données projet'!$B$10,Paramètres!$A$1:$I$89,3,0)*VLOOKUP('Données projet'!$B$10,Paramètres!$A$1:$I$89,5,0)</f>
        <v>123.03508285714287</v>
      </c>
      <c r="AK33" s="13">
        <f t="shared" si="35"/>
        <v>32.381850192327164</v>
      </c>
      <c r="AL33" s="20">
        <f t="shared" si="4"/>
        <v>270.68449172782698</v>
      </c>
      <c r="AM33" s="59">
        <f t="shared" si="5"/>
        <v>564.01782506116024</v>
      </c>
      <c r="AN33" s="59">
        <f ca="1">AVERAGE(OFFSET($AM$3,0,0,'Données projet'!$E$10+1,1))-AVERAGE(OFFSET($H$3,0,0,'Données projet'!$E$10+1,1))</f>
        <v>302.00825291248458</v>
      </c>
      <c r="AO33" s="59">
        <f t="shared" si="36"/>
        <v>307.35115839449355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16.07786597229746</v>
      </c>
      <c r="AV33" s="21">
        <f>EXP(-LN(2)/25)*AV32+(1-EXP(-LN(2)/25))/(LN(2)/25)*Calculateur!AQ33*Calculateur!AS33*VLOOKUP('Données projet'!$B$10,Paramètres!$A$1:$I$89,3,0)*0.475*44/12</f>
        <v>15.2324840178216</v>
      </c>
      <c r="AW33" s="21">
        <f>EXP(-LN(2)/2)*AW32+(1-EXP(-LN(2)/2))/(LN(2)/2)*AQ33*AT33*VLOOKUP('Données projet'!$B$10,Paramètres!$A$1:$I$89,3,0)*0.475*44/12</f>
        <v>6.7449715742126752</v>
      </c>
      <c r="AX33" s="21">
        <f t="shared" si="6"/>
        <v>38.055321564331734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16.621666666666666</v>
      </c>
      <c r="BD33" s="12">
        <f>IF('Données projet'!$A$88&gt;35,BD32+BC33-BL32,IF(A33&lt;'Données projet'!$A$88,$BA$205^A33,IF(A33='Données projet'!$A$88,'Données projet'!$B$88,BD32+BC33-BL32)))</f>
        <v>167.78500000000003</v>
      </c>
      <c r="BE33" s="13">
        <f>BD33*VLOOKUP('Données projet'!$B$11,Paramètres!$A$1:$I$89,3,0)*VLOOKUP('Données projet'!$B$11,Paramètres!$A$1:$I$89,5,0)</f>
        <v>100.33543000000002</v>
      </c>
      <c r="BF33" s="13">
        <f t="shared" si="37"/>
        <v>27.041893539465132</v>
      </c>
      <c r="BG33" s="20">
        <f t="shared" si="7"/>
        <v>221.84883849790182</v>
      </c>
      <c r="BH33" s="59">
        <f t="shared" si="8"/>
        <v>515.18217183123511</v>
      </c>
      <c r="BI33" s="59">
        <f ca="1">AVERAGE(OFFSET($BH$3,0,0,'Données projet'!$E$11+1,1))-AVERAGE(OFFSET($H$3,0,0,'Données projet'!$E$11+1,1))</f>
        <v>349.71285006949597</v>
      </c>
      <c r="BJ33" s="59">
        <f t="shared" si="38"/>
        <v>258.51550516456842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7.1977764380531477</v>
      </c>
      <c r="BQ33" s="21">
        <f>EXP(-LN(2)/25)*BQ32+(1-EXP(-LN(2)/25))/(LN(2)/25)*Calculateur!BL33*Calculateur!BN33*VLOOKUP('Données projet'!$B$11,Paramètres!$A$1:$I$89,3,0)*0.475*44/12</f>
        <v>10.137510729933814</v>
      </c>
      <c r="BR33" s="21">
        <f>EXP(-LN(2)/2)*BR32+(1-EXP(-LN(2)/2))/(LN(2)/2)*BL33*BO33*VLOOKUP('Données projet'!$B$11,Paramètres!$A$1:$I$89,3,0)*0.475*44/12</f>
        <v>4.296467860995782</v>
      </c>
      <c r="BS33" s="22">
        <f t="shared" si="9"/>
        <v>21.631755028982745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3.3603333333333336</v>
      </c>
      <c r="N34" s="13">
        <f>IF('Données projet'!$A$36&gt;35,N33+M34-V33,IF(A34&lt;'Données projet'!$A$36,$K$205^A34,IF(A34='Données projet'!$A$36,'Données projet'!$B$36,N33+M34-V33)))</f>
        <v>104.17033333333333</v>
      </c>
      <c r="O34" s="13">
        <f>N34*VLOOKUP('Données projet'!$B$9,Paramètres!$A$1:$I$89,3,0)*VLOOKUP('Données projet'!$B$9,Paramètres!$A$1:$I$89,5,0)</f>
        <v>118.6291756</v>
      </c>
      <c r="P34" s="13">
        <f t="shared" si="33"/>
        <v>31.355063537869306</v>
      </c>
      <c r="Q34" s="20">
        <f t="shared" si="2"/>
        <v>261.22254983178902</v>
      </c>
      <c r="R34" s="59">
        <f t="shared" si="0"/>
        <v>554.5558831651224</v>
      </c>
      <c r="S34" s="59">
        <f ca="1">AVERAGE(OFFSET($R$3,0,0,'Données projet'!$E$9+1,1))-AVERAGE(OFFSET($H$3,0,0,'Données projet'!$E$9+1,1))</f>
        <v>593.28343396240075</v>
      </c>
      <c r="T34" s="59">
        <f t="shared" si="34"/>
        <v>289.66477662068695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17.804285714285715</v>
      </c>
      <c r="AI34" s="13">
        <f>IF('Données projet'!$A$62&gt;35,AI33+AH34-AQ33,IF(A34&lt;'Données projet'!$A$62,$AF$205^A34,IF(A34='Données projet'!$A$62,'Données projet'!$B$62,AI33+AH34-AQ33)))</f>
        <v>223.54857142857145</v>
      </c>
      <c r="AJ34" s="13">
        <f>AI34*VLOOKUP('Données projet'!$B$10,Paramètres!$A$1:$I$89,3,0)*VLOOKUP('Données projet'!$B$10,Paramètres!$A$1:$I$89,5,0)</f>
        <v>133.68204571428575</v>
      </c>
      <c r="AK34" s="13">
        <f t="shared" si="35"/>
        <v>34.84578405456601</v>
      </c>
      <c r="AL34" s="20">
        <f t="shared" si="4"/>
        <v>293.51930351408345</v>
      </c>
      <c r="AM34" s="59">
        <f t="shared" si="5"/>
        <v>586.85263684741676</v>
      </c>
      <c r="AN34" s="59">
        <f ca="1">AVERAGE(OFFSET($AM$3,0,0,'Données projet'!$E$10+1,1))-AVERAGE(OFFSET($H$3,0,0,'Données projet'!$E$10+1,1))</f>
        <v>302.00825291248458</v>
      </c>
      <c r="AO34" s="59">
        <f t="shared" si="36"/>
        <v>307.35115839449355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15.762588827110635</v>
      </c>
      <c r="AV34" s="21">
        <f>EXP(-LN(2)/25)*AV33+(1-EXP(-LN(2)/25))/(LN(2)/25)*Calculateur!AQ34*Calculateur!AS34*VLOOKUP('Données projet'!$B$10,Paramètres!$A$1:$I$89,3,0)*0.475*44/12</f>
        <v>14.815950941312748</v>
      </c>
      <c r="AW34" s="21">
        <f>EXP(-LN(2)/2)*AW33+(1-EXP(-LN(2)/2))/(LN(2)/2)*AQ34*AT34*VLOOKUP('Données projet'!$B$10,Paramètres!$A$1:$I$89,3,0)*0.475*44/12</f>
        <v>4.7694151390362851</v>
      </c>
      <c r="AX34" s="21">
        <f t="shared" si="6"/>
        <v>35.347954907459666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16.621666666666666</v>
      </c>
      <c r="BD34" s="12">
        <f>IF('Données projet'!$A$88&gt;35,BD33+BC34-BL33,IF(A34&lt;'Données projet'!$A$88,$BA$205^A34,IF(A34='Données projet'!$A$88,'Données projet'!$B$88,BD33+BC34-BL33)))</f>
        <v>184.40666666666669</v>
      </c>
      <c r="BE34" s="13">
        <f>BD34*VLOOKUP('Données projet'!$B$11,Paramètres!$A$1:$I$89,3,0)*VLOOKUP('Données projet'!$B$11,Paramètres!$A$1:$I$89,5,0)</f>
        <v>110.27518666666668</v>
      </c>
      <c r="BF34" s="13">
        <f t="shared" si="37"/>
        <v>29.395811266319566</v>
      </c>
      <c r="BG34" s="20">
        <f t="shared" si="7"/>
        <v>243.26032139995104</v>
      </c>
      <c r="BH34" s="59">
        <f t="shared" si="8"/>
        <v>536.59365473328432</v>
      </c>
      <c r="BI34" s="59">
        <f ca="1">AVERAGE(OFFSET($BH$3,0,0,'Données projet'!$E$11+1,1))-AVERAGE(OFFSET($H$3,0,0,'Données projet'!$E$11+1,1))</f>
        <v>349.71285006949597</v>
      </c>
      <c r="BJ34" s="59">
        <f t="shared" si="38"/>
        <v>258.51550516456842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7.0566324323130551</v>
      </c>
      <c r="BQ34" s="21">
        <f>EXP(-LN(2)/25)*BQ33+(1-EXP(-LN(2)/25))/(LN(2)/25)*Calculateur!BL34*Calculateur!BN34*VLOOKUP('Données projet'!$B$11,Paramètres!$A$1:$I$89,3,0)*0.475*44/12</f>
        <v>9.860299965915253</v>
      </c>
      <c r="BR34" s="21">
        <f>EXP(-LN(2)/2)*BR33+(1-EXP(-LN(2)/2))/(LN(2)/2)*BL34*BO34*VLOOKUP('Données projet'!$B$11,Paramètres!$A$1:$I$89,3,0)*0.475*44/12</f>
        <v>3.0380615596601785</v>
      </c>
      <c r="BS34" s="22">
        <f t="shared" si="9"/>
        <v>19.954993957888487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3.3603333333333336</v>
      </c>
      <c r="N35" s="13">
        <f>IF('Données projet'!$A$36&gt;35,N34+M35-V34,IF(A35&lt;'Données projet'!$A$36,$K$205^A35,IF(A35='Données projet'!$A$36,'Données projet'!$B$36,N34+M35-V34)))</f>
        <v>107.53066666666666</v>
      </c>
      <c r="O35" s="13">
        <f>N35*VLOOKUP('Données projet'!$B$9,Paramètres!$A$1:$I$89,3,0)*VLOOKUP('Données projet'!$B$9,Paramètres!$A$1:$I$89,5,0)</f>
        <v>122.45592319999999</v>
      </c>
      <c r="P35" s="13">
        <f t="shared" si="33"/>
        <v>32.247125910842406</v>
      </c>
      <c r="Q35" s="20">
        <f t="shared" ref="Q35:Q66" si="53">(O35+P35)*0.475*44/12</f>
        <v>269.44114386805046</v>
      </c>
      <c r="R35" s="59">
        <f t="shared" si="0"/>
        <v>562.77447720138377</v>
      </c>
      <c r="S35" s="59">
        <f ca="1">AVERAGE(OFFSET($R$3,0,0,'Données projet'!$E$9+1,1))-AVERAGE(OFFSET($H$3,0,0,'Données projet'!$E$9+1,1))</f>
        <v>593.28343396240075</v>
      </c>
      <c r="T35" s="59">
        <f t="shared" si="34"/>
        <v>289.66477662068695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17.804285714285715</v>
      </c>
      <c r="AI35" s="13">
        <f>IF('Données projet'!$A$62&gt;35,AI34+AH35-AQ34,IF(A35&lt;'Données projet'!$A$62,$AF$205^A35,IF(A35='Données projet'!$A$62,'Données projet'!$B$62,AI34+AH35-AQ34)))</f>
        <v>241.35285714285718</v>
      </c>
      <c r="AJ35" s="13">
        <f>AI35*VLOOKUP('Données projet'!$B$10,Paramètres!$A$1:$I$89,3,0)*VLOOKUP('Données projet'!$B$10,Paramètres!$A$1:$I$89,5,0)</f>
        <v>144.3290085714286</v>
      </c>
      <c r="AK35" s="13">
        <f t="shared" si="35"/>
        <v>37.286956054873187</v>
      </c>
      <c r="AL35" s="20">
        <f t="shared" si="4"/>
        <v>316.31447172414227</v>
      </c>
      <c r="AM35" s="59">
        <f t="shared" si="5"/>
        <v>609.64780505747558</v>
      </c>
      <c r="AN35" s="59">
        <f ca="1">AVERAGE(OFFSET($AM$3,0,0,'Données projet'!$E$10+1,1))-AVERAGE(OFFSET($H$3,0,0,'Données projet'!$E$10+1,1))</f>
        <v>302.00825291248458</v>
      </c>
      <c r="AO35" s="59">
        <f t="shared" si="36"/>
        <v>307.35115839449355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15.453494074440854</v>
      </c>
      <c r="AV35" s="21">
        <f>EXP(-LN(2)/25)*AV34+(1-EXP(-LN(2)/25))/(LN(2)/25)*Calculateur!AQ35*Calculateur!AS35*VLOOKUP('Données projet'!$B$10,Paramètres!$A$1:$I$89,3,0)*0.475*44/12</f>
        <v>14.410807983685553</v>
      </c>
      <c r="AW35" s="21">
        <f>EXP(-LN(2)/2)*AW34+(1-EXP(-LN(2)/2))/(LN(2)/2)*AQ35*AT35*VLOOKUP('Données projet'!$B$10,Paramètres!$A$1:$I$89,3,0)*0.475*44/12</f>
        <v>3.3724857871063376</v>
      </c>
      <c r="AX35" s="21">
        <f t="shared" si="6"/>
        <v>33.23678784523274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16.621666666666666</v>
      </c>
      <c r="BD35" s="12">
        <f>IF('Données projet'!$A$88&gt;35,BD34+BC35-BL34,IF(A35&lt;'Données projet'!$A$88,$BA$205^A35,IF(A35='Données projet'!$A$88,'Données projet'!$B$88,BD34+BC35-BL34)))</f>
        <v>201.02833333333336</v>
      </c>
      <c r="BE35" s="13">
        <f>BD35*VLOOKUP('Données projet'!$B$11,Paramètres!$A$1:$I$89,3,0)*VLOOKUP('Données projet'!$B$11,Paramètres!$A$1:$I$89,5,0)</f>
        <v>120.21494333333335</v>
      </c>
      <c r="BF35" s="13">
        <f t="shared" si="37"/>
        <v>31.725126074196275</v>
      </c>
      <c r="BG35" s="20">
        <f t="shared" si="7"/>
        <v>264.62895421811407</v>
      </c>
      <c r="BH35" s="59">
        <f t="shared" si="8"/>
        <v>557.96228755144739</v>
      </c>
      <c r="BI35" s="59">
        <f ca="1">AVERAGE(OFFSET($BH$3,0,0,'Données projet'!$E$11+1,1))-AVERAGE(OFFSET($H$3,0,0,'Données projet'!$E$11+1,1))</f>
        <v>349.71285006949597</v>
      </c>
      <c r="BJ35" s="59">
        <f t="shared" si="38"/>
        <v>258.51550516456842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6.9182561744361832</v>
      </c>
      <c r="BQ35" s="21">
        <f>EXP(-LN(2)/25)*BQ34+(1-EXP(-LN(2)/25))/(LN(2)/25)*Calculateur!BL35*Calculateur!BN35*VLOOKUP('Données projet'!$B$11,Paramètres!$A$1:$I$89,3,0)*0.475*44/12</f>
        <v>9.5906695448166612</v>
      </c>
      <c r="BR35" s="21">
        <f>EXP(-LN(2)/2)*BR34+(1-EXP(-LN(2)/2))/(LN(2)/2)*BL35*BO35*VLOOKUP('Données projet'!$B$11,Paramètres!$A$1:$I$89,3,0)*0.475*44/12</f>
        <v>2.1482339304978915</v>
      </c>
      <c r="BS35" s="22">
        <f t="shared" si="9"/>
        <v>18.657159649750735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3.3603333333333336</v>
      </c>
      <c r="N36" s="13">
        <f>IF('Données projet'!$A$36&gt;35,N35+M36-V35,IF(A36&lt;'Données projet'!$A$36,$K$205^A36,IF(A36='Données projet'!$A$36,'Données projet'!$B$36,N35+M36-V35)))</f>
        <v>110.89099999999999</v>
      </c>
      <c r="O36" s="13">
        <f>N36*VLOOKUP('Données projet'!$B$9,Paramètres!$A$1:$I$89,3,0)*VLOOKUP('Données projet'!$B$9,Paramètres!$A$1:$I$89,5,0)</f>
        <v>126.28267080000001</v>
      </c>
      <c r="P36" s="13">
        <f t="shared" si="33"/>
        <v>33.135948744330882</v>
      </c>
      <c r="Q36" s="20">
        <f t="shared" si="53"/>
        <v>277.65409570637627</v>
      </c>
      <c r="R36" s="59">
        <f t="shared" si="0"/>
        <v>570.98742903970958</v>
      </c>
      <c r="S36" s="59">
        <f ca="1">AVERAGE(OFFSET($R$3,0,0,'Données projet'!$E$9+1,1))-AVERAGE(OFFSET($H$3,0,0,'Données projet'!$E$9+1,1))</f>
        <v>593.28343396240075</v>
      </c>
      <c r="T36" s="59">
        <f t="shared" si="34"/>
        <v>289.66477662068695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17.804285714285715</v>
      </c>
      <c r="AI36" s="13">
        <f>IF('Données projet'!$A$62&gt;35,AI35+AH36-AQ35,IF(A36&lt;'Données projet'!$A$62,$AF$205^A36,IF(A36='Données projet'!$A$62,'Données projet'!$B$62,AI35+AH36-AQ35)))</f>
        <v>259.1571428571429</v>
      </c>
      <c r="AJ36" s="13">
        <f>AI36*VLOOKUP('Données projet'!$B$10,Paramètres!$A$1:$I$89,3,0)*VLOOKUP('Données projet'!$B$10,Paramètres!$A$1:$I$89,5,0)</f>
        <v>154.97597142857146</v>
      </c>
      <c r="AK36" s="13">
        <f t="shared" si="35"/>
        <v>39.70723624796571</v>
      </c>
      <c r="AL36" s="20">
        <f t="shared" si="4"/>
        <v>339.07325336996888</v>
      </c>
      <c r="AM36" s="59">
        <f t="shared" si="5"/>
        <v>632.4065867033022</v>
      </c>
      <c r="AN36" s="59">
        <f ca="1">AVERAGE(OFFSET($AM$3,0,0,'Données projet'!$E$10+1,1))-AVERAGE(OFFSET($H$3,0,0,'Données projet'!$E$10+1,1))</f>
        <v>302.00825291248458</v>
      </c>
      <c r="AO36" s="59">
        <f t="shared" si="36"/>
        <v>307.35115839449355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15.150460481341744</v>
      </c>
      <c r="AV36" s="21">
        <f>EXP(-LN(2)/25)*AV35+(1-EXP(-LN(2)/25))/(LN(2)/25)*Calculateur!AQ36*Calculateur!AS36*VLOOKUP('Données projet'!$B$10,Paramètres!$A$1:$I$89,3,0)*0.475*44/12</f>
        <v>14.016743681540216</v>
      </c>
      <c r="AW36" s="21">
        <f>EXP(-LN(2)/2)*AW35+(1-EXP(-LN(2)/2))/(LN(2)/2)*AQ36*AT36*VLOOKUP('Données projet'!$B$10,Paramètres!$A$1:$I$89,3,0)*0.475*44/12</f>
        <v>2.3847075695181426</v>
      </c>
      <c r="AX36" s="21">
        <f t="shared" si="6"/>
        <v>31.5519117324001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>
        <f>VLOOKUP(A36,'Données projet'!$A$87:$I$107,2,0)</f>
        <v>217.65</v>
      </c>
      <c r="BB36" s="12">
        <f>VLOOKUP(A36,'Données projet'!$A$87:$I$107,9,0)</f>
        <v>16.621666666666666</v>
      </c>
      <c r="BC36" s="12">
        <f t="array" ref="BC36">INDEX(BB:BB,MIN(IF(ISNUMBER(BB36:BB232),ROW(BB36:BB232),"")))</f>
        <v>16.621666666666666</v>
      </c>
      <c r="BD36" s="12">
        <f>IF('Données projet'!$A$88&gt;35,BD35+BC36-BL35,IF(A36&lt;'Données projet'!$A$88,$BA$205^A36,IF(A36='Données projet'!$A$88,'Données projet'!$B$88,BD35+BC36-BL35)))</f>
        <v>217.65000000000003</v>
      </c>
      <c r="BE36" s="13">
        <f>BD36*VLOOKUP('Données projet'!$B$11,Paramètres!$A$1:$I$89,3,0)*VLOOKUP('Données projet'!$B$11,Paramètres!$A$1:$I$89,5,0)</f>
        <v>130.15470000000002</v>
      </c>
      <c r="BF36" s="13">
        <f t="shared" si="37"/>
        <v>34.032103485601695</v>
      </c>
      <c r="BG36" s="20">
        <f t="shared" si="7"/>
        <v>285.95868273742298</v>
      </c>
      <c r="BH36" s="59">
        <f t="shared" si="8"/>
        <v>579.29201607075629</v>
      </c>
      <c r="BI36" s="59">
        <f ca="1">AVERAGE(OFFSET($BH$3,0,0,'Données projet'!$E$11+1,1))-AVERAGE(OFFSET($H$3,0,0,'Données projet'!$E$11+1,1))</f>
        <v>349.71285006949597</v>
      </c>
      <c r="BJ36" s="59">
        <f t="shared" si="38"/>
        <v>258.51550516456842</v>
      </c>
      <c r="BK36" s="15">
        <f>IF(ISNA(VLOOKUP(A36,'Données projet'!$A$87:$I$107,3,0)),0,VLOOKUP(A36,'Données projet'!$A$87:$I$107,3,0))</f>
        <v>3</v>
      </c>
      <c r="BL36" s="15">
        <f>IF(ISNA(VLOOKUP(A36,'Données projet'!$A$87:$I$107,4,0)),0,VLOOKUP(A36,'Données projet'!$A$87:$I$107,4,0))</f>
        <v>50.460000000000008</v>
      </c>
      <c r="BM36" s="16">
        <f>IF(ISNA(VLOOKUP(A36,'Données projet'!$A$87:$I$107,5,0)),0%,VLOOKUP(A36,'Données projet'!$A$87:$I$107,5,0)*VLOOKUP('Données projet'!$B$11,Paramètres!$A$1:$I$89,7,0))</f>
        <v>0.1125</v>
      </c>
      <c r="BN36" s="16">
        <f>IF(ISNA(VLOOKUP(A36,'Données projet'!$A$87:$I$107,6,0)),0%,VLOOKUP(A36,'Données projet'!$A$87:$I$107,6,0)*VLOOKUP('Données projet'!$B$11,Paramètres!$A$1:$I$89,7,0))</f>
        <v>0.16650000000000001</v>
      </c>
      <c r="BO36" s="16">
        <f>IF(ISNA(VLOOKUP(A36,'Données projet'!$A$87:$I$107,7,0)),0%,VLOOKUP(A36,'Données projet'!$A$87:$I$107,7,0))</f>
        <v>0.38</v>
      </c>
      <c r="BP36" s="21">
        <f>EXP(-LN(2)/35)*BP35+(1-EXP(-LN(2)/35))/(LN(2)/35)*BL36*BM36*VLOOKUP('Données projet'!$B$11,Paramètres!$A$1:$I$89,3,0)*0.475*44/12</f>
        <v>11.285877104480107</v>
      </c>
      <c r="BQ36" s="21">
        <f>EXP(-LN(2)/25)*BQ35+(1-EXP(-LN(2)/25))/(LN(2)/25)*Calculateur!BL36*Calculateur!BN36*VLOOKUP('Données projet'!$B$11,Paramètres!$A$1:$I$89,3,0)*0.475*44/12</f>
        <v>15.967029985418133</v>
      </c>
      <c r="BR36" s="21">
        <f>EXP(-LN(2)/2)*BR35+(1-EXP(-LN(2)/2))/(LN(2)/2)*BL36*BO36*VLOOKUP('Données projet'!$B$11,Paramètres!$A$1:$I$89,3,0)*0.475*44/12</f>
        <v>14.501806839279157</v>
      </c>
      <c r="BS36" s="22">
        <f t="shared" si="9"/>
        <v>41.754713929177399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3.3603333333333336</v>
      </c>
      <c r="N37" s="13">
        <f>IF('Données projet'!$A$36&gt;35,N36+M37-V36,IF(A37&lt;'Données projet'!$A$36,$K$205^A37,IF(A37='Données projet'!$A$36,'Données projet'!$B$36,N36+M37-V36)))</f>
        <v>114.25133333333332</v>
      </c>
      <c r="O37" s="13">
        <f>N37*VLOOKUP('Données projet'!$B$9,Paramètres!$A$1:$I$89,3,0)*VLOOKUP('Données projet'!$B$9,Paramètres!$A$1:$I$89,5,0)</f>
        <v>130.10941839999998</v>
      </c>
      <c r="P37" s="13">
        <f t="shared" si="33"/>
        <v>34.021641473848256</v>
      </c>
      <c r="Q37" s="20">
        <f t="shared" si="53"/>
        <v>285.86159594695238</v>
      </c>
      <c r="R37" s="59">
        <f t="shared" si="0"/>
        <v>579.19492928028569</v>
      </c>
      <c r="S37" s="59">
        <f ca="1">AVERAGE(OFFSET($R$3,0,0,'Données projet'!$E$9+1,1))-AVERAGE(OFFSET($H$3,0,0,'Données projet'!$E$9+1,1))</f>
        <v>593.28343396240075</v>
      </c>
      <c r="T37" s="59">
        <f t="shared" si="34"/>
        <v>289.66477662068695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17.804285714285715</v>
      </c>
      <c r="AI37" s="13">
        <f>IF('Données projet'!$A$62&gt;35,AI36+AH37-AQ36,IF(A37&lt;'Données projet'!$A$62,$AF$205^A37,IF(A37='Données projet'!$A$62,'Données projet'!$B$62,AI36+AH37-AQ36)))</f>
        <v>276.9614285714286</v>
      </c>
      <c r="AJ37" s="13">
        <f>AI37*VLOOKUP('Données projet'!$B$10,Paramètres!$A$1:$I$89,3,0)*VLOOKUP('Données projet'!$B$10,Paramètres!$A$1:$I$89,5,0)</f>
        <v>165.62293428571431</v>
      </c>
      <c r="AK37" s="13">
        <f t="shared" si="35"/>
        <v>42.108223194605671</v>
      </c>
      <c r="AL37" s="20">
        <f t="shared" si="4"/>
        <v>361.7984326115573</v>
      </c>
      <c r="AM37" s="59">
        <f t="shared" si="5"/>
        <v>655.13176594489062</v>
      </c>
      <c r="AN37" s="59">
        <f ca="1">AVERAGE(OFFSET($AM$3,0,0,'Données projet'!$E$10+1,1))-AVERAGE(OFFSET($H$3,0,0,'Données projet'!$E$10+1,1))</f>
        <v>302.00825291248458</v>
      </c>
      <c r="AO37" s="59">
        <f t="shared" si="36"/>
        <v>307.35115839449355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14.853369192171066</v>
      </c>
      <c r="AV37" s="21">
        <f>EXP(-LN(2)/25)*AV36+(1-EXP(-LN(2)/25))/(LN(2)/25)*Calculateur!AQ37*Calculateur!AS37*VLOOKUP('Données projet'!$B$10,Paramètres!$A$1:$I$89,3,0)*0.475*44/12</f>
        <v>13.633455088459984</v>
      </c>
      <c r="AW37" s="21">
        <f>EXP(-LN(2)/2)*AW36+(1-EXP(-LN(2)/2))/(LN(2)/2)*AQ37*AT37*VLOOKUP('Données projet'!$B$10,Paramètres!$A$1:$I$89,3,0)*0.475*44/12</f>
        <v>1.6862428935531688</v>
      </c>
      <c r="AX37" s="21">
        <f t="shared" si="6"/>
        <v>30.173067174184215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16.693750000000001</v>
      </c>
      <c r="BD37" s="12">
        <f>IF('Données projet'!$A$88&gt;35,BD36+BC37-BL36,IF(A37&lt;'Données projet'!$A$88,$BA$205^A37,IF(A37='Données projet'!$A$88,'Données projet'!$B$88,BD36+BC37-BL36)))</f>
        <v>183.88375000000002</v>
      </c>
      <c r="BE37" s="13">
        <f>BD37*VLOOKUP('Données projet'!$B$11,Paramètres!$A$1:$I$89,3,0)*VLOOKUP('Données projet'!$B$11,Paramètres!$A$1:$I$89,5,0)</f>
        <v>109.96248250000002</v>
      </c>
      <c r="BF37" s="13">
        <f t="shared" si="37"/>
        <v>29.322144981447174</v>
      </c>
      <c r="BG37" s="20">
        <f t="shared" si="7"/>
        <v>242.58739286352048</v>
      </c>
      <c r="BH37" s="59">
        <f t="shared" si="8"/>
        <v>535.92072619685382</v>
      </c>
      <c r="BI37" s="59">
        <f ca="1">AVERAGE(OFFSET($BH$3,0,0,'Données projet'!$E$11+1,1))-AVERAGE(OFFSET($H$3,0,0,'Données projet'!$E$11+1,1))</f>
        <v>349.71285006949597</v>
      </c>
      <c r="BJ37" s="59">
        <f t="shared" si="38"/>
        <v>258.51550516456842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11.064567938166578</v>
      </c>
      <c r="BQ37" s="21">
        <f>EXP(-LN(2)/25)*BQ36+(1-EXP(-LN(2)/25))/(LN(2)/25)*Calculateur!BL37*Calculateur!BN37*VLOOKUP('Données projet'!$B$11,Paramètres!$A$1:$I$89,3,0)*0.475*44/12</f>
        <v>15.530410710797261</v>
      </c>
      <c r="BR37" s="21">
        <f>EXP(-LN(2)/2)*BR36+(1-EXP(-LN(2)/2))/(LN(2)/2)*BL37*BO37*VLOOKUP('Données projet'!$B$11,Paramètres!$A$1:$I$89,3,0)*0.475*44/12</f>
        <v>10.254325955511746</v>
      </c>
      <c r="BS37" s="22">
        <f t="shared" si="9"/>
        <v>36.849304604475584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3.3603333333333336</v>
      </c>
      <c r="N38" s="13">
        <f>IF('Données projet'!$A$36&gt;35,N37+M38-V37,IF(A38&lt;'Données projet'!$A$36,$K$205^A38,IF(A38='Données projet'!$A$36,'Données projet'!$B$36,N37+M38-V37)))</f>
        <v>117.61166666666665</v>
      </c>
      <c r="O38" s="13">
        <f>N38*VLOOKUP('Données projet'!$B$9,Paramètres!$A$1:$I$89,3,0)*VLOOKUP('Données projet'!$B$9,Paramètres!$A$1:$I$89,5,0)</f>
        <v>133.93616599999999</v>
      </c>
      <c r="P38" s="13">
        <f t="shared" si="33"/>
        <v>34.904306731546029</v>
      </c>
      <c r="Q38" s="20">
        <f t="shared" si="53"/>
        <v>294.06382334077597</v>
      </c>
      <c r="R38" s="59">
        <f t="shared" si="0"/>
        <v>587.39715667410928</v>
      </c>
      <c r="S38" s="59">
        <f ca="1">AVERAGE(OFFSET($R$3,0,0,'Données projet'!$E$9+1,1))-AVERAGE(OFFSET($H$3,0,0,'Données projet'!$E$9+1,1))</f>
        <v>593.28343396240075</v>
      </c>
      <c r="T38" s="59">
        <f t="shared" si="34"/>
        <v>289.66477662068695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17.804285714285715</v>
      </c>
      <c r="AI38" s="13">
        <f>IF('Données projet'!$A$62&gt;35,AI37+AH38-AQ37,IF(A38&lt;'Données projet'!$A$62,$AF$205^A38,IF(A38='Données projet'!$A$62,'Données projet'!$B$62,AI37+AH38-AQ37)))</f>
        <v>294.7657142857143</v>
      </c>
      <c r="AJ38" s="13">
        <f>AI38*VLOOKUP('Données projet'!$B$10,Paramètres!$A$1:$I$89,3,0)*VLOOKUP('Données projet'!$B$10,Paramètres!$A$1:$I$89,5,0)</f>
        <v>176.26989714285719</v>
      </c>
      <c r="AK38" s="13">
        <f t="shared" si="35"/>
        <v>44.491298310145091</v>
      </c>
      <c r="AL38" s="20">
        <f t="shared" si="4"/>
        <v>384.49241541397896</v>
      </c>
      <c r="AM38" s="59">
        <f t="shared" si="5"/>
        <v>677.82574874731222</v>
      </c>
      <c r="AN38" s="59">
        <f ca="1">AVERAGE(OFFSET($AM$3,0,0,'Données projet'!$E$10+1,1))-AVERAGE(OFFSET($H$3,0,0,'Données projet'!$E$10+1,1))</f>
        <v>302.00825291248458</v>
      </c>
      <c r="AO38" s="59">
        <f t="shared" si="36"/>
        <v>307.35115839449355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14.56210368197323</v>
      </c>
      <c r="AV38" s="21">
        <f>EXP(-LN(2)/25)*AV37+(1-EXP(-LN(2)/25))/(LN(2)/25)*Calculateur!AQ38*Calculateur!AS38*VLOOKUP('Données projet'!$B$10,Paramètres!$A$1:$I$89,3,0)*0.475*44/12</f>
        <v>13.260647542113801</v>
      </c>
      <c r="AW38" s="21">
        <f>EXP(-LN(2)/2)*AW37+(1-EXP(-LN(2)/2))/(LN(2)/2)*AQ38*AT38*VLOOKUP('Données projet'!$B$10,Paramètres!$A$1:$I$89,3,0)*0.475*44/12</f>
        <v>1.1923537847590713</v>
      </c>
      <c r="AX38" s="21">
        <f t="shared" si="6"/>
        <v>29.015105008846103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16.693750000000001</v>
      </c>
      <c r="BD38" s="12">
        <f>IF('Données projet'!$A$88&gt;35,BD37+BC38-BL37,IF(A38&lt;'Données projet'!$A$88,$BA$205^A38,IF(A38='Données projet'!$A$88,'Données projet'!$B$88,BD37+BC38-BL37)))</f>
        <v>200.57750000000001</v>
      </c>
      <c r="BE38" s="13">
        <f>BD38*VLOOKUP('Données projet'!$B$11,Paramètres!$A$1:$I$89,3,0)*VLOOKUP('Données projet'!$B$11,Paramètres!$A$1:$I$89,5,0)</f>
        <v>119.94534500000002</v>
      </c>
      <c r="BF38" s="13">
        <f t="shared" si="37"/>
        <v>31.662251574949313</v>
      </c>
      <c r="BG38" s="20">
        <f t="shared" si="7"/>
        <v>264.04989736803674</v>
      </c>
      <c r="BH38" s="59">
        <f t="shared" si="8"/>
        <v>557.38323070137005</v>
      </c>
      <c r="BI38" s="59">
        <f ca="1">AVERAGE(OFFSET($BH$3,0,0,'Données projet'!$E$11+1,1))-AVERAGE(OFFSET($H$3,0,0,'Données projet'!$E$11+1,1))</f>
        <v>349.71285006949597</v>
      </c>
      <c r="BJ38" s="59">
        <f t="shared" si="38"/>
        <v>258.51550516456842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10.847598509619193</v>
      </c>
      <c r="BQ38" s="21">
        <f>EXP(-LN(2)/25)*BQ37+(1-EXP(-LN(2)/25))/(LN(2)/25)*Calculateur!BL38*Calculateur!BN38*VLOOKUP('Données projet'!$B$11,Paramètres!$A$1:$I$89,3,0)*0.475*44/12</f>
        <v>15.105730813201706</v>
      </c>
      <c r="BR38" s="21">
        <f>EXP(-LN(2)/2)*BR37+(1-EXP(-LN(2)/2))/(LN(2)/2)*BL38*BO38*VLOOKUP('Données projet'!$B$11,Paramètres!$A$1:$I$89,3,0)*0.475*44/12</f>
        <v>7.2509034196395792</v>
      </c>
      <c r="BS38" s="22">
        <f t="shared" si="9"/>
        <v>33.204232742460476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3.3603333333333336</v>
      </c>
      <c r="N39" s="13">
        <f>IF('Données projet'!$A$36&gt;35,N38+M39-V38,IF(A39&lt;'Données projet'!$A$36,$K$205^A39,IF(A39='Données projet'!$A$36,'Données projet'!$B$36,N38+M39-V38)))</f>
        <v>120.97199999999998</v>
      </c>
      <c r="O39" s="13">
        <f>N39*VLOOKUP('Données projet'!$B$9,Paramètres!$A$1:$I$89,3,0)*VLOOKUP('Données projet'!$B$9,Paramètres!$A$1:$I$89,5,0)</f>
        <v>137.76291359999996</v>
      </c>
      <c r="P39" s="13">
        <f t="shared" si="33"/>
        <v>35.784040951312875</v>
      </c>
      <c r="Q39" s="20">
        <f t="shared" si="53"/>
        <v>302.26094584353649</v>
      </c>
      <c r="R39" s="59">
        <f t="shared" si="0"/>
        <v>595.5942791768698</v>
      </c>
      <c r="S39" s="59">
        <f ca="1">AVERAGE(OFFSET($R$3,0,0,'Données projet'!$E$9+1,1))-AVERAGE(OFFSET($H$3,0,0,'Données projet'!$E$9+1,1))</f>
        <v>593.28343396240075</v>
      </c>
      <c r="T39" s="59">
        <f t="shared" si="34"/>
        <v>289.66477662068695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312.57</v>
      </c>
      <c r="AG39" s="12">
        <f>VLOOKUP(A39,'Données projet'!$A$61:$I$81,9,0)</f>
        <v>17.804285714285715</v>
      </c>
      <c r="AH39" s="12">
        <f t="array" ref="AH39">INDEX(AG:AG,MIN(IF(ISNUMBER(AG39:AG235),ROW(AG39:AG235),"")))</f>
        <v>17.804285714285715</v>
      </c>
      <c r="AI39" s="13">
        <f>IF('Données projet'!$A$62&gt;35,AI38+AH39-AQ38,IF(A39&lt;'Données projet'!$A$62,$AF$205^A39,IF(A39='Données projet'!$A$62,'Données projet'!$B$62,AI38+AH39-AQ38)))</f>
        <v>312.57</v>
      </c>
      <c r="AJ39" s="13">
        <f>AI39*VLOOKUP('Données projet'!$B$10,Paramètres!$A$1:$I$89,3,0)*VLOOKUP('Données projet'!$B$10,Paramètres!$A$1:$I$89,5,0)</f>
        <v>186.91685999999999</v>
      </c>
      <c r="AK39" s="13">
        <f t="shared" si="35"/>
        <v>46.857666701992478</v>
      </c>
      <c r="AL39" s="20">
        <f t="shared" si="4"/>
        <v>407.15730067263689</v>
      </c>
      <c r="AM39" s="59">
        <f t="shared" si="5"/>
        <v>700.49063400597015</v>
      </c>
      <c r="AN39" s="59">
        <f ca="1">AVERAGE(OFFSET($AM$3,0,0,'Données projet'!$E$10+1,1))-AVERAGE(OFFSET($H$3,0,0,'Données projet'!$E$10+1,1))</f>
        <v>302.00825291248458</v>
      </c>
      <c r="AO39" s="59">
        <f t="shared" si="36"/>
        <v>307.35115839449355</v>
      </c>
      <c r="AP39" s="15">
        <f>IF(ISNA(VLOOKUP(A39,'Données projet'!$A$61:$I$81,3,0)),0,VLOOKUP(A39,'Données projet'!$A$61:$I$81,3,0))</f>
        <v>4</v>
      </c>
      <c r="AQ39" s="15">
        <f>IF(ISNA(VLOOKUP(A39,'Données projet'!$A$61:$I$81,4,0)),0,VLOOKUP(A39,'Données projet'!$A$61:$I$81,4,0))</f>
        <v>76.509999999999991</v>
      </c>
      <c r="AR39" s="16">
        <f>IF(ISNA(VLOOKUP(A39,'Données projet'!$A$61:$I$81,5,0)),0%,VLOOKUP(A39,'Données projet'!$A$61:$I$81,5,0)*VLOOKUP('Données projet'!$B$10,Paramètres!$A$1:$I$89,7,0))</f>
        <v>0.27</v>
      </c>
      <c r="AS39" s="16">
        <f>IF(ISNA(VLOOKUP(A39,'Données projet'!$A$61:$I$81,6,0)),0%,VLOOKUP(A39,'Données projet'!$A$61:$I$81,6,0)*VLOOKUP('Données projet'!$B$10,Paramètres!$A$1:$I$89,7,0))</f>
        <v>9.0000000000000011E-2</v>
      </c>
      <c r="AT39" s="16">
        <f>IF(ISNA(VLOOKUP(A39,'Données projet'!$A$61:$I$81,7,0)),0%,VLOOKUP(A39,'Données projet'!$A$61:$I$81,7,0))</f>
        <v>0.2</v>
      </c>
      <c r="AU39" s="21">
        <f>EXP(-LN(2)/35)*AU38+(1-EXP(-LN(2)/35))/(LN(2)/35)*AQ39*AR39*VLOOKUP('Données projet'!$B$10,Paramètres!$A$1:$I$89,3,0)*0.475*44/12</f>
        <v>30.66400450035372</v>
      </c>
      <c r="AV39" s="21">
        <f>EXP(-LN(2)/25)*AV38+(1-EXP(-LN(2)/25))/(LN(2)/25)*Calculateur!AQ39*Calculateur!AS39*VLOOKUP('Données projet'!$B$10,Paramètres!$A$1:$I$89,3,0)*0.475*44/12</f>
        <v>18.339011483048019</v>
      </c>
      <c r="AW39" s="21">
        <f>EXP(-LN(2)/2)*AW38+(1-EXP(-LN(2)/2))/(LN(2)/2)*AQ39*AT39*VLOOKUP('Données projet'!$B$10,Paramètres!$A$1:$I$89,3,0)*0.475*44/12</f>
        <v>11.203721779593071</v>
      </c>
      <c r="AX39" s="21">
        <f t="shared" si="6"/>
        <v>60.206737762994806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16.693750000000001</v>
      </c>
      <c r="BD39" s="12">
        <f>IF('Données projet'!$A$88&gt;35,BD38+BC39-BL38,IF(A39&lt;'Données projet'!$A$88,$BA$205^A39,IF(A39='Données projet'!$A$88,'Données projet'!$B$88,BD38+BC39-BL38)))</f>
        <v>217.27125000000001</v>
      </c>
      <c r="BE39" s="13">
        <f>BD39*VLOOKUP('Données projet'!$B$11,Paramètres!$A$1:$I$89,3,0)*VLOOKUP('Données projet'!$B$11,Paramètres!$A$1:$I$89,5,0)</f>
        <v>129.92820750000001</v>
      </c>
      <c r="BF39" s="13">
        <f t="shared" si="37"/>
        <v>33.97976966017913</v>
      </c>
      <c r="BG39" s="20">
        <f t="shared" si="7"/>
        <v>285.47306022064532</v>
      </c>
      <c r="BH39" s="59">
        <f t="shared" si="8"/>
        <v>578.80639355397864</v>
      </c>
      <c r="BI39" s="59">
        <f ca="1">AVERAGE(OFFSET($BH$3,0,0,'Données projet'!$E$11+1,1))-AVERAGE(OFFSET($H$3,0,0,'Données projet'!$E$11+1,1))</f>
        <v>349.71285006949597</v>
      </c>
      <c r="BJ39" s="59">
        <f t="shared" si="38"/>
        <v>258.51550516456842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10.634883719227338</v>
      </c>
      <c r="BQ39" s="21">
        <f>EXP(-LN(2)/25)*BQ38+(1-EXP(-LN(2)/25))/(LN(2)/25)*Calculateur!BL39*Calculateur!BN39*VLOOKUP('Données projet'!$B$11,Paramètres!$A$1:$I$89,3,0)*0.475*44/12</f>
        <v>14.692663809738846</v>
      </c>
      <c r="BR39" s="21">
        <f>EXP(-LN(2)/2)*BR38+(1-EXP(-LN(2)/2))/(LN(2)/2)*BL39*BO39*VLOOKUP('Données projet'!$B$11,Paramètres!$A$1:$I$89,3,0)*0.475*44/12</f>
        <v>5.1271629777558738</v>
      </c>
      <c r="BS39" s="22">
        <f t="shared" si="9"/>
        <v>30.454710506722058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3.3603333333333336</v>
      </c>
      <c r="N40" s="13">
        <f>IF('Données projet'!$A$36&gt;35,N39+M40-V39,IF(A40&lt;'Données projet'!$A$36,$K$205^A40,IF(A40='Données projet'!$A$36,'Données projet'!$B$36,N39+M40-V39)))</f>
        <v>124.33233333333331</v>
      </c>
      <c r="O40" s="13">
        <f>N40*VLOOKUP('Données projet'!$B$9,Paramètres!$A$1:$I$89,3,0)*VLOOKUP('Données projet'!$B$9,Paramètres!$A$1:$I$89,5,0)</f>
        <v>141.58966119999997</v>
      </c>
      <c r="P40" s="13">
        <f t="shared" si="33"/>
        <v>36.66093490475005</v>
      </c>
      <c r="Q40" s="20">
        <f t="shared" si="53"/>
        <v>310.45312154910624</v>
      </c>
      <c r="R40" s="59">
        <f t="shared" si="0"/>
        <v>603.78645488243956</v>
      </c>
      <c r="S40" s="59">
        <f ca="1">AVERAGE(OFFSET($R$3,0,0,'Données projet'!$E$9+1,1))-AVERAGE(OFFSET($H$3,0,0,'Données projet'!$E$9+1,1))</f>
        <v>593.28343396240075</v>
      </c>
      <c r="T40" s="59">
        <f t="shared" si="34"/>
        <v>289.66477662068695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16.583750000000002</v>
      </c>
      <c r="AI40" s="13">
        <f>IF('Données projet'!$A$62&gt;35,AI39+AH40-AQ39,IF(A40&lt;'Données projet'!$A$62,$AF$205^A40,IF(A40='Données projet'!$A$62,'Données projet'!$B$62,AI39+AH40-AQ39)))</f>
        <v>252.64375000000001</v>
      </c>
      <c r="AJ40" s="13">
        <f>AI40*VLOOKUP('Données projet'!$B$10,Paramètres!$A$1:$I$89,3,0)*VLOOKUP('Données projet'!$B$10,Paramètres!$A$1:$I$89,5,0)</f>
        <v>151.0809625</v>
      </c>
      <c r="AK40" s="13">
        <f t="shared" si="35"/>
        <v>38.824135473109777</v>
      </c>
      <c r="AL40" s="20">
        <f t="shared" si="4"/>
        <v>330.75137896983284</v>
      </c>
      <c r="AM40" s="59">
        <f t="shared" si="5"/>
        <v>624.08471230316616</v>
      </c>
      <c r="AN40" s="59">
        <f ca="1">AVERAGE(OFFSET($AM$3,0,0,'Données projet'!$E$10+1,1))-AVERAGE(OFFSET($H$3,0,0,'Données projet'!$E$10+1,1))</f>
        <v>302.00825291248458</v>
      </c>
      <c r="AO40" s="59">
        <f t="shared" si="36"/>
        <v>307.35115839449355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30.062702075297739</v>
      </c>
      <c r="AV40" s="21">
        <f>EXP(-LN(2)/25)*AV39+(1-EXP(-LN(2)/25))/(LN(2)/25)*Calculateur!AQ40*Calculateur!AS40*VLOOKUP('Données projet'!$B$10,Paramètres!$A$1:$I$89,3,0)*0.475*44/12</f>
        <v>17.837530249637371</v>
      </c>
      <c r="AW40" s="21">
        <f>EXP(-LN(2)/2)*AW39+(1-EXP(-LN(2)/2))/(LN(2)/2)*AQ40*AT40*VLOOKUP('Données projet'!$B$10,Paramètres!$A$1:$I$89,3,0)*0.475*44/12</f>
        <v>7.9222276448776752</v>
      </c>
      <c r="AX40" s="21">
        <f t="shared" si="6"/>
        <v>55.822459969812783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16.693750000000001</v>
      </c>
      <c r="BD40" s="12">
        <f>IF('Données projet'!$A$88&gt;35,BD39+BC40-BL39,IF(A40&lt;'Données projet'!$A$88,$BA$205^A40,IF(A40='Données projet'!$A$88,'Données projet'!$B$88,BD39+BC40-BL39)))</f>
        <v>233.965</v>
      </c>
      <c r="BE40" s="13">
        <f>BD40*VLOOKUP('Données projet'!$B$11,Paramètres!$A$1:$I$89,3,0)*VLOOKUP('Données projet'!$B$11,Paramètres!$A$1:$I$89,5,0)</f>
        <v>139.91107000000002</v>
      </c>
      <c r="BF40" s="13">
        <f t="shared" si="37"/>
        <v>36.276632127461212</v>
      </c>
      <c r="BG40" s="20">
        <f t="shared" si="7"/>
        <v>306.860247871995</v>
      </c>
      <c r="BH40" s="59">
        <f t="shared" si="8"/>
        <v>600.19358120532831</v>
      </c>
      <c r="BI40" s="59">
        <f ca="1">AVERAGE(OFFSET($BH$3,0,0,'Données projet'!$E$11+1,1))-AVERAGE(OFFSET($H$3,0,0,'Données projet'!$E$11+1,1))</f>
        <v>349.71285006949597</v>
      </c>
      <c r="BJ40" s="59">
        <f t="shared" si="38"/>
        <v>258.51550516456842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10.426340136131856</v>
      </c>
      <c r="BQ40" s="21">
        <f>EXP(-LN(2)/25)*BQ39+(1-EXP(-LN(2)/25))/(LN(2)/25)*Calculateur!BL40*Calculateur!BN40*VLOOKUP('Données projet'!$B$11,Paramètres!$A$1:$I$89,3,0)*0.475*44/12</f>
        <v>14.290892145207929</v>
      </c>
      <c r="BR40" s="21">
        <f>EXP(-LN(2)/2)*BR39+(1-EXP(-LN(2)/2))/(LN(2)/2)*BL40*BO40*VLOOKUP('Données projet'!$B$11,Paramètres!$A$1:$I$89,3,0)*0.475*44/12</f>
        <v>3.6254517098197905</v>
      </c>
      <c r="BS40" s="22">
        <f t="shared" si="9"/>
        <v>28.342683991159575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3.3603333333333336</v>
      </c>
      <c r="N41" s="13">
        <f>IF('Données projet'!$A$36&gt;35,N40+M41-V40,IF(A41&lt;'Données projet'!$A$36,$K$205^A41,IF(A41='Données projet'!$A$36,'Données projet'!$B$36,N40+M41-V40)))</f>
        <v>127.69266666666664</v>
      </c>
      <c r="O41" s="13">
        <f>N41*VLOOKUP('Données projet'!$B$9,Paramètres!$A$1:$I$89,3,0)*VLOOKUP('Données projet'!$B$9,Paramètres!$A$1:$I$89,5,0)</f>
        <v>145.41640879999997</v>
      </c>
      <c r="P41" s="13">
        <f t="shared" si="33"/>
        <v>37.535074177574629</v>
      </c>
      <c r="Q41" s="20">
        <f t="shared" si="53"/>
        <v>318.64049951927569</v>
      </c>
      <c r="R41" s="59">
        <f t="shared" si="0"/>
        <v>611.97383285260901</v>
      </c>
      <c r="S41" s="59">
        <f ca="1">AVERAGE(OFFSET($R$3,0,0,'Données projet'!$E$9+1,1))-AVERAGE(OFFSET($H$3,0,0,'Données projet'!$E$9+1,1))</f>
        <v>593.28343396240075</v>
      </c>
      <c r="T41" s="59">
        <f t="shared" si="34"/>
        <v>289.66477662068695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16.583750000000002</v>
      </c>
      <c r="AI41" s="13">
        <f>IF('Données projet'!$A$62&gt;35,AI40+AH41-AQ40,IF(A41&lt;'Données projet'!$A$62,$AF$205^A41,IF(A41='Données projet'!$A$62,'Données projet'!$B$62,AI40+AH41-AQ40)))</f>
        <v>269.22750000000002</v>
      </c>
      <c r="AJ41" s="13">
        <f>AI41*VLOOKUP('Données projet'!$B$10,Paramètres!$A$1:$I$89,3,0)*VLOOKUP('Données projet'!$B$10,Paramètres!$A$1:$I$89,5,0)</f>
        <v>160.99804500000002</v>
      </c>
      <c r="AK41" s="13">
        <f t="shared" si="35"/>
        <v>41.067545707058052</v>
      </c>
      <c r="AL41" s="20">
        <f t="shared" si="4"/>
        <v>351.93090381479277</v>
      </c>
      <c r="AM41" s="59">
        <f t="shared" si="5"/>
        <v>645.26423714812609</v>
      </c>
      <c r="AN41" s="59">
        <f ca="1">AVERAGE(OFFSET($AM$3,0,0,'Données projet'!$E$10+1,1))-AVERAGE(OFFSET($H$3,0,0,'Données projet'!$E$10+1,1))</f>
        <v>302.00825291248458</v>
      </c>
      <c r="AO41" s="59">
        <f t="shared" si="36"/>
        <v>307.35115839449355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29.473190824038845</v>
      </c>
      <c r="AV41" s="21">
        <f>EXP(-LN(2)/25)*AV40+(1-EXP(-LN(2)/25))/(LN(2)/25)*Calculateur!AQ41*Calculateur!AS41*VLOOKUP('Données projet'!$B$10,Paramètres!$A$1:$I$89,3,0)*0.475*44/12</f>
        <v>17.349762046926088</v>
      </c>
      <c r="AW41" s="21">
        <f>EXP(-LN(2)/2)*AW40+(1-EXP(-LN(2)/2))/(LN(2)/2)*AQ41*AT41*VLOOKUP('Données projet'!$B$10,Paramètres!$A$1:$I$89,3,0)*0.475*44/12</f>
        <v>5.6018608897965363</v>
      </c>
      <c r="AX41" s="21">
        <f t="shared" si="6"/>
        <v>52.424813760761467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16.693750000000001</v>
      </c>
      <c r="BD41" s="12">
        <f>IF('Données projet'!$A$88&gt;35,BD40+BC41-BL40,IF(A41&lt;'Données projet'!$A$88,$BA$205^A41,IF(A41='Données projet'!$A$88,'Données projet'!$B$88,BD40+BC41-BL40)))</f>
        <v>250.65875</v>
      </c>
      <c r="BE41" s="13">
        <f>BD41*VLOOKUP('Données projet'!$B$11,Paramètres!$A$1:$I$89,3,0)*VLOOKUP('Données projet'!$B$11,Paramètres!$A$1:$I$89,5,0)</f>
        <v>149.89393250000001</v>
      </c>
      <c r="BF41" s="13">
        <f t="shared" si="37"/>
        <v>38.554480408619099</v>
      </c>
      <c r="BG41" s="20">
        <f t="shared" si="7"/>
        <v>328.21431914917827</v>
      </c>
      <c r="BH41" s="59">
        <f t="shared" si="8"/>
        <v>621.54765248251158</v>
      </c>
      <c r="BI41" s="59">
        <f ca="1">AVERAGE(OFFSET($BH$3,0,0,'Données projet'!$E$11+1,1))-AVERAGE(OFFSET($H$3,0,0,'Données projet'!$E$11+1,1))</f>
        <v>349.71285006949597</v>
      </c>
      <c r="BJ41" s="59">
        <f t="shared" si="38"/>
        <v>258.51550516456842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10.221885965501851</v>
      </c>
      <c r="BQ41" s="21">
        <f>EXP(-LN(2)/25)*BQ40+(1-EXP(-LN(2)/25))/(LN(2)/25)*Calculateur!BL41*Calculateur!BN41*VLOOKUP('Données projet'!$B$11,Paramètres!$A$1:$I$89,3,0)*0.475*44/12</f>
        <v>13.900106947971862</v>
      </c>
      <c r="BR41" s="21">
        <f>EXP(-LN(2)/2)*BR40+(1-EXP(-LN(2)/2))/(LN(2)/2)*BL41*BO41*VLOOKUP('Données projet'!$B$11,Paramètres!$A$1:$I$89,3,0)*0.475*44/12</f>
        <v>2.5635814888779374</v>
      </c>
      <c r="BS41" s="22">
        <f t="shared" si="9"/>
        <v>26.685574402351648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3.3603333333333336</v>
      </c>
      <c r="N42" s="13">
        <f>IF('Données projet'!$A$36&gt;35,N41+M42-V41,IF(A42&lt;'Données projet'!$A$36,$K$205^A42,IF(A42='Données projet'!$A$36,'Données projet'!$B$36,N41+M42-V41)))</f>
        <v>131.05299999999997</v>
      </c>
      <c r="O42" s="13">
        <f>N42*VLOOKUP('Données projet'!$B$9,Paramètres!$A$1:$I$89,3,0)*VLOOKUP('Données projet'!$B$9,Paramètres!$A$1:$I$89,5,0)</f>
        <v>149.24315639999995</v>
      </c>
      <c r="P42" s="13">
        <f t="shared" si="33"/>
        <v>38.406539594463815</v>
      </c>
      <c r="Q42" s="20">
        <f t="shared" si="53"/>
        <v>326.82322052369108</v>
      </c>
      <c r="R42" s="59">
        <f t="shared" si="0"/>
        <v>620.15655385702439</v>
      </c>
      <c r="S42" s="59">
        <f ca="1">AVERAGE(OFFSET($R$3,0,0,'Données projet'!$E$9+1,1))-AVERAGE(OFFSET($H$3,0,0,'Données projet'!$E$9+1,1))</f>
        <v>593.28343396240075</v>
      </c>
      <c r="T42" s="59">
        <f t="shared" si="34"/>
        <v>289.66477662068695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16.583750000000002</v>
      </c>
      <c r="AI42" s="13">
        <f>IF('Données projet'!$A$62&gt;35,AI41+AH42-AQ41,IF(A42&lt;'Données projet'!$A$62,$AF$205^A42,IF(A42='Données projet'!$A$62,'Données projet'!$B$62,AI41+AH42-AQ41)))</f>
        <v>285.81125000000003</v>
      </c>
      <c r="AJ42" s="13">
        <f>AI42*VLOOKUP('Données projet'!$B$10,Paramètres!$A$1:$I$89,3,0)*VLOOKUP('Données projet'!$B$10,Paramètres!$A$1:$I$89,5,0)</f>
        <v>170.91512750000004</v>
      </c>
      <c r="AK42" s="13">
        <f t="shared" si="35"/>
        <v>43.294917618591782</v>
      </c>
      <c r="AL42" s="20">
        <f t="shared" si="4"/>
        <v>373.08249524821412</v>
      </c>
      <c r="AM42" s="59">
        <f t="shared" si="5"/>
        <v>666.41582858154743</v>
      </c>
      <c r="AN42" s="59">
        <f ca="1">AVERAGE(OFFSET($AM$3,0,0,'Données projet'!$E$10+1,1))-AVERAGE(OFFSET($H$3,0,0,'Données projet'!$E$10+1,1))</f>
        <v>302.00825291248458</v>
      </c>
      <c r="AO42" s="59">
        <f t="shared" si="36"/>
        <v>307.35115839449355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28.895239528850777</v>
      </c>
      <c r="AV42" s="21">
        <f>EXP(-LN(2)/25)*AV41+(1-EXP(-LN(2)/25))/(LN(2)/25)*Calculateur!AQ42*Calculateur!AS42*VLOOKUP('Données projet'!$B$10,Paramètres!$A$1:$I$89,3,0)*0.475*44/12</f>
        <v>16.87533189136856</v>
      </c>
      <c r="AW42" s="21">
        <f>EXP(-LN(2)/2)*AW41+(1-EXP(-LN(2)/2))/(LN(2)/2)*AQ42*AT42*VLOOKUP('Données projet'!$B$10,Paramètres!$A$1:$I$89,3,0)*0.475*44/12</f>
        <v>3.961113822438838</v>
      </c>
      <c r="AX42" s="21">
        <f t="shared" si="6"/>
        <v>49.73168524265818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16.693750000000001</v>
      </c>
      <c r="BD42" s="12">
        <f>IF('Données projet'!$A$88&gt;35,BD41+BC42-BL41,IF(A42&lt;'Données projet'!$A$88,$BA$205^A42,IF(A42='Données projet'!$A$88,'Données projet'!$B$88,BD41+BC42-BL41)))</f>
        <v>267.35250000000002</v>
      </c>
      <c r="BE42" s="13">
        <f>BD42*VLOOKUP('Données projet'!$B$11,Paramètres!$A$1:$I$89,3,0)*VLOOKUP('Données projet'!$B$11,Paramètres!$A$1:$I$89,5,0)</f>
        <v>159.87679500000002</v>
      </c>
      <c r="BF42" s="13">
        <f t="shared" si="37"/>
        <v>40.814724929285397</v>
      </c>
      <c r="BG42" s="20">
        <f t="shared" si="7"/>
        <v>349.5377305435054</v>
      </c>
      <c r="BH42" s="59">
        <f t="shared" si="8"/>
        <v>642.87106387683866</v>
      </c>
      <c r="BI42" s="59">
        <f ca="1">AVERAGE(OFFSET($BH$3,0,0,'Données projet'!$E$11+1,1))-AVERAGE(OFFSET($H$3,0,0,'Données projet'!$E$11+1,1))</f>
        <v>349.71285006949597</v>
      </c>
      <c r="BJ42" s="59">
        <f t="shared" si="38"/>
        <v>258.51550516456842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10.021441016453171</v>
      </c>
      <c r="BQ42" s="21">
        <f>EXP(-LN(2)/25)*BQ41+(1-EXP(-LN(2)/25))/(LN(2)/25)*Calculateur!BL42*Calculateur!BN42*VLOOKUP('Données projet'!$B$11,Paramètres!$A$1:$I$89,3,0)*0.475*44/12</f>
        <v>13.520007792504716</v>
      </c>
      <c r="BR42" s="21">
        <f>EXP(-LN(2)/2)*BR41+(1-EXP(-LN(2)/2))/(LN(2)/2)*BL42*BO42*VLOOKUP('Données projet'!$B$11,Paramètres!$A$1:$I$89,3,0)*0.475*44/12</f>
        <v>1.8127258549098955</v>
      </c>
      <c r="BS42" s="22">
        <f t="shared" si="9"/>
        <v>25.354174663867784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3.3603333333333336</v>
      </c>
      <c r="N43" s="13">
        <f>IF('Données projet'!$A$36&gt;35,N42+M43-V42,IF(A43&lt;'Données projet'!$A$36,$K$205^A43,IF(A43='Données projet'!$A$36,'Données projet'!$B$36,N42+M43-V42)))</f>
        <v>134.4133333333333</v>
      </c>
      <c r="O43" s="13">
        <f>N43*VLOOKUP('Données projet'!$B$9,Paramètres!$A$1:$I$89,3,0)*VLOOKUP('Données projet'!$B$9,Paramètres!$A$1:$I$89,5,0)</f>
        <v>153.06990399999998</v>
      </c>
      <c r="P43" s="13">
        <f t="shared" si="33"/>
        <v>39.275407599099857</v>
      </c>
      <c r="Q43" s="20">
        <f t="shared" si="53"/>
        <v>335.00141770176555</v>
      </c>
      <c r="R43" s="59">
        <f t="shared" si="0"/>
        <v>628.33475103509886</v>
      </c>
      <c r="S43" s="59">
        <f ca="1">AVERAGE(OFFSET($R$3,0,0,'Données projet'!$E$9+1,1))-AVERAGE(OFFSET($H$3,0,0,'Données projet'!$E$9+1,1))</f>
        <v>593.28343396240075</v>
      </c>
      <c r="T43" s="59">
        <f t="shared" si="34"/>
        <v>289.66477662068695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16.583750000000002</v>
      </c>
      <c r="AI43" s="13">
        <f>IF('Données projet'!$A$62&gt;35,AI42+AH43-AQ42,IF(A43&lt;'Données projet'!$A$62,$AF$205^A43,IF(A43='Données projet'!$A$62,'Données projet'!$B$62,AI42+AH43-AQ42)))</f>
        <v>302.39500000000004</v>
      </c>
      <c r="AJ43" s="13">
        <f>AI43*VLOOKUP('Données projet'!$B$10,Paramètres!$A$1:$I$89,3,0)*VLOOKUP('Données projet'!$B$10,Paramètres!$A$1:$I$89,5,0)</f>
        <v>180.83221000000003</v>
      </c>
      <c r="AK43" s="13">
        <f t="shared" si="35"/>
        <v>45.507287823747916</v>
      </c>
      <c r="AL43" s="20">
        <f t="shared" si="4"/>
        <v>394.20795870969431</v>
      </c>
      <c r="AM43" s="59">
        <f t="shared" si="5"/>
        <v>687.54129204302762</v>
      </c>
      <c r="AN43" s="59">
        <f ca="1">AVERAGE(OFFSET($AM$3,0,0,'Données projet'!$E$10+1,1))-AVERAGE(OFFSET($H$3,0,0,'Données projet'!$E$10+1,1))</f>
        <v>302.00825291248458</v>
      </c>
      <c r="AO43" s="59">
        <f t="shared" si="36"/>
        <v>307.35115839449355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28.328621506045867</v>
      </c>
      <c r="AV43" s="21">
        <f>EXP(-LN(2)/25)*AV42+(1-EXP(-LN(2)/25))/(LN(2)/25)*Calculateur!AQ43*Calculateur!AS43*VLOOKUP('Données projet'!$B$10,Paramètres!$A$1:$I$89,3,0)*0.475*44/12</f>
        <v>16.413875053363952</v>
      </c>
      <c r="AW43" s="21">
        <f>EXP(-LN(2)/2)*AW42+(1-EXP(-LN(2)/2))/(LN(2)/2)*AQ43*AT43*VLOOKUP('Données projet'!$B$10,Paramètres!$A$1:$I$89,3,0)*0.475*44/12</f>
        <v>2.8009304448982686</v>
      </c>
      <c r="AX43" s="21">
        <f t="shared" si="6"/>
        <v>47.543427004308086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16.693750000000001</v>
      </c>
      <c r="BD43" s="12">
        <f>IF('Données projet'!$A$88&gt;35,BD42+BC43-BL42,IF(A43&lt;'Données projet'!$A$88,$BA$205^A43,IF(A43='Données projet'!$A$88,'Données projet'!$B$88,BD42+BC43-BL42)))</f>
        <v>284.04625000000004</v>
      </c>
      <c r="BE43" s="13">
        <f>BD43*VLOOKUP('Données projet'!$B$11,Paramètres!$A$1:$I$89,3,0)*VLOOKUP('Données projet'!$B$11,Paramètres!$A$1:$I$89,5,0)</f>
        <v>169.85965750000003</v>
      </c>
      <c r="BF43" s="13">
        <f t="shared" si="37"/>
        <v>43.058590023226742</v>
      </c>
      <c r="BG43" s="20">
        <f t="shared" si="7"/>
        <v>370.83261443628663</v>
      </c>
      <c r="BH43" s="59">
        <f t="shared" si="8"/>
        <v>664.16594776961995</v>
      </c>
      <c r="BI43" s="59">
        <f ca="1">AVERAGE(OFFSET($BH$3,0,0,'Données projet'!$E$11+1,1))-AVERAGE(OFFSET($H$3,0,0,'Données projet'!$E$11+1,1))</f>
        <v>349.71285006949597</v>
      </c>
      <c r="BJ43" s="59">
        <f t="shared" si="38"/>
        <v>258.51550516456842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9.8249266705959872</v>
      </c>
      <c r="BQ43" s="21">
        <f>EXP(-LN(2)/25)*BQ42+(1-EXP(-LN(2)/25))/(LN(2)/25)*Calculateur!BL43*Calculateur!BN43*VLOOKUP('Données projet'!$B$11,Paramètres!$A$1:$I$89,3,0)*0.475*44/12</f>
        <v>13.150302468432365</v>
      </c>
      <c r="BR43" s="21">
        <f>EXP(-LN(2)/2)*BR42+(1-EXP(-LN(2)/2))/(LN(2)/2)*BL43*BO43*VLOOKUP('Données projet'!$B$11,Paramètres!$A$1:$I$89,3,0)*0.475*44/12</f>
        <v>1.2817907444389689</v>
      </c>
      <c r="BS43" s="22">
        <f t="shared" si="9"/>
        <v>24.257019883467319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3.3603333333333336</v>
      </c>
      <c r="N44" s="13">
        <f>IF('Données projet'!$A$36&gt;35,N43+M44-V43,IF(A44&lt;'Données projet'!$A$36,$K$205^A44,IF(A44='Données projet'!$A$36,'Données projet'!$B$36,N43+M44-V43)))</f>
        <v>137.77366666666663</v>
      </c>
      <c r="O44" s="13">
        <f>N44*VLOOKUP('Données projet'!$B$9,Paramètres!$A$1:$I$89,3,0)*VLOOKUP('Données projet'!$B$9,Paramètres!$A$1:$I$89,5,0)</f>
        <v>156.89665159999996</v>
      </c>
      <c r="P44" s="13">
        <f t="shared" si="33"/>
        <v>40.141750595140159</v>
      </c>
      <c r="Q44" s="20">
        <f t="shared" si="53"/>
        <v>343.17521715653567</v>
      </c>
      <c r="R44" s="59">
        <f t="shared" si="0"/>
        <v>636.50855048986898</v>
      </c>
      <c r="S44" s="59">
        <f ca="1">AVERAGE(OFFSET($R$3,0,0,'Données projet'!$E$9+1,1))-AVERAGE(OFFSET($H$3,0,0,'Données projet'!$E$9+1,1))</f>
        <v>593.28343396240075</v>
      </c>
      <c r="T44" s="59">
        <f t="shared" si="34"/>
        <v>289.66477662068695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16.583750000000002</v>
      </c>
      <c r="AI44" s="13">
        <f>IF('Données projet'!$A$62&gt;35,AI43+AH44-AQ43,IF(A44&lt;'Données projet'!$A$62,$AF$205^A44,IF(A44='Données projet'!$A$62,'Données projet'!$B$62,AI43+AH44-AQ43)))</f>
        <v>318.97875000000005</v>
      </c>
      <c r="AJ44" s="13">
        <f>AI44*VLOOKUP('Données projet'!$B$10,Paramètres!$A$1:$I$89,3,0)*VLOOKUP('Données projet'!$B$10,Paramètres!$A$1:$I$89,5,0)</f>
        <v>190.74929250000002</v>
      </c>
      <c r="AK44" s="13">
        <f t="shared" si="35"/>
        <v>47.705572818216723</v>
      </c>
      <c r="AL44" s="20">
        <f t="shared" si="4"/>
        <v>415.30889042922746</v>
      </c>
      <c r="AM44" s="59">
        <f t="shared" si="5"/>
        <v>708.64222376256077</v>
      </c>
      <c r="AN44" s="59">
        <f ca="1">AVERAGE(OFFSET($AM$3,0,0,'Données projet'!$E$10+1,1))-AVERAGE(OFFSET($H$3,0,0,'Données projet'!$E$10+1,1))</f>
        <v>302.00825291248458</v>
      </c>
      <c r="AO44" s="59">
        <f t="shared" si="36"/>
        <v>307.35115839449355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27.773114517065292</v>
      </c>
      <c r="AV44" s="21">
        <f>EXP(-LN(2)/25)*AV43+(1-EXP(-LN(2)/25))/(LN(2)/25)*Calculateur!AQ44*Calculateur!AS44*VLOOKUP('Données projet'!$B$10,Paramètres!$A$1:$I$89,3,0)*0.475*44/12</f>
        <v>15.96503677686154</v>
      </c>
      <c r="AW44" s="21">
        <f>EXP(-LN(2)/2)*AW43+(1-EXP(-LN(2)/2))/(LN(2)/2)*AQ44*AT44*VLOOKUP('Données projet'!$B$10,Paramètres!$A$1:$I$89,3,0)*0.475*44/12</f>
        <v>1.9805569112194195</v>
      </c>
      <c r="AX44" s="21">
        <f t="shared" si="6"/>
        <v>45.71870820514625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>
        <f>VLOOKUP(A44,'Données projet'!$A$87:$I$107,2,0)</f>
        <v>300.74</v>
      </c>
      <c r="BB44" s="12">
        <f>VLOOKUP(A44,'Données projet'!$A$87:$I$107,9,0)</f>
        <v>16.693750000000001</v>
      </c>
      <c r="BC44" s="12">
        <f t="array" ref="BC44">INDEX(BB:BB,MIN(IF(ISNUMBER(BB44:BB240),ROW(BB44:BB240),"")))</f>
        <v>16.693750000000001</v>
      </c>
      <c r="BD44" s="12">
        <f>IF('Données projet'!$A$88&gt;35,BD43+BC44-BL43,IF(A44&lt;'Données projet'!$A$88,$BA$205^A44,IF(A44='Données projet'!$A$88,'Données projet'!$B$88,BD43+BC44-BL43)))</f>
        <v>300.74000000000007</v>
      </c>
      <c r="BE44" s="13">
        <f>BD44*VLOOKUP('Données projet'!$B$11,Paramètres!$A$1:$I$89,3,0)*VLOOKUP('Données projet'!$B$11,Paramètres!$A$1:$I$89,5,0)</f>
        <v>179.84252000000006</v>
      </c>
      <c r="BF44" s="13">
        <f t="shared" si="37"/>
        <v>45.287147983377729</v>
      </c>
      <c r="BG44" s="20">
        <f t="shared" si="7"/>
        <v>392.10083840438301</v>
      </c>
      <c r="BH44" s="59">
        <f t="shared" si="8"/>
        <v>685.43417173771627</v>
      </c>
      <c r="BI44" s="59">
        <f ca="1">AVERAGE(OFFSET($BH$3,0,0,'Données projet'!$E$11+1,1))-AVERAGE(OFFSET($H$3,0,0,'Données projet'!$E$11+1,1))</f>
        <v>349.71285006949597</v>
      </c>
      <c r="BJ44" s="59">
        <f t="shared" si="38"/>
        <v>258.51550516456842</v>
      </c>
      <c r="BK44" s="15">
        <f>IF(ISNA(VLOOKUP(A44,'Données projet'!$A$87:$I$107,3,0)),0,VLOOKUP(A44,'Données projet'!$A$87:$I$107,3,0))</f>
        <v>4</v>
      </c>
      <c r="BL44" s="15">
        <f>IF(ISNA(VLOOKUP(A44,'Données projet'!$A$87:$I$107,4,0)),0,VLOOKUP(A44,'Données projet'!$A$87:$I$107,4,0))</f>
        <v>72.16</v>
      </c>
      <c r="BM44" s="16">
        <f>IF(ISNA(VLOOKUP(A44,'Données projet'!$A$87:$I$107,5,0)),0%,VLOOKUP(A44,'Données projet'!$A$87:$I$107,5,0)*VLOOKUP('Données projet'!$B$11,Paramètres!$A$1:$I$89,7,0))</f>
        <v>0.27</v>
      </c>
      <c r="BN44" s="16">
        <f>IF(ISNA(VLOOKUP(A44,'Données projet'!$A$87:$I$107,6,0)),0%,VLOOKUP(A44,'Données projet'!$A$87:$I$107,6,0)*VLOOKUP('Données projet'!$B$11,Paramètres!$A$1:$I$89,7,0))</f>
        <v>9.0000000000000011E-2</v>
      </c>
      <c r="BO44" s="16">
        <f>IF(ISNA(VLOOKUP(A44,'Données projet'!$A$87:$I$107,7,0)),0%,VLOOKUP(A44,'Données projet'!$A$87:$I$107,7,0))</f>
        <v>0.2</v>
      </c>
      <c r="BP44" s="21">
        <f>EXP(-LN(2)/35)*BP43+(1-EXP(-LN(2)/35))/(LN(2)/35)*BL44*BM44*VLOOKUP('Données projet'!$B$11,Paramètres!$A$1:$I$89,3,0)*0.475*44/12</f>
        <v>25.088006768934498</v>
      </c>
      <c r="BQ44" s="21">
        <f>EXP(-LN(2)/25)*BQ43+(1-EXP(-LN(2)/25))/(LN(2)/25)*Calculateur!BL44*Calculateur!BN44*VLOOKUP('Données projet'!$B$11,Paramètres!$A$1:$I$89,3,0)*0.475*44/12</f>
        <v>17.922335348103143</v>
      </c>
      <c r="BR44" s="21">
        <f>EXP(-LN(2)/2)*BR43+(1-EXP(-LN(2)/2))/(LN(2)/2)*BL44*BO44*VLOOKUP('Données projet'!$B$11,Paramètres!$A$1:$I$89,3,0)*0.475*44/12</f>
        <v>10.677908085160318</v>
      </c>
      <c r="BS44" s="22">
        <f t="shared" si="9"/>
        <v>53.688250202197956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3.3603333333333336</v>
      </c>
      <c r="N45" s="13">
        <f>IF('Données projet'!$A$36&gt;35,N44+M45-V44,IF(A45&lt;'Données projet'!$A$36,$K$205^A45,IF(A45='Données projet'!$A$36,'Données projet'!$B$36,N44+M45-V44)))</f>
        <v>141.13399999999996</v>
      </c>
      <c r="O45" s="13">
        <f>N45*VLOOKUP('Données projet'!$B$9,Paramètres!$A$1:$I$89,3,0)*VLOOKUP('Données projet'!$B$9,Paramètres!$A$1:$I$89,5,0)</f>
        <v>160.72339919999996</v>
      </c>
      <c r="P45" s="13">
        <f t="shared" si="33"/>
        <v>41.005637252985878</v>
      </c>
      <c r="Q45" s="20">
        <f t="shared" si="53"/>
        <v>351.34473848895027</v>
      </c>
      <c r="R45" s="59">
        <f t="shared" si="0"/>
        <v>644.67807182228353</v>
      </c>
      <c r="S45" s="59">
        <f ca="1">AVERAGE(OFFSET($R$3,0,0,'Données projet'!$E$9+1,1))-AVERAGE(OFFSET($H$3,0,0,'Données projet'!$E$9+1,1))</f>
        <v>593.28343396240075</v>
      </c>
      <c r="T45" s="59">
        <f t="shared" si="34"/>
        <v>289.66477662068695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16.583750000000002</v>
      </c>
      <c r="AI45" s="13">
        <f>IF('Données projet'!$A$62&gt;35,AI44+AH45-AQ44,IF(A45&lt;'Données projet'!$A$62,$AF$205^A45,IF(A45='Données projet'!$A$62,'Données projet'!$B$62,AI44+AH45-AQ44)))</f>
        <v>335.56250000000006</v>
      </c>
      <c r="AJ45" s="13">
        <f>AI45*VLOOKUP('Données projet'!$B$10,Paramètres!$A$1:$I$89,3,0)*VLOOKUP('Données projet'!$B$10,Paramètres!$A$1:$I$89,5,0)</f>
        <v>200.66637500000007</v>
      </c>
      <c r="AK45" s="13">
        <f t="shared" si="35"/>
        <v>49.890588417680917</v>
      </c>
      <c r="AL45" s="20">
        <f t="shared" si="4"/>
        <v>436.38671128579443</v>
      </c>
      <c r="AM45" s="59">
        <f t="shared" si="5"/>
        <v>729.72004461912775</v>
      </c>
      <c r="AN45" s="59">
        <f ca="1">AVERAGE(OFFSET($AM$3,0,0,'Données projet'!$E$10+1,1))-AVERAGE(OFFSET($H$3,0,0,'Données projet'!$E$10+1,1))</f>
        <v>302.00825291248458</v>
      </c>
      <c r="AO45" s="59">
        <f t="shared" si="36"/>
        <v>307.35115839449355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27.228500681312816</v>
      </c>
      <c r="AV45" s="21">
        <f>EXP(-LN(2)/25)*AV44+(1-EXP(-LN(2)/25))/(LN(2)/25)*Calculateur!AQ45*Calculateur!AS45*VLOOKUP('Données projet'!$B$10,Paramètres!$A$1:$I$89,3,0)*0.475*44/12</f>
        <v>15.528472006633466</v>
      </c>
      <c r="AW45" s="21">
        <f>EXP(-LN(2)/2)*AW44+(1-EXP(-LN(2)/2))/(LN(2)/2)*AQ45*AT45*VLOOKUP('Données projet'!$B$10,Paramètres!$A$1:$I$89,3,0)*0.475*44/12</f>
        <v>1.4004652224491345</v>
      </c>
      <c r="AX45" s="21">
        <f t="shared" si="6"/>
        <v>44.157437910395416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15.714444444444442</v>
      </c>
      <c r="BD45" s="12">
        <f>IF('Données projet'!$A$88&gt;35,BD44+BC45-BL44,IF(A45&lt;'Données projet'!$A$88,$BA$205^A45,IF(A45='Données projet'!$A$88,'Données projet'!$B$88,BD44+BC45-BL44)))</f>
        <v>244.29444444444451</v>
      </c>
      <c r="BE45" s="13">
        <f>BD45*VLOOKUP('Données projet'!$B$11,Paramètres!$A$1:$I$89,3,0)*VLOOKUP('Données projet'!$B$11,Paramètres!$A$1:$I$89,5,0)</f>
        <v>146.08807777777784</v>
      </c>
      <c r="BF45" s="13">
        <f t="shared" si="37"/>
        <v>37.688224634642516</v>
      </c>
      <c r="BG45" s="20">
        <f t="shared" si="7"/>
        <v>320.07706003496543</v>
      </c>
      <c r="BH45" s="59">
        <f t="shared" si="8"/>
        <v>613.41039336829874</v>
      </c>
      <c r="BI45" s="59">
        <f ca="1">AVERAGE(OFFSET($BH$3,0,0,'Données projet'!$E$11+1,1))-AVERAGE(OFFSET($H$3,0,0,'Données projet'!$E$11+1,1))</f>
        <v>349.71285006949597</v>
      </c>
      <c r="BJ45" s="59">
        <f t="shared" si="38"/>
        <v>258.51550516456842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24.596046258368858</v>
      </c>
      <c r="BQ45" s="21">
        <f>EXP(-LN(2)/25)*BQ44+(1-EXP(-LN(2)/25))/(LN(2)/25)*Calculateur!BL45*Calculateur!BN45*VLOOKUP('Données projet'!$B$11,Paramètres!$A$1:$I$89,3,0)*0.475*44/12</f>
        <v>17.43224814551461</v>
      </c>
      <c r="BR45" s="21">
        <f>EXP(-LN(2)/2)*BR44+(1-EXP(-LN(2)/2))/(LN(2)/2)*BL45*BO45*VLOOKUP('Données projet'!$B$11,Paramètres!$A$1:$I$89,3,0)*0.475*44/12</f>
        <v>7.5504212159035244</v>
      </c>
      <c r="BS45" s="22">
        <f t="shared" si="9"/>
        <v>49.57871561978699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3.3603333333333336</v>
      </c>
      <c r="N46" s="13">
        <f>IF('Données projet'!$A$36&gt;35,N45+M46-V45,IF(A46&lt;'Données projet'!$A$36,$K$205^A46,IF(A46='Données projet'!$A$36,'Données projet'!$B$36,N45+M46-V45)))</f>
        <v>144.49433333333329</v>
      </c>
      <c r="O46" s="13">
        <f>N46*VLOOKUP('Données projet'!$B$9,Paramètres!$A$1:$I$89,3,0)*VLOOKUP('Données projet'!$B$9,Paramètres!$A$1:$I$89,5,0)</f>
        <v>164.55014679999996</v>
      </c>
      <c r="P46" s="13">
        <f t="shared" si="33"/>
        <v>41.867132786511242</v>
      </c>
      <c r="Q46" s="20">
        <f t="shared" si="53"/>
        <v>359.5100952798403</v>
      </c>
      <c r="R46" s="59">
        <f t="shared" si="0"/>
        <v>652.84342861317361</v>
      </c>
      <c r="S46" s="59">
        <f ca="1">AVERAGE(OFFSET($R$3,0,0,'Données projet'!$E$9+1,1))-AVERAGE(OFFSET($H$3,0,0,'Données projet'!$E$9+1,1))</f>
        <v>593.28343396240075</v>
      </c>
      <c r="T46" s="59">
        <f t="shared" si="34"/>
        <v>289.66477662068695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16.583750000000002</v>
      </c>
      <c r="AI46" s="13">
        <f>IF('Données projet'!$A$62&gt;35,AI45+AH46-AQ45,IF(A46&lt;'Données projet'!$A$62,$AF$205^A46,IF(A46='Données projet'!$A$62,'Données projet'!$B$62,AI45+AH46-AQ45)))</f>
        <v>352.14625000000007</v>
      </c>
      <c r="AJ46" s="13">
        <f>AI46*VLOOKUP('Données projet'!$B$10,Paramètres!$A$1:$I$89,3,0)*VLOOKUP('Données projet'!$B$10,Paramètres!$A$1:$I$89,5,0)</f>
        <v>210.58345750000007</v>
      </c>
      <c r="AK46" s="13">
        <f t="shared" si="35"/>
        <v>52.063065246002132</v>
      </c>
      <c r="AL46" s="20">
        <f t="shared" si="4"/>
        <v>457.44269378262044</v>
      </c>
      <c r="AM46" s="59">
        <f t="shared" si="5"/>
        <v>750.77602711595375</v>
      </c>
      <c r="AN46" s="59">
        <f ca="1">AVERAGE(OFFSET($AM$3,0,0,'Données projet'!$E$10+1,1))-AVERAGE(OFFSET($H$3,0,0,'Données projet'!$E$10+1,1))</f>
        <v>302.00825291248458</v>
      </c>
      <c r="AO46" s="59">
        <f t="shared" si="36"/>
        <v>307.35115839449355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26.694566390697808</v>
      </c>
      <c r="AV46" s="21">
        <f>EXP(-LN(2)/25)*AV45+(1-EXP(-LN(2)/25))/(LN(2)/25)*Calculateur!AQ46*Calculateur!AS46*VLOOKUP('Données projet'!$B$10,Paramètres!$A$1:$I$89,3,0)*0.475*44/12</f>
        <v>15.103845123005222</v>
      </c>
      <c r="AW46" s="21">
        <f>EXP(-LN(2)/2)*AW45+(1-EXP(-LN(2)/2))/(LN(2)/2)*AQ46*AT46*VLOOKUP('Données projet'!$B$10,Paramètres!$A$1:$I$89,3,0)*0.475*44/12</f>
        <v>0.99027845560970984</v>
      </c>
      <c r="AX46" s="21">
        <f t="shared" si="6"/>
        <v>42.788689969312742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15.714444444444442</v>
      </c>
      <c r="BD46" s="12">
        <f>IF('Données projet'!$A$88&gt;35,BD45+BC46-BL45,IF(A46&lt;'Données projet'!$A$88,$BA$205^A46,IF(A46='Données projet'!$A$88,'Données projet'!$B$88,BD45+BC46-BL45)))</f>
        <v>260.00888888888898</v>
      </c>
      <c r="BE46" s="13">
        <f>BD46*VLOOKUP('Données projet'!$B$11,Paramètres!$A$1:$I$89,3,0)*VLOOKUP('Données projet'!$B$11,Paramètres!$A$1:$I$89,5,0)</f>
        <v>155.48531555555562</v>
      </c>
      <c r="BF46" s="13">
        <f t="shared" si="37"/>
        <v>39.822525633411466</v>
      </c>
      <c r="BG46" s="20">
        <f t="shared" si="7"/>
        <v>340.16115673745094</v>
      </c>
      <c r="BH46" s="59">
        <f t="shared" si="8"/>
        <v>633.4944900707842</v>
      </c>
      <c r="BI46" s="59">
        <f ca="1">AVERAGE(OFFSET($BH$3,0,0,'Données projet'!$E$11+1,1))-AVERAGE(OFFSET($H$3,0,0,'Données projet'!$E$11+1,1))</f>
        <v>349.71285006949597</v>
      </c>
      <c r="BJ46" s="59">
        <f t="shared" si="38"/>
        <v>258.51550516456842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24.113732793349126</v>
      </c>
      <c r="BQ46" s="21">
        <f>EXP(-LN(2)/25)*BQ45+(1-EXP(-LN(2)/25))/(LN(2)/25)*Calculateur!BL46*Calculateur!BN46*VLOOKUP('Données projet'!$B$11,Paramètres!$A$1:$I$89,3,0)*0.475*44/12</f>
        <v>16.955562403253424</v>
      </c>
      <c r="BR46" s="21">
        <f>EXP(-LN(2)/2)*BR45+(1-EXP(-LN(2)/2))/(LN(2)/2)*BL46*BO46*VLOOKUP('Données projet'!$B$11,Paramètres!$A$1:$I$89,3,0)*0.475*44/12</f>
        <v>5.33895404258016</v>
      </c>
      <c r="BS46" s="22">
        <f t="shared" si="9"/>
        <v>46.408249239182716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3.3603333333333336</v>
      </c>
      <c r="N47" s="13">
        <f>IF('Données projet'!$A$36&gt;35,N46+M47-V46,IF(A47&lt;'Données projet'!$A$36,$K$205^A47,IF(A47='Données projet'!$A$36,'Données projet'!$B$36,N46+M47-V46)))</f>
        <v>147.85466666666662</v>
      </c>
      <c r="O47" s="13">
        <f>N47*VLOOKUP('Données projet'!$B$9,Paramètres!$A$1:$I$89,3,0)*VLOOKUP('Données projet'!$B$9,Paramètres!$A$1:$I$89,5,0)</f>
        <v>168.37689439999994</v>
      </c>
      <c r="P47" s="13">
        <f t="shared" si="33"/>
        <v>42.726299203325233</v>
      </c>
      <c r="Q47" s="20">
        <f t="shared" si="53"/>
        <v>367.6713955257913</v>
      </c>
      <c r="R47" s="59">
        <f t="shared" si="0"/>
        <v>661.00472885912461</v>
      </c>
      <c r="S47" s="59">
        <f ca="1">AVERAGE(OFFSET($R$3,0,0,'Données projet'!$E$9+1,1))-AVERAGE(OFFSET($H$3,0,0,'Données projet'!$E$9+1,1))</f>
        <v>593.28343396240075</v>
      </c>
      <c r="T47" s="59">
        <f t="shared" si="34"/>
        <v>289.66477662068695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>
        <f>VLOOKUP(A47,'Données projet'!$A$61:$I$81,2,0)</f>
        <v>368.73</v>
      </c>
      <c r="AG47" s="12">
        <f>VLOOKUP(A47,'Données projet'!$A$61:$I$81,9,0)</f>
        <v>16.583750000000002</v>
      </c>
      <c r="AH47" s="12">
        <f t="array" ref="AH47">INDEX(AG:AG,MIN(IF(ISNUMBER(AG47:AG243),ROW(AG47:AG243),"")))</f>
        <v>16.583750000000002</v>
      </c>
      <c r="AI47" s="13">
        <f>IF('Données projet'!$A$62&gt;35,AI46+AH47-AQ46,IF(A47&lt;'Données projet'!$A$62,$AF$205^A47,IF(A47='Données projet'!$A$62,'Données projet'!$B$62,AI46+AH47-AQ46)))</f>
        <v>368.73000000000008</v>
      </c>
      <c r="AJ47" s="13">
        <f>AI47*VLOOKUP('Données projet'!$B$10,Paramètres!$A$1:$I$89,3,0)*VLOOKUP('Données projet'!$B$10,Paramètres!$A$1:$I$89,5,0)</f>
        <v>220.50054000000006</v>
      </c>
      <c r="AK47" s="13">
        <f t="shared" si="35"/>
        <v>54.223661223229719</v>
      </c>
      <c r="AL47" s="20">
        <f t="shared" si="4"/>
        <v>478.47798379712521</v>
      </c>
      <c r="AM47" s="59">
        <f t="shared" si="5"/>
        <v>771.81131713045852</v>
      </c>
      <c r="AN47" s="59">
        <f ca="1">AVERAGE(OFFSET($AM$3,0,0,'Données projet'!$E$10+1,1))-AVERAGE(OFFSET($H$3,0,0,'Données projet'!$E$10+1,1))</f>
        <v>302.00825291248458</v>
      </c>
      <c r="AO47" s="59">
        <f t="shared" si="36"/>
        <v>307.35115839449355</v>
      </c>
      <c r="AP47" s="15">
        <f>IF(ISNA(VLOOKUP(A47,'Données projet'!$A$61:$I$81,3,0)),0,VLOOKUP(A47,'Données projet'!$A$61:$I$81,3,0))</f>
        <v>5</v>
      </c>
      <c r="AQ47" s="15">
        <f>IF(ISNA(VLOOKUP(A47,'Données projet'!$A$61:$I$81,4,0)),0,VLOOKUP(A47,'Données projet'!$A$61:$I$81,4,0))</f>
        <v>78.240000000000009</v>
      </c>
      <c r="AR47" s="16">
        <f>IF(ISNA(VLOOKUP(A47,'Données projet'!$A$61:$I$81,5,0)),0%,VLOOKUP(A47,'Données projet'!$A$61:$I$81,5,0)*VLOOKUP('Données projet'!$B$10,Paramètres!$A$1:$I$89,7,0))</f>
        <v>0.27</v>
      </c>
      <c r="AS47" s="16">
        <f>IF(ISNA(VLOOKUP(A47,'Données projet'!$A$61:$I$81,6,0)),0%,VLOOKUP(A47,'Données projet'!$A$61:$I$81,6,0)*VLOOKUP('Données projet'!$B$10,Paramètres!$A$1:$I$89,7,0))</f>
        <v>9.0000000000000011E-2</v>
      </c>
      <c r="AT47" s="16">
        <f>IF(ISNA(VLOOKUP(A47,'Données projet'!$A$61:$I$81,7,0)),0%,VLOOKUP(A47,'Données projet'!$A$61:$I$81,7,0))</f>
        <v>0.2</v>
      </c>
      <c r="AU47" s="21">
        <f>EXP(-LN(2)/35)*AU46+(1-EXP(-LN(2)/35))/(LN(2)/35)*AQ47*AR47*VLOOKUP('Données projet'!$B$10,Paramètres!$A$1:$I$89,3,0)*0.475*44/12</f>
        <v>42.92910069319899</v>
      </c>
      <c r="AV47" s="21">
        <f>EXP(-LN(2)/25)*AV46+(1-EXP(-LN(2)/25))/(LN(2)/25)*Calculateur!AQ47*Calculateur!AS47*VLOOKUP('Données projet'!$B$10,Paramètres!$A$1:$I$89,3,0)*0.475*44/12</f>
        <v>20.254834964533629</v>
      </c>
      <c r="AW47" s="21">
        <f>EXP(-LN(2)/2)*AW46+(1-EXP(-LN(2)/2))/(LN(2)/2)*AQ47*AT47*VLOOKUP('Données projet'!$B$10,Paramètres!$A$1:$I$89,3,0)*0.475*44/12</f>
        <v>11.295100864257664</v>
      </c>
      <c r="AX47" s="21">
        <f t="shared" si="6"/>
        <v>74.479036521990281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15.714444444444442</v>
      </c>
      <c r="BD47" s="12">
        <f>IF('Données projet'!$A$88&gt;35,BD46+BC47-BL46,IF(A47&lt;'Données projet'!$A$88,$BA$205^A47,IF(A47='Données projet'!$A$88,'Données projet'!$B$88,BD46+BC47-BL46)))</f>
        <v>275.72333333333341</v>
      </c>
      <c r="BE47" s="13">
        <f>BD47*VLOOKUP('Données projet'!$B$11,Paramètres!$A$1:$I$89,3,0)*VLOOKUP('Données projet'!$B$11,Paramètres!$A$1:$I$89,5,0)</f>
        <v>164.88255333333339</v>
      </c>
      <c r="BF47" s="13">
        <f t="shared" si="37"/>
        <v>41.941854905576896</v>
      </c>
      <c r="BG47" s="20">
        <f t="shared" si="7"/>
        <v>360.2191776827687</v>
      </c>
      <c r="BH47" s="59">
        <f t="shared" si="8"/>
        <v>653.55251101610202</v>
      </c>
      <c r="BI47" s="59">
        <f ca="1">AVERAGE(OFFSET($BH$3,0,0,'Données projet'!$E$11+1,1))-AVERAGE(OFFSET($H$3,0,0,'Données projet'!$E$11+1,1))</f>
        <v>349.71285006949597</v>
      </c>
      <c r="BJ47" s="59">
        <f t="shared" si="38"/>
        <v>258.51550516456842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23.640877201196265</v>
      </c>
      <c r="BQ47" s="21">
        <f>EXP(-LN(2)/25)*BQ46+(1-EXP(-LN(2)/25))/(LN(2)/25)*Calculateur!BL47*Calculateur!BN47*VLOOKUP('Données projet'!$B$11,Paramètres!$A$1:$I$89,3,0)*0.475*44/12</f>
        <v>16.491911657682184</v>
      </c>
      <c r="BR47" s="21">
        <f>EXP(-LN(2)/2)*BR46+(1-EXP(-LN(2)/2))/(LN(2)/2)*BL47*BO47*VLOOKUP('Données projet'!$B$11,Paramètres!$A$1:$I$89,3,0)*0.475*44/12</f>
        <v>3.7752106079517627</v>
      </c>
      <c r="BS47" s="22">
        <f t="shared" si="9"/>
        <v>43.907999466830212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3.3603333333333336</v>
      </c>
      <c r="N48" s="13">
        <f>IF('Données projet'!$A$36&gt;35,N47+M48-V47,IF(A48&lt;'Données projet'!$A$36,$K$205^A48,IF(A48='Données projet'!$A$36,'Données projet'!$B$36,N47+M48-V47)))</f>
        <v>151.21499999999995</v>
      </c>
      <c r="O48" s="13">
        <f>N48*VLOOKUP('Données projet'!$B$9,Paramètres!$A$1:$I$89,3,0)*VLOOKUP('Données projet'!$B$9,Paramètres!$A$1:$I$89,5,0)</f>
        <v>172.20364199999995</v>
      </c>
      <c r="P48" s="13">
        <f t="shared" si="33"/>
        <v>43.583195531641088</v>
      </c>
      <c r="Q48" s="20">
        <f t="shared" si="53"/>
        <v>375.82874203427474</v>
      </c>
      <c r="R48" s="59">
        <f t="shared" si="0"/>
        <v>669.16207536760805</v>
      </c>
      <c r="S48" s="59">
        <f ca="1">AVERAGE(OFFSET($R$3,0,0,'Données projet'!$E$9+1,1))-AVERAGE(OFFSET($H$3,0,0,'Données projet'!$E$9+1,1))</f>
        <v>593.28343396240075</v>
      </c>
      <c r="T48" s="59">
        <f t="shared" si="34"/>
        <v>289.66477662068695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14.689999999999998</v>
      </c>
      <c r="AI48" s="13">
        <f>IF('Données projet'!$A$62&gt;35,AI47+AH48-AQ47,IF(A48&lt;'Données projet'!$A$62,$AF$205^A48,IF(A48='Données projet'!$A$62,'Données projet'!$B$62,AI47+AH48-AQ47)))</f>
        <v>305.18000000000006</v>
      </c>
      <c r="AJ48" s="13">
        <f>AI48*VLOOKUP('Données projet'!$B$10,Paramètres!$A$1:$I$89,3,0)*VLOOKUP('Données projet'!$B$10,Paramètres!$A$1:$I$89,5,0)</f>
        <v>182.49764000000005</v>
      </c>
      <c r="AK48" s="13">
        <f t="shared" si="35"/>
        <v>45.877418600848756</v>
      </c>
      <c r="AL48" s="20">
        <f t="shared" si="4"/>
        <v>397.753227063145</v>
      </c>
      <c r="AM48" s="59">
        <f t="shared" si="5"/>
        <v>691.08656039647826</v>
      </c>
      <c r="AN48" s="59">
        <f ca="1">AVERAGE(OFFSET($AM$3,0,0,'Données projet'!$E$10+1,1))-AVERAGE(OFFSET($H$3,0,0,'Données projet'!$E$10+1,1))</f>
        <v>302.00825291248458</v>
      </c>
      <c r="AO48" s="59">
        <f t="shared" si="36"/>
        <v>307.35115839449355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42.087287212771308</v>
      </c>
      <c r="AV48" s="21">
        <f>EXP(-LN(2)/25)*AV47+(1-EXP(-LN(2)/25))/(LN(2)/25)*Calculateur!AQ48*Calculateur!AS48*VLOOKUP('Données projet'!$B$10,Paramètres!$A$1:$I$89,3,0)*0.475*44/12</f>
        <v>19.700965437272981</v>
      </c>
      <c r="AW48" s="21">
        <f>EXP(-LN(2)/2)*AW47+(1-EXP(-LN(2)/2))/(LN(2)/2)*AQ48*AT48*VLOOKUP('Données projet'!$B$10,Paramètres!$A$1:$I$89,3,0)*0.475*44/12</f>
        <v>7.986842415302629</v>
      </c>
      <c r="AX48" s="21">
        <f t="shared" si="6"/>
        <v>69.775095065346918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15.714444444444442</v>
      </c>
      <c r="BD48" s="12">
        <f>IF('Données projet'!$A$88&gt;35,BD47+BC48-BL47,IF(A48&lt;'Données projet'!$A$88,$BA$205^A48,IF(A48='Données projet'!$A$88,'Données projet'!$B$88,BD47+BC48-BL47)))</f>
        <v>291.43777777777785</v>
      </c>
      <c r="BE48" s="13">
        <f>BD48*VLOOKUP('Données projet'!$B$11,Paramètres!$A$1:$I$89,3,0)*VLOOKUP('Données projet'!$B$11,Paramètres!$A$1:$I$89,5,0)</f>
        <v>174.27979111111117</v>
      </c>
      <c r="BF48" s="13">
        <f t="shared" si="37"/>
        <v>44.047162970671543</v>
      </c>
      <c r="BG48" s="20">
        <f t="shared" si="7"/>
        <v>380.25277835910487</v>
      </c>
      <c r="BH48" s="59">
        <f t="shared" si="8"/>
        <v>673.58611169243818</v>
      </c>
      <c r="BI48" s="59">
        <f ca="1">AVERAGE(OFFSET($BH$3,0,0,'Données projet'!$E$11+1,1))-AVERAGE(OFFSET($H$3,0,0,'Données projet'!$E$11+1,1))</f>
        <v>349.71285006949597</v>
      </c>
      <c r="BJ48" s="59">
        <f t="shared" si="38"/>
        <v>258.51550516456842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23.17729401879209</v>
      </c>
      <c r="BQ48" s="21">
        <f>EXP(-LN(2)/25)*BQ47+(1-EXP(-LN(2)/25))/(LN(2)/25)*Calculateur!BL48*Calculateur!BN48*VLOOKUP('Données projet'!$B$11,Paramètres!$A$1:$I$89,3,0)*0.475*44/12</f>
        <v>16.040939466130922</v>
      </c>
      <c r="BR48" s="21">
        <f>EXP(-LN(2)/2)*BR47+(1-EXP(-LN(2)/2))/(LN(2)/2)*BL48*BO48*VLOOKUP('Données projet'!$B$11,Paramètres!$A$1:$I$89,3,0)*0.475*44/12</f>
        <v>2.6694770212900805</v>
      </c>
      <c r="BS48" s="22">
        <f t="shared" si="9"/>
        <v>41.887710506213089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3.3603333333333336</v>
      </c>
      <c r="N49" s="13">
        <f>IF('Données projet'!$A$36&gt;35,N48+M49-V48,IF(A49&lt;'Données projet'!$A$36,$K$205^A49,IF(A49='Données projet'!$A$36,'Données projet'!$B$36,N48+M49-V48)))</f>
        <v>154.57533333333328</v>
      </c>
      <c r="O49" s="13">
        <f>N49*VLOOKUP('Données projet'!$B$9,Paramètres!$A$1:$I$89,3,0)*VLOOKUP('Données projet'!$B$9,Paramètres!$A$1:$I$89,5,0)</f>
        <v>176.03038959999992</v>
      </c>
      <c r="P49" s="13">
        <f t="shared" si="33"/>
        <v>44.437878026410679</v>
      </c>
      <c r="Q49" s="20">
        <f t="shared" si="53"/>
        <v>383.98223278266511</v>
      </c>
      <c r="R49" s="59">
        <f t="shared" si="0"/>
        <v>677.31556611599842</v>
      </c>
      <c r="S49" s="59">
        <f ca="1">AVERAGE(OFFSET($R$3,0,0,'Données projet'!$E$9+1,1))-AVERAGE(OFFSET($H$3,0,0,'Données projet'!$E$9+1,1))</f>
        <v>593.28343396240075</v>
      </c>
      <c r="T49" s="59">
        <f t="shared" si="34"/>
        <v>289.66477662068695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14.689999999999998</v>
      </c>
      <c r="AI49" s="13">
        <f>IF('Données projet'!$A$62&gt;35,AI48+AH49-AQ48,IF(A49&lt;'Données projet'!$A$62,$AF$205^A49,IF(A49='Données projet'!$A$62,'Données projet'!$B$62,AI48+AH49-AQ48)))</f>
        <v>319.87000000000006</v>
      </c>
      <c r="AJ49" s="13">
        <f>AI49*VLOOKUP('Données projet'!$B$10,Paramètres!$A$1:$I$89,3,0)*VLOOKUP('Données projet'!$B$10,Paramètres!$A$1:$I$89,5,0)</f>
        <v>191.28226000000004</v>
      </c>
      <c r="AK49" s="13">
        <f t="shared" si="35"/>
        <v>47.823331262073218</v>
      </c>
      <c r="AL49" s="20">
        <f t="shared" si="4"/>
        <v>416.44223811477758</v>
      </c>
      <c r="AM49" s="59">
        <f t="shared" si="5"/>
        <v>709.7755714481109</v>
      </c>
      <c r="AN49" s="59">
        <f ca="1">AVERAGE(OFFSET($AM$3,0,0,'Données projet'!$E$10+1,1))-AVERAGE(OFFSET($H$3,0,0,'Données projet'!$E$10+1,1))</f>
        <v>302.00825291248458</v>
      </c>
      <c r="AO49" s="59">
        <f t="shared" si="36"/>
        <v>307.35115839449355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41.261981181239292</v>
      </c>
      <c r="AV49" s="21">
        <f>EXP(-LN(2)/25)*AV48+(1-EXP(-LN(2)/25))/(LN(2)/25)*Calculateur!AQ49*Calculateur!AS49*VLOOKUP('Données projet'!$B$10,Paramètres!$A$1:$I$89,3,0)*0.475*44/12</f>
        <v>19.162241501362004</v>
      </c>
      <c r="AW49" s="21">
        <f>EXP(-LN(2)/2)*AW48+(1-EXP(-LN(2)/2))/(LN(2)/2)*AQ49*AT49*VLOOKUP('Données projet'!$B$10,Paramètres!$A$1:$I$89,3,0)*0.475*44/12</f>
        <v>5.647550432128833</v>
      </c>
      <c r="AX49" s="21">
        <f t="shared" si="6"/>
        <v>66.071773114730135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15.714444444444442</v>
      </c>
      <c r="BD49" s="12">
        <f>IF('Données projet'!$A$88&gt;35,BD48+BC49-BL48,IF(A49&lt;'Données projet'!$A$88,$BA$205^A49,IF(A49='Données projet'!$A$88,'Données projet'!$B$88,BD48+BC49-BL48)))</f>
        <v>307.15222222222229</v>
      </c>
      <c r="BE49" s="13">
        <f>BD49*VLOOKUP('Données projet'!$B$11,Paramètres!$A$1:$I$89,3,0)*VLOOKUP('Données projet'!$B$11,Paramètres!$A$1:$I$89,5,0)</f>
        <v>183.67702888888894</v>
      </c>
      <c r="BF49" s="13">
        <f t="shared" si="37"/>
        <v>46.139292054148385</v>
      </c>
      <c r="BG49" s="20">
        <f t="shared" si="7"/>
        <v>400.2634256424567</v>
      </c>
      <c r="BH49" s="59">
        <f t="shared" si="8"/>
        <v>693.59675897578995</v>
      </c>
      <c r="BI49" s="59">
        <f ca="1">AVERAGE(OFFSET($BH$3,0,0,'Données projet'!$E$11+1,1))-AVERAGE(OFFSET($H$3,0,0,'Données projet'!$E$11+1,1))</f>
        <v>349.71285006949597</v>
      </c>
      <c r="BJ49" s="59">
        <f t="shared" si="38"/>
        <v>258.51550516456842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22.72280141983704</v>
      </c>
      <c r="BQ49" s="21">
        <f>EXP(-LN(2)/25)*BQ48+(1-EXP(-LN(2)/25))/(LN(2)/25)*Calculateur!BL49*Calculateur!BN49*VLOOKUP('Données projet'!$B$11,Paramètres!$A$1:$I$89,3,0)*0.475*44/12</f>
        <v>15.602299132873227</v>
      </c>
      <c r="BR49" s="21">
        <f>EXP(-LN(2)/2)*BR48+(1-EXP(-LN(2)/2))/(LN(2)/2)*BL49*BO49*VLOOKUP('Données projet'!$B$11,Paramètres!$A$1:$I$89,3,0)*0.475*44/12</f>
        <v>1.8876053039758818</v>
      </c>
      <c r="BS49" s="22">
        <f t="shared" si="9"/>
        <v>40.212705856686149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3.3603333333333336</v>
      </c>
      <c r="N50" s="13">
        <f>IF('Données projet'!$A$36&gt;35,N49+M50-V49,IF(A50&lt;'Données projet'!$A$36,$K$205^A50,IF(A50='Données projet'!$A$36,'Données projet'!$B$36,N49+M50-V49)))</f>
        <v>157.93566666666661</v>
      </c>
      <c r="O50" s="13">
        <f>N50*VLOOKUP('Données projet'!$B$9,Paramètres!$A$1:$I$89,3,0)*VLOOKUP('Données projet'!$B$9,Paramètres!$A$1:$I$89,5,0)</f>
        <v>179.85713719999993</v>
      </c>
      <c r="P50" s="13">
        <f t="shared" si="33"/>
        <v>45.290400357029107</v>
      </c>
      <c r="Q50" s="20">
        <f t="shared" si="53"/>
        <v>392.13196124515889</v>
      </c>
      <c r="R50" s="59">
        <f t="shared" si="0"/>
        <v>685.46529457849215</v>
      </c>
      <c r="S50" s="59">
        <f ca="1">AVERAGE(OFFSET($R$3,0,0,'Données projet'!$E$9+1,1))-AVERAGE(OFFSET($H$3,0,0,'Données projet'!$E$9+1,1))</f>
        <v>593.28343396240075</v>
      </c>
      <c r="T50" s="59">
        <f t="shared" si="34"/>
        <v>289.66477662068695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14.689999999999998</v>
      </c>
      <c r="AI50" s="13">
        <f>IF('Données projet'!$A$62&gt;35,AI49+AH50-AQ49,IF(A50&lt;'Données projet'!$A$62,$AF$205^A50,IF(A50='Données projet'!$A$62,'Données projet'!$B$62,AI49+AH50-AQ49)))</f>
        <v>334.56000000000006</v>
      </c>
      <c r="AJ50" s="13">
        <f>AI50*VLOOKUP('Données projet'!$B$10,Paramètres!$A$1:$I$89,3,0)*VLOOKUP('Données projet'!$B$10,Paramètres!$A$1:$I$89,5,0)</f>
        <v>200.06688000000005</v>
      </c>
      <c r="AK50" s="13">
        <f t="shared" si="35"/>
        <v>49.758865639104997</v>
      </c>
      <c r="AL50" s="20">
        <f t="shared" si="4"/>
        <v>435.11317365477458</v>
      </c>
      <c r="AM50" s="59">
        <f t="shared" si="5"/>
        <v>728.4465069881079</v>
      </c>
      <c r="AN50" s="59">
        <f ca="1">AVERAGE(OFFSET($AM$3,0,0,'Données projet'!$E$10+1,1))-AVERAGE(OFFSET($H$3,0,0,'Données projet'!$E$10+1,1))</f>
        <v>302.00825291248458</v>
      </c>
      <c r="AO50" s="59">
        <f t="shared" si="36"/>
        <v>307.35115839449355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40.452858897598645</v>
      </c>
      <c r="AV50" s="21">
        <f>EXP(-LN(2)/25)*AV49+(1-EXP(-LN(2)/25))/(LN(2)/25)*Calculateur!AQ50*Calculateur!AS50*VLOOKUP('Données projet'!$B$10,Paramètres!$A$1:$I$89,3,0)*0.475*44/12</f>
        <v>18.638248999808777</v>
      </c>
      <c r="AW50" s="21">
        <f>EXP(-LN(2)/2)*AW49+(1-EXP(-LN(2)/2))/(LN(2)/2)*AQ50*AT50*VLOOKUP('Données projet'!$B$10,Paramètres!$A$1:$I$89,3,0)*0.475*44/12</f>
        <v>3.9934212076513149</v>
      </c>
      <c r="AX50" s="21">
        <f t="shared" si="6"/>
        <v>63.084529105058742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15.714444444444442</v>
      </c>
      <c r="BD50" s="12">
        <f>IF('Données projet'!$A$88&gt;35,BD49+BC50-BL49,IF(A50&lt;'Données projet'!$A$88,$BA$205^A50,IF(A50='Données projet'!$A$88,'Données projet'!$B$88,BD49+BC50-BL49)))</f>
        <v>322.86666666666673</v>
      </c>
      <c r="BE50" s="13">
        <f>BD50*VLOOKUP('Données projet'!$B$11,Paramètres!$A$1:$I$89,3,0)*VLOOKUP('Données projet'!$B$11,Paramètres!$A$1:$I$89,5,0)</f>
        <v>193.07426666666672</v>
      </c>
      <c r="BF50" s="13">
        <f t="shared" si="37"/>
        <v>48.218993334236252</v>
      </c>
      <c r="BG50" s="20">
        <f t="shared" si="7"/>
        <v>420.25242783490597</v>
      </c>
      <c r="BH50" s="59">
        <f t="shared" si="8"/>
        <v>713.58576116823929</v>
      </c>
      <c r="BI50" s="59">
        <f ca="1">AVERAGE(OFFSET($BH$3,0,0,'Données projet'!$E$11+1,1))-AVERAGE(OFFSET($H$3,0,0,'Données projet'!$E$11+1,1))</f>
        <v>349.71285006949597</v>
      </c>
      <c r="BJ50" s="59">
        <f t="shared" si="38"/>
        <v>258.51550516456842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22.277221143534387</v>
      </c>
      <c r="BQ50" s="21">
        <f>EXP(-LN(2)/25)*BQ49+(1-EXP(-LN(2)/25))/(LN(2)/25)*Calculateur!BL50*Calculateur!BN50*VLOOKUP('Données projet'!$B$11,Paramètres!$A$1:$I$89,3,0)*0.475*44/12</f>
        <v>15.175653442595557</v>
      </c>
      <c r="BR50" s="21">
        <f>EXP(-LN(2)/2)*BR49+(1-EXP(-LN(2)/2))/(LN(2)/2)*BL50*BO50*VLOOKUP('Données projet'!$B$11,Paramètres!$A$1:$I$89,3,0)*0.475*44/12</f>
        <v>1.3347385106450405</v>
      </c>
      <c r="BS50" s="22">
        <f t="shared" si="9"/>
        <v>38.787613096774983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3.3603333333333336</v>
      </c>
      <c r="N51" s="13">
        <f>IF('Données projet'!$A$36&gt;35,N50+M51-V50,IF(A51&lt;'Données projet'!$A$36,$K$205^A51,IF(A51='Données projet'!$A$36,'Données projet'!$B$36,N50+M51-V50)))</f>
        <v>161.29599999999994</v>
      </c>
      <c r="O51" s="13">
        <f>N51*VLOOKUP('Données projet'!$B$9,Paramètres!$A$1:$I$89,3,0)*VLOOKUP('Données projet'!$B$9,Paramètres!$A$1:$I$89,5,0)</f>
        <v>183.68388479999993</v>
      </c>
      <c r="P51" s="13">
        <f t="shared" si="33"/>
        <v>46.140813778613008</v>
      </c>
      <c r="Q51" s="20">
        <f t="shared" si="53"/>
        <v>400.27801669108413</v>
      </c>
      <c r="R51" s="59">
        <f t="shared" si="0"/>
        <v>693.61135002441745</v>
      </c>
      <c r="S51" s="59">
        <f ca="1">AVERAGE(OFFSET($R$3,0,0,'Données projet'!$E$9+1,1))-AVERAGE(OFFSET($H$3,0,0,'Données projet'!$E$9+1,1))</f>
        <v>593.28343396240075</v>
      </c>
      <c r="T51" s="59">
        <f t="shared" si="34"/>
        <v>289.66477662068695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14.689999999999998</v>
      </c>
      <c r="AI51" s="13">
        <f>IF('Données projet'!$A$62&gt;35,AI50+AH51-AQ50,IF(A51&lt;'Données projet'!$A$62,$AF$205^A51,IF(A51='Données projet'!$A$62,'Données projet'!$B$62,AI50+AH51-AQ50)))</f>
        <v>349.25000000000006</v>
      </c>
      <c r="AJ51" s="13">
        <f>AI51*VLOOKUP('Données projet'!$B$10,Paramètres!$A$1:$I$89,3,0)*VLOOKUP('Données projet'!$B$10,Paramètres!$A$1:$I$89,5,0)</f>
        <v>208.85150000000004</v>
      </c>
      <c r="AK51" s="13">
        <f t="shared" si="35"/>
        <v>51.684529504057373</v>
      </c>
      <c r="AL51" s="20">
        <f t="shared" si="4"/>
        <v>453.76691805289994</v>
      </c>
      <c r="AM51" s="59">
        <f t="shared" si="5"/>
        <v>747.10025138623325</v>
      </c>
      <c r="AN51" s="59">
        <f ca="1">AVERAGE(OFFSET($AM$3,0,0,'Données projet'!$E$10+1,1))-AVERAGE(OFFSET($H$3,0,0,'Données projet'!$E$10+1,1))</f>
        <v>302.00825291248458</v>
      </c>
      <c r="AO51" s="59">
        <f t="shared" si="36"/>
        <v>307.35115839449355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39.659603008424327</v>
      </c>
      <c r="AV51" s="21">
        <f>EXP(-LN(2)/25)*AV50+(1-EXP(-LN(2)/25))/(LN(2)/25)*Calculateur!AQ51*Calculateur!AS51*VLOOKUP('Données projet'!$B$10,Paramètres!$A$1:$I$89,3,0)*0.475*44/12</f>
        <v>18.128585100766088</v>
      </c>
      <c r="AW51" s="21">
        <f>EXP(-LN(2)/2)*AW50+(1-EXP(-LN(2)/2))/(LN(2)/2)*AQ51*AT51*VLOOKUP('Données projet'!$B$10,Paramètres!$A$1:$I$89,3,0)*0.475*44/12</f>
        <v>2.8237752160644169</v>
      </c>
      <c r="AX51" s="21">
        <f t="shared" si="6"/>
        <v>60.611963325254834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15.714444444444442</v>
      </c>
      <c r="BD51" s="12">
        <f>IF('Données projet'!$A$88&gt;35,BD50+BC51-BL50,IF(A51&lt;'Données projet'!$A$88,$BA$205^A51,IF(A51='Données projet'!$A$88,'Données projet'!$B$88,BD50+BC51-BL50)))</f>
        <v>338.58111111111117</v>
      </c>
      <c r="BE51" s="13">
        <f>BD51*VLOOKUP('Données projet'!$B$11,Paramètres!$A$1:$I$89,3,0)*VLOOKUP('Données projet'!$B$11,Paramètres!$A$1:$I$89,5,0)</f>
        <v>202.47150444444449</v>
      </c>
      <c r="BF51" s="13">
        <f t="shared" si="37"/>
        <v>50.28694073581002</v>
      </c>
      <c r="BG51" s="20">
        <f t="shared" si="7"/>
        <v>440.22095868894326</v>
      </c>
      <c r="BH51" s="59">
        <f t="shared" si="8"/>
        <v>733.55429202227651</v>
      </c>
      <c r="BI51" s="59">
        <f ca="1">AVERAGE(OFFSET($BH$3,0,0,'Données projet'!$E$11+1,1))-AVERAGE(OFFSET($H$3,0,0,'Données projet'!$E$11+1,1))</f>
        <v>349.71285006949597</v>
      </c>
      <c r="BJ51" s="59">
        <f t="shared" si="38"/>
        <v>258.51550516456842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21.840378424672895</v>
      </c>
      <c r="BQ51" s="21">
        <f>EXP(-LN(2)/25)*BQ50+(1-EXP(-LN(2)/25))/(LN(2)/25)*Calculateur!BL51*Calculateur!BN51*VLOOKUP('Données projet'!$B$11,Paramètres!$A$1:$I$89,3,0)*0.475*44/12</f>
        <v>14.760674401154851</v>
      </c>
      <c r="BR51" s="21">
        <f>EXP(-LN(2)/2)*BR50+(1-EXP(-LN(2)/2))/(LN(2)/2)*BL51*BO51*VLOOKUP('Données projet'!$B$11,Paramètres!$A$1:$I$89,3,0)*0.475*44/12</f>
        <v>0.943802651987941</v>
      </c>
      <c r="BS51" s="22">
        <f t="shared" si="9"/>
        <v>37.544855477815695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3.3603333333333336</v>
      </c>
      <c r="N52" s="13">
        <f>IF('Données projet'!$A$36&gt;35,N51+M52-V51,IF(A52&lt;'Données projet'!$A$36,$K$205^A52,IF(A52='Données projet'!$A$36,'Données projet'!$B$36,N51+M52-V51)))</f>
        <v>164.65633333333327</v>
      </c>
      <c r="O52" s="13">
        <f>N52*VLOOKUP('Données projet'!$B$9,Paramètres!$A$1:$I$89,3,0)*VLOOKUP('Données projet'!$B$9,Paramètres!$A$1:$I$89,5,0)</f>
        <v>187.51063239999991</v>
      </c>
      <c r="P52" s="13">
        <f t="shared" si="33"/>
        <v>46.989167288603106</v>
      </c>
      <c r="Q52" s="20">
        <f t="shared" si="53"/>
        <v>408.42048445765022</v>
      </c>
      <c r="R52" s="59">
        <f t="shared" si="0"/>
        <v>701.75381779098348</v>
      </c>
      <c r="S52" s="59">
        <f ca="1">AVERAGE(OFFSET($R$3,0,0,'Données projet'!$E$9+1,1))-AVERAGE(OFFSET($H$3,0,0,'Données projet'!$E$9+1,1))</f>
        <v>593.28343396240075</v>
      </c>
      <c r="T52" s="59">
        <f t="shared" si="34"/>
        <v>289.66477662068695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14.689999999999998</v>
      </c>
      <c r="AI52" s="13">
        <f>IF('Données projet'!$A$62&gt;35,AI51+AH52-AQ51,IF(A52&lt;'Données projet'!$A$62,$AF$205^A52,IF(A52='Données projet'!$A$62,'Données projet'!$B$62,AI51+AH52-AQ51)))</f>
        <v>363.94000000000005</v>
      </c>
      <c r="AJ52" s="13">
        <f>AI52*VLOOKUP('Données projet'!$B$10,Paramètres!$A$1:$I$89,3,0)*VLOOKUP('Données projet'!$B$10,Paramètres!$A$1:$I$89,5,0)</f>
        <v>217.63612000000003</v>
      </c>
      <c r="AK52" s="13">
        <f t="shared" si="35"/>
        <v>53.600785497261654</v>
      </c>
      <c r="AL52" s="20">
        <f t="shared" si="4"/>
        <v>472.40427707439738</v>
      </c>
      <c r="AM52" s="59">
        <f t="shared" si="5"/>
        <v>765.7376104077307</v>
      </c>
      <c r="AN52" s="59">
        <f ca="1">AVERAGE(OFFSET($AM$3,0,0,'Données projet'!$E$10+1,1))-AVERAGE(OFFSET($H$3,0,0,'Données projet'!$E$10+1,1))</f>
        <v>302.00825291248458</v>
      </c>
      <c r="AO52" s="59">
        <f t="shared" si="36"/>
        <v>307.35115839449355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38.881902383398398</v>
      </c>
      <c r="AV52" s="21">
        <f>EXP(-LN(2)/25)*AV51+(1-EXP(-LN(2)/25))/(LN(2)/25)*Calculateur!AQ52*Calculateur!AS52*VLOOKUP('Données projet'!$B$10,Paramètres!$A$1:$I$89,3,0)*0.475*44/12</f>
        <v>17.632857987844783</v>
      </c>
      <c r="AW52" s="21">
        <f>EXP(-LN(2)/2)*AW51+(1-EXP(-LN(2)/2))/(LN(2)/2)*AQ52*AT52*VLOOKUP('Données projet'!$B$10,Paramètres!$A$1:$I$89,3,0)*0.475*44/12</f>
        <v>1.9967106038256577</v>
      </c>
      <c r="AX52" s="21">
        <f t="shared" si="6"/>
        <v>58.511470975068839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15.714444444444442</v>
      </c>
      <c r="BD52" s="12">
        <f>IF('Données projet'!$A$88&gt;35,BD51+BC52-BL51,IF(A52&lt;'Données projet'!$A$88,$BA$205^A52,IF(A52='Données projet'!$A$88,'Données projet'!$B$88,BD51+BC52-BL51)))</f>
        <v>354.29555555555561</v>
      </c>
      <c r="BE52" s="13">
        <f>BD52*VLOOKUP('Données projet'!$B$11,Paramètres!$A$1:$I$89,3,0)*VLOOKUP('Données projet'!$B$11,Paramètres!$A$1:$I$89,5,0)</f>
        <v>211.86874222222229</v>
      </c>
      <c r="BF52" s="13">
        <f t="shared" si="37"/>
        <v>52.343742090960504</v>
      </c>
      <c r="BG52" s="20">
        <f t="shared" si="7"/>
        <v>460.17007684546002</v>
      </c>
      <c r="BH52" s="59">
        <f t="shared" si="8"/>
        <v>753.50341017879327</v>
      </c>
      <c r="BI52" s="59">
        <f ca="1">AVERAGE(OFFSET($BH$3,0,0,'Données projet'!$E$11+1,1))-AVERAGE(OFFSET($H$3,0,0,'Données projet'!$E$11+1,1))</f>
        <v>349.71285006949597</v>
      </c>
      <c r="BJ52" s="59">
        <f t="shared" si="38"/>
        <v>258.51550516456842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21.412101925080528</v>
      </c>
      <c r="BQ52" s="21">
        <f>EXP(-LN(2)/25)*BQ51+(1-EXP(-LN(2)/25))/(LN(2)/25)*Calculateur!BL52*Calculateur!BN52*VLOOKUP('Données projet'!$B$11,Paramètres!$A$1:$I$89,3,0)*0.475*44/12</f>
        <v>14.357042983425142</v>
      </c>
      <c r="BR52" s="21">
        <f>EXP(-LN(2)/2)*BR51+(1-EXP(-LN(2)/2))/(LN(2)/2)*BL52*BO52*VLOOKUP('Données projet'!$B$11,Paramètres!$A$1:$I$89,3,0)*0.475*44/12</f>
        <v>0.66736925532252034</v>
      </c>
      <c r="BS52" s="22">
        <f t="shared" si="9"/>
        <v>36.436514163828186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3.3603333333333336</v>
      </c>
      <c r="N53" s="13">
        <f>IF('Données projet'!$A$36&gt;35,N52+M53-V52,IF(A53&lt;'Données projet'!$A$36,$K$205^A53,IF(A53='Données projet'!$A$36,'Données projet'!$B$36,N52+M53-V52)))</f>
        <v>168.01666666666659</v>
      </c>
      <c r="O53" s="13">
        <f>N53*VLOOKUP('Données projet'!$B$9,Paramètres!$A$1:$I$89,3,0)*VLOOKUP('Données projet'!$B$9,Paramètres!$A$1:$I$89,5,0)</f>
        <v>191.33737999999994</v>
      </c>
      <c r="P53" s="13">
        <f t="shared" si="33"/>
        <v>47.835507770222058</v>
      </c>
      <c r="Q53" s="20">
        <f t="shared" si="53"/>
        <v>416.55944619980323</v>
      </c>
      <c r="R53" s="59">
        <f t="shared" si="0"/>
        <v>709.89277953313649</v>
      </c>
      <c r="S53" s="59">
        <f ca="1">AVERAGE(OFFSET($R$3,0,0,'Données projet'!$E$9+1,1))-AVERAGE(OFFSET($H$3,0,0,'Données projet'!$E$9+1,1))</f>
        <v>593.28343396240075</v>
      </c>
      <c r="T53" s="59">
        <f t="shared" si="34"/>
        <v>289.66477662068695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14.689999999999998</v>
      </c>
      <c r="AI53" s="13">
        <f>IF('Données projet'!$A$62&gt;35,AI52+AH53-AQ52,IF(A53&lt;'Données projet'!$A$62,$AF$205^A53,IF(A53='Données projet'!$A$62,'Données projet'!$B$62,AI52+AH53-AQ52)))</f>
        <v>378.63000000000005</v>
      </c>
      <c r="AJ53" s="13">
        <f>AI53*VLOOKUP('Données projet'!$B$10,Paramètres!$A$1:$I$89,3,0)*VLOOKUP('Données projet'!$B$10,Paramètres!$A$1:$I$89,5,0)</f>
        <v>226.42074000000005</v>
      </c>
      <c r="AK53" s="13">
        <f t="shared" si="35"/>
        <v>55.508056797434847</v>
      </c>
      <c r="AL53" s="20">
        <f t="shared" si="4"/>
        <v>491.0259877555323</v>
      </c>
      <c r="AM53" s="59">
        <f t="shared" si="5"/>
        <v>784.35932108886561</v>
      </c>
      <c r="AN53" s="59">
        <f ca="1">AVERAGE(OFFSET($AM$3,0,0,'Données projet'!$E$10+1,1))-AVERAGE(OFFSET($H$3,0,0,'Données projet'!$E$10+1,1))</f>
        <v>302.00825291248458</v>
      </c>
      <c r="AO53" s="59">
        <f t="shared" si="36"/>
        <v>307.35115839449355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38.119451993278687</v>
      </c>
      <c r="AV53" s="21">
        <f>EXP(-LN(2)/25)*AV52+(1-EXP(-LN(2)/25))/(LN(2)/25)*Calculateur!AQ53*Calculateur!AS53*VLOOKUP('Données projet'!$B$10,Paramètres!$A$1:$I$89,3,0)*0.475*44/12</f>
        <v>17.150686558895465</v>
      </c>
      <c r="AW53" s="21">
        <f>EXP(-LN(2)/2)*AW52+(1-EXP(-LN(2)/2))/(LN(2)/2)*AQ53*AT53*VLOOKUP('Données projet'!$B$10,Paramètres!$A$1:$I$89,3,0)*0.475*44/12</f>
        <v>1.4118876080322087</v>
      </c>
      <c r="AX53" s="21">
        <f t="shared" si="6"/>
        <v>56.682026160206362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370.01</v>
      </c>
      <c r="BB53" s="12">
        <f>VLOOKUP(A53,'Données projet'!$A$87:$I$107,9,0)</f>
        <v>15.714444444444442</v>
      </c>
      <c r="BC53" s="12">
        <f t="array" ref="BC53">INDEX(BB:BB,MIN(IF(ISNUMBER(BB53:BB249),ROW(BB53:BB249),"")))</f>
        <v>15.714444444444442</v>
      </c>
      <c r="BD53" s="12">
        <f>IF('Données projet'!$A$88&gt;35,BD52+BC53-BL52,IF(A53&lt;'Données projet'!$A$88,$BA$205^A53,IF(A53='Données projet'!$A$88,'Données projet'!$B$88,BD52+BC53-BL52)))</f>
        <v>370.01000000000005</v>
      </c>
      <c r="BE53" s="13">
        <f>BD53*VLOOKUP('Données projet'!$B$11,Paramètres!$A$1:$I$89,3,0)*VLOOKUP('Données projet'!$B$11,Paramètres!$A$1:$I$89,5,0)</f>
        <v>221.26598000000004</v>
      </c>
      <c r="BF53" s="13">
        <f t="shared" si="37"/>
        <v>54.389948263584252</v>
      </c>
      <c r="BG53" s="20">
        <f t="shared" si="7"/>
        <v>480.10074172574264</v>
      </c>
      <c r="BH53" s="59">
        <f t="shared" si="8"/>
        <v>773.43407505907589</v>
      </c>
      <c r="BI53" s="59">
        <f ca="1">AVERAGE(OFFSET($BH$3,0,0,'Données projet'!$E$11+1,1))-AVERAGE(OFFSET($H$3,0,0,'Données projet'!$E$11+1,1))</f>
        <v>349.71285006949597</v>
      </c>
      <c r="BJ53" s="59">
        <f t="shared" si="38"/>
        <v>258.51550516456842</v>
      </c>
      <c r="BK53" s="15">
        <f>IF(ISNA(VLOOKUP(A53,'Données projet'!$A$87:$I$107,3,0)),0,VLOOKUP(A53,'Données projet'!$A$87:$I$107,3,0))</f>
        <v>5</v>
      </c>
      <c r="BL53" s="15">
        <f>IF(ISNA(VLOOKUP(A53,'Données projet'!$A$87:$I$107,4,0)),0,VLOOKUP(A53,'Données projet'!$A$87:$I$107,4,0))</f>
        <v>70.20999999999998</v>
      </c>
      <c r="BM53" s="16">
        <f>IF(ISNA(VLOOKUP(A53,'Données projet'!$A$87:$I$107,5,0)),0%,VLOOKUP(A53,'Données projet'!$A$87:$I$107,5,0)*VLOOKUP('Données projet'!$B$11,Paramètres!$A$1:$I$89,7,0))</f>
        <v>0.27</v>
      </c>
      <c r="BN53" s="16">
        <f>IF(ISNA(VLOOKUP(A53,'Données projet'!$A$87:$I$107,6,0)),0%,VLOOKUP(A53,'Données projet'!$A$87:$I$107,6,0)*VLOOKUP('Données projet'!$B$11,Paramètres!$A$1:$I$89,7,0))</f>
        <v>9.0000000000000011E-2</v>
      </c>
      <c r="BO53" s="16">
        <f>IF(ISNA(VLOOKUP(A53,'Données projet'!$A$87:$I$107,7,0)),0%,VLOOKUP(A53,'Données projet'!$A$87:$I$107,7,0))</f>
        <v>0.2</v>
      </c>
      <c r="BP53" s="21">
        <f>EXP(-LN(2)/35)*BP52+(1-EXP(-LN(2)/35))/(LN(2)/35)*BL53*BM53*VLOOKUP('Données projet'!$B$11,Paramètres!$A$1:$I$89,3,0)*0.475*44/12</f>
        <v>36.030299745055871</v>
      </c>
      <c r="BQ53" s="21">
        <f>EXP(-LN(2)/25)*BQ52+(1-EXP(-LN(2)/25))/(LN(2)/25)*Calculateur!BL53*Calculateur!BN53*VLOOKUP('Données projet'!$B$11,Paramètres!$A$1:$I$89,3,0)*0.475*44/12</f>
        <v>18.9574040357579</v>
      </c>
      <c r="BR53" s="21">
        <f>EXP(-LN(2)/2)*BR52+(1-EXP(-LN(2)/2))/(LN(2)/2)*BL53*BO53*VLOOKUP('Données projet'!$B$11,Paramètres!$A$1:$I$89,3,0)*0.475*44/12</f>
        <v>9.9793872672702157</v>
      </c>
      <c r="BS53" s="22">
        <f t="shared" si="9"/>
        <v>64.967091048083986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3.3603333333333336</v>
      </c>
      <c r="N54" s="13">
        <f>IF('Données projet'!$A$36&gt;35,N53+M54-V53,IF(A54&lt;'Données projet'!$A$36,$K$205^A54,IF(A54='Données projet'!$A$36,'Données projet'!$B$36,N53+M54-V53)))</f>
        <v>171.37699999999992</v>
      </c>
      <c r="O54" s="13">
        <f>N54*VLOOKUP('Données projet'!$B$9,Paramètres!$A$1:$I$89,3,0)*VLOOKUP('Données projet'!$B$9,Paramètres!$A$1:$I$89,5,0)</f>
        <v>195.16412759999992</v>
      </c>
      <c r="P54" s="13">
        <f t="shared" si="33"/>
        <v>48.679880124131074</v>
      </c>
      <c r="Q54" s="20">
        <f t="shared" si="53"/>
        <v>424.69498011952811</v>
      </c>
      <c r="R54" s="59">
        <f t="shared" si="0"/>
        <v>718.02831345286143</v>
      </c>
      <c r="S54" s="59">
        <f ca="1">AVERAGE(OFFSET($R$3,0,0,'Données projet'!$E$9+1,1))-AVERAGE(OFFSET($H$3,0,0,'Données projet'!$E$9+1,1))</f>
        <v>593.28343396240075</v>
      </c>
      <c r="T54" s="59">
        <f t="shared" si="34"/>
        <v>289.66477662068695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0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14.689999999999998</v>
      </c>
      <c r="AI54" s="13">
        <f>IF('Données projet'!$A$62&gt;35,AI53+AH54-AQ53,IF(A54&lt;'Données projet'!$A$62,$AF$205^A54,IF(A54='Données projet'!$A$62,'Données projet'!$B$62,AI53+AH54-AQ53)))</f>
        <v>393.32000000000005</v>
      </c>
      <c r="AJ54" s="13">
        <f>AI54*VLOOKUP('Données projet'!$B$10,Paramètres!$A$1:$I$89,3,0)*VLOOKUP('Données projet'!$B$10,Paramètres!$A$1:$I$89,5,0)</f>
        <v>235.20536000000004</v>
      </c>
      <c r="AK54" s="13">
        <f t="shared" si="35"/>
        <v>57.406731887132807</v>
      </c>
      <c r="AL54" s="20">
        <f t="shared" si="4"/>
        <v>509.63272670342303</v>
      </c>
      <c r="AM54" s="59">
        <f t="shared" si="5"/>
        <v>802.96606003675629</v>
      </c>
      <c r="AN54" s="59">
        <f ca="1">AVERAGE(OFFSET($AM$3,0,0,'Données projet'!$E$10+1,1))-AVERAGE(OFFSET($H$3,0,0,'Données projet'!$E$10+1,1))</f>
        <v>302.00825291248458</v>
      </c>
      <c r="AO54" s="59">
        <f t="shared" si="36"/>
        <v>307.35115839449355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37.371952790260409</v>
      </c>
      <c r="AV54" s="21">
        <f>EXP(-LN(2)/25)*AV53+(1-EXP(-LN(2)/25))/(LN(2)/25)*Calculateur!AQ54*Calculateur!AS54*VLOOKUP('Données projet'!$B$10,Paramètres!$A$1:$I$89,3,0)*0.475*44/12</f>
        <v>16.681700133027061</v>
      </c>
      <c r="AW54" s="21">
        <f>EXP(-LN(2)/2)*AW53+(1-EXP(-LN(2)/2))/(LN(2)/2)*AQ54*AT54*VLOOKUP('Données projet'!$B$10,Paramètres!$A$1:$I$89,3,0)*0.475*44/12</f>
        <v>0.99835530191282906</v>
      </c>
      <c r="AX54" s="21">
        <f t="shared" si="6"/>
        <v>55.052008225200304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14.113999999999999</v>
      </c>
      <c r="BD54" s="12">
        <f>IF('Données projet'!$A$88&gt;35,BD53+BC54-BL53,IF(A54&lt;'Données projet'!$A$88,$BA$205^A54,IF(A54='Données projet'!$A$88,'Données projet'!$B$88,BD53+BC54-BL53)))</f>
        <v>313.91400000000004</v>
      </c>
      <c r="BE54" s="13">
        <f>BD54*VLOOKUP('Données projet'!$B$11,Paramètres!$A$1:$I$89,3,0)*VLOOKUP('Données projet'!$B$11,Paramètres!$A$1:$I$89,5,0)</f>
        <v>187.72057200000006</v>
      </c>
      <c r="BF54" s="13">
        <f t="shared" si="37"/>
        <v>47.035650233472225</v>
      </c>
      <c r="BG54" s="20">
        <f t="shared" si="7"/>
        <v>408.86708705663085</v>
      </c>
      <c r="BH54" s="59">
        <f t="shared" si="8"/>
        <v>702.20042038996417</v>
      </c>
      <c r="BI54" s="59">
        <f ca="1">AVERAGE(OFFSET($BH$3,0,0,'Données projet'!$E$11+1,1))-AVERAGE(OFFSET($H$3,0,0,'Données projet'!$E$11+1,1))</f>
        <v>349.71285006949597</v>
      </c>
      <c r="BJ54" s="59">
        <f t="shared" si="38"/>
        <v>258.51550516456842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35.323767543368191</v>
      </c>
      <c r="BQ54" s="21">
        <f>EXP(-LN(2)/25)*BQ53+(1-EXP(-LN(2)/25))/(LN(2)/25)*Calculateur!BL54*Calculateur!BN54*VLOOKUP('Données projet'!$B$11,Paramètres!$A$1:$I$89,3,0)*0.475*44/12</f>
        <v>18.439012825473551</v>
      </c>
      <c r="BR54" s="21">
        <f>EXP(-LN(2)/2)*BR53+(1-EXP(-LN(2)/2))/(LN(2)/2)*BL54*BO54*VLOOKUP('Données projet'!$B$11,Paramètres!$A$1:$I$89,3,0)*0.475*44/12</f>
        <v>7.0564924087734591</v>
      </c>
      <c r="BS54" s="22">
        <f t="shared" si="9"/>
        <v>60.819272777615204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3.3603333333333336</v>
      </c>
      <c r="N55" s="13">
        <f>IF('Données projet'!$A$36&gt;35,N54+M55-V54,IF(A55&lt;'Données projet'!$A$36,$K$205^A55,IF(A55='Données projet'!$A$36,'Données projet'!$B$36,N54+M55-V54)))</f>
        <v>174.73733333333325</v>
      </c>
      <c r="O55" s="13">
        <f>N55*VLOOKUP('Données projet'!$B$9,Paramètres!$A$1:$I$89,3,0)*VLOOKUP('Données projet'!$B$9,Paramètres!$A$1:$I$89,5,0)</f>
        <v>198.99087519999992</v>
      </c>
      <c r="P55" s="13">
        <f t="shared" si="33"/>
        <v>49.522327389469048</v>
      </c>
      <c r="Q55" s="20">
        <f t="shared" si="53"/>
        <v>432.82716117665836</v>
      </c>
      <c r="R55" s="59">
        <f t="shared" si="0"/>
        <v>726.16049450999162</v>
      </c>
      <c r="S55" s="59">
        <f ca="1">AVERAGE(OFFSET($R$3,0,0,'Données projet'!$E$9+1,1))-AVERAGE(OFFSET($H$3,0,0,'Données projet'!$E$9+1,1))</f>
        <v>593.28343396240075</v>
      </c>
      <c r="T55" s="59">
        <f t="shared" si="34"/>
        <v>289.66477662068695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0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>
        <f>VLOOKUP(A55,'Données projet'!$A$61:$I$81,2,0)</f>
        <v>408.01</v>
      </c>
      <c r="AG55" s="12">
        <f>VLOOKUP(A55,'Données projet'!$A$61:$I$81,9,0)</f>
        <v>14.689999999999998</v>
      </c>
      <c r="AH55" s="12">
        <f t="array" ref="AH55">INDEX(AG:AG,MIN(IF(ISNUMBER(AG55:AG251),ROW(AG55:AG251),"")))</f>
        <v>14.689999999999998</v>
      </c>
      <c r="AI55" s="13">
        <f>IF('Données projet'!$A$62&gt;35,AI54+AH55-AQ54,IF(A55&lt;'Données projet'!$A$62,$AF$205^A55,IF(A55='Données projet'!$A$62,'Données projet'!$B$62,AI54+AH55-AQ54)))</f>
        <v>408.01000000000005</v>
      </c>
      <c r="AJ55" s="13">
        <f>AI55*VLOOKUP('Données projet'!$B$10,Paramètres!$A$1:$I$89,3,0)*VLOOKUP('Données projet'!$B$10,Paramètres!$A$1:$I$89,5,0)</f>
        <v>243.98998000000003</v>
      </c>
      <c r="AK55" s="13">
        <f t="shared" si="35"/>
        <v>59.297168586253541</v>
      </c>
      <c r="AL55" s="20">
        <f t="shared" si="4"/>
        <v>528.22511712105825</v>
      </c>
      <c r="AM55" s="59">
        <f t="shared" si="5"/>
        <v>821.5584504543915</v>
      </c>
      <c r="AN55" s="59">
        <f ca="1">AVERAGE(OFFSET($AM$3,0,0,'Données projet'!$E$10+1,1))-AVERAGE(OFFSET($H$3,0,0,'Données projet'!$E$10+1,1))</f>
        <v>302.00825291248458</v>
      </c>
      <c r="AO55" s="59">
        <f t="shared" si="36"/>
        <v>307.35115839449355</v>
      </c>
      <c r="AP55" s="15">
        <f>IF(ISNA(VLOOKUP(A55,'Données projet'!$A$61:$I$81,3,0)),0,VLOOKUP(A55,'Données projet'!$A$61:$I$81,3,0))</f>
        <v>6</v>
      </c>
      <c r="AQ55" s="15">
        <f>IF(ISNA(VLOOKUP(A55,'Données projet'!$A$61:$I$81,4,0)),0,VLOOKUP(A55,'Données projet'!$A$61:$I$81,4,0))</f>
        <v>75.70999999999998</v>
      </c>
      <c r="AR55" s="16">
        <f>IF(ISNA(VLOOKUP(A55,'Données projet'!$A$61:$I$81,5,0)),0%,VLOOKUP(A55,'Données projet'!$A$61:$I$81,5,0)*VLOOKUP('Données projet'!$B$10,Paramètres!$A$1:$I$89,7,0))</f>
        <v>0.27</v>
      </c>
      <c r="AS55" s="16">
        <f>IF(ISNA(VLOOKUP(A55,'Données projet'!$A$61:$I$81,6,0)),0%,VLOOKUP(A55,'Données projet'!$A$61:$I$81,6,0)*VLOOKUP('Données projet'!$B$10,Paramètres!$A$1:$I$89,7,0))</f>
        <v>9.0000000000000011E-2</v>
      </c>
      <c r="AT55" s="16">
        <f>IF(ISNA(VLOOKUP(A55,'Données projet'!$A$61:$I$81,7,0)),0%,VLOOKUP(A55,'Données projet'!$A$61:$I$81,7,0))</f>
        <v>0.2</v>
      </c>
      <c r="AU55" s="21">
        <f>EXP(-LN(2)/35)*AU54+(1-EXP(-LN(2)/35))/(LN(2)/35)*AQ55*AR55*VLOOKUP('Données projet'!$B$10,Paramètres!$A$1:$I$89,3,0)*0.475*44/12</f>
        <v>52.855216702681361</v>
      </c>
      <c r="AV55" s="21">
        <f>EXP(-LN(2)/25)*AV54+(1-EXP(-LN(2)/25))/(LN(2)/25)*Calculateur!AQ55*Calculateur!AS55*VLOOKUP('Données projet'!$B$10,Paramètres!$A$1:$I$89,3,0)*0.475*44/12</f>
        <v>21.609623541420671</v>
      </c>
      <c r="AW55" s="21">
        <f>EXP(-LN(2)/2)*AW54+(1-EXP(-LN(2)/2))/(LN(2)/2)*AQ55*AT55*VLOOKUP('Données projet'!$B$10,Paramètres!$A$1:$I$89,3,0)*0.475*44/12</f>
        <v>10.958212150605259</v>
      </c>
      <c r="AX55" s="21">
        <f t="shared" si="6"/>
        <v>85.423052394707298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14.113999999999999</v>
      </c>
      <c r="BD55" s="12">
        <f>IF('Données projet'!$A$88&gt;35,BD54+BC55-BL54,IF(A55&lt;'Données projet'!$A$88,$BA$205^A55,IF(A55='Données projet'!$A$88,'Données projet'!$B$88,BD54+BC55-BL54)))</f>
        <v>328.02800000000002</v>
      </c>
      <c r="BE55" s="13">
        <f>BD55*VLOOKUP('Données projet'!$B$11,Paramètres!$A$1:$I$89,3,0)*VLOOKUP('Données projet'!$B$11,Paramètres!$A$1:$I$89,5,0)</f>
        <v>196.16074400000002</v>
      </c>
      <c r="BF55" s="13">
        <f t="shared" si="37"/>
        <v>48.899465996260361</v>
      </c>
      <c r="BG55" s="20">
        <f t="shared" si="7"/>
        <v>426.81319907682013</v>
      </c>
      <c r="BH55" s="59">
        <f t="shared" si="8"/>
        <v>720.14653241015344</v>
      </c>
      <c r="BI55" s="59">
        <f ca="1">AVERAGE(OFFSET($BH$3,0,0,'Données projet'!$E$11+1,1))-AVERAGE(OFFSET($H$3,0,0,'Données projet'!$E$11+1,1))</f>
        <v>349.71285006949597</v>
      </c>
      <c r="BJ55" s="59">
        <f t="shared" si="38"/>
        <v>258.51550516456842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34.631090007213515</v>
      </c>
      <c r="BQ55" s="21">
        <f>EXP(-LN(2)/25)*BQ54+(1-EXP(-LN(2)/25))/(LN(2)/25)*Calculateur!BL55*Calculateur!BN55*VLOOKUP('Données projet'!$B$11,Paramètres!$A$1:$I$89,3,0)*0.475*44/12</f>
        <v>17.934797050095433</v>
      </c>
      <c r="BR55" s="21">
        <f>EXP(-LN(2)/2)*BR54+(1-EXP(-LN(2)/2))/(LN(2)/2)*BL55*BO55*VLOOKUP('Données projet'!$B$11,Paramètres!$A$1:$I$89,3,0)*0.475*44/12</f>
        <v>4.9896936336351088</v>
      </c>
      <c r="BS55" s="22">
        <f t="shared" si="9"/>
        <v>57.555580690944055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3.3603333333333336</v>
      </c>
      <c r="N56" s="13">
        <f>IF('Données projet'!$A$36&gt;35,N55+M56-V55,IF(A56&lt;'Données projet'!$A$36,$K$205^A56,IF(A56='Données projet'!$A$36,'Données projet'!$B$36,N55+M56-V55)))</f>
        <v>178.09766666666658</v>
      </c>
      <c r="O56" s="13">
        <f>N56*VLOOKUP('Données projet'!$B$9,Paramètres!$A$1:$I$89,3,0)*VLOOKUP('Données projet'!$B$9,Paramètres!$A$1:$I$89,5,0)</f>
        <v>202.8176227999999</v>
      </c>
      <c r="P56" s="13">
        <f t="shared" si="33"/>
        <v>50.362890855317765</v>
      </c>
      <c r="Q56" s="20">
        <f t="shared" si="53"/>
        <v>440.95606128301159</v>
      </c>
      <c r="R56" s="59">
        <f t="shared" si="0"/>
        <v>734.28939461634491</v>
      </c>
      <c r="S56" s="59">
        <f ca="1">AVERAGE(OFFSET($R$3,0,0,'Données projet'!$E$9+1,1))-AVERAGE(OFFSET($H$3,0,0,'Données projet'!$E$9+1,1))</f>
        <v>593.28343396240075</v>
      </c>
      <c r="T56" s="59">
        <f t="shared" si="34"/>
        <v>289.66477662068695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0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13.18</v>
      </c>
      <c r="AI56" s="13">
        <f>IF('Données projet'!$A$62&gt;35,AI55+AH56-AQ55,IF(A56&lt;'Données projet'!$A$62,$AF$205^A56,IF(A56='Données projet'!$A$62,'Données projet'!$B$62,AI55+AH56-AQ55)))</f>
        <v>345.48000000000008</v>
      </c>
      <c r="AJ56" s="13">
        <f>AI56*VLOOKUP('Données projet'!$B$10,Paramètres!$A$1:$I$89,3,0)*VLOOKUP('Données projet'!$B$10,Paramètres!$A$1:$I$89,5,0)</f>
        <v>206.59704000000005</v>
      </c>
      <c r="AK56" s="13">
        <f t="shared" si="35"/>
        <v>51.191247731076885</v>
      </c>
      <c r="AL56" s="20">
        <f t="shared" si="4"/>
        <v>448.98126779829232</v>
      </c>
      <c r="AM56" s="59">
        <f t="shared" si="5"/>
        <v>742.31460113162564</v>
      </c>
      <c r="AN56" s="59">
        <f ca="1">AVERAGE(OFFSET($AM$3,0,0,'Données projet'!$E$10+1,1))-AVERAGE(OFFSET($H$3,0,0,'Données projet'!$E$10+1,1))</f>
        <v>302.00825291248458</v>
      </c>
      <c r="AO56" s="59">
        <f t="shared" si="36"/>
        <v>307.35115839449355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51.818758141640679</v>
      </c>
      <c r="AV56" s="21">
        <f>EXP(-LN(2)/25)*AV55+(1-EXP(-LN(2)/25))/(LN(2)/25)*Calculateur!AQ56*Calculateur!AS56*VLOOKUP('Données projet'!$B$10,Paramètres!$A$1:$I$89,3,0)*0.475*44/12</f>
        <v>21.01870724927981</v>
      </c>
      <c r="AW56" s="21">
        <f>EXP(-LN(2)/2)*AW55+(1-EXP(-LN(2)/2))/(LN(2)/2)*AQ56*AT56*VLOOKUP('Données projet'!$B$10,Paramètres!$A$1:$I$89,3,0)*0.475*44/12</f>
        <v>7.7486261213737997</v>
      </c>
      <c r="AX56" s="21">
        <f t="shared" si="6"/>
        <v>80.586091512294288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14.113999999999999</v>
      </c>
      <c r="BD56" s="12">
        <f>IF('Données projet'!$A$88&gt;35,BD55+BC56-BL55,IF(A56&lt;'Données projet'!$A$88,$BA$205^A56,IF(A56='Données projet'!$A$88,'Données projet'!$B$88,BD55+BC56-BL55)))</f>
        <v>342.142</v>
      </c>
      <c r="BE56" s="13">
        <f>BD56*VLOOKUP('Données projet'!$B$11,Paramètres!$A$1:$I$89,3,0)*VLOOKUP('Données projet'!$B$11,Paramètres!$A$1:$I$89,5,0)</f>
        <v>204.60091600000001</v>
      </c>
      <c r="BF56" s="13">
        <f t="shared" si="37"/>
        <v>50.753967472357871</v>
      </c>
      <c r="BG56" s="20">
        <f t="shared" si="7"/>
        <v>444.74308871435665</v>
      </c>
      <c r="BH56" s="59">
        <f t="shared" si="8"/>
        <v>738.0764220476899</v>
      </c>
      <c r="BI56" s="59">
        <f ca="1">AVERAGE(OFFSET($BH$3,0,0,'Données projet'!$E$11+1,1))-AVERAGE(OFFSET($H$3,0,0,'Données projet'!$E$11+1,1))</f>
        <v>349.71285006949597</v>
      </c>
      <c r="BJ56" s="59">
        <f t="shared" si="38"/>
        <v>258.51550516456842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33.951995455051254</v>
      </c>
      <c r="BQ56" s="21">
        <f>EXP(-LN(2)/25)*BQ55+(1-EXP(-LN(2)/25))/(LN(2)/25)*Calculateur!BL56*Calculateur!BN56*VLOOKUP('Données projet'!$B$11,Paramètres!$A$1:$I$89,3,0)*0.475*44/12</f>
        <v>17.444369081610589</v>
      </c>
      <c r="BR56" s="21">
        <f>EXP(-LN(2)/2)*BR55+(1-EXP(-LN(2)/2))/(LN(2)/2)*BL56*BO56*VLOOKUP('Données projet'!$B$11,Paramètres!$A$1:$I$89,3,0)*0.475*44/12</f>
        <v>3.5282462043867304</v>
      </c>
      <c r="BS56" s="22">
        <f t="shared" si="9"/>
        <v>54.924610741048575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3.3603333333333336</v>
      </c>
      <c r="N57" s="13">
        <f>IF('Données projet'!$A$36&gt;35,N56+M57-V56,IF(A57&lt;'Données projet'!$A$36,$K$205^A57,IF(A57='Données projet'!$A$36,'Données projet'!$B$36,N56+M57-V56)))</f>
        <v>181.45799999999991</v>
      </c>
      <c r="O57" s="13">
        <f>N57*VLOOKUP('Données projet'!$B$9,Paramètres!$A$1:$I$89,3,0)*VLOOKUP('Données projet'!$B$9,Paramètres!$A$1:$I$89,5,0)</f>
        <v>206.6443703999999</v>
      </c>
      <c r="P57" s="13">
        <f t="shared" si="33"/>
        <v>51.201610163516591</v>
      </c>
      <c r="Q57" s="20">
        <f t="shared" si="53"/>
        <v>449.08174948145785</v>
      </c>
      <c r="R57" s="59">
        <f t="shared" si="0"/>
        <v>742.41508281479116</v>
      </c>
      <c r="S57" s="59">
        <f ca="1">AVERAGE(OFFSET($R$3,0,0,'Données projet'!$E$9+1,1))-AVERAGE(OFFSET($H$3,0,0,'Données projet'!$E$9+1,1))</f>
        <v>593.28343396240075</v>
      </c>
      <c r="T57" s="59">
        <f t="shared" si="34"/>
        <v>289.66477662068695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0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13.18</v>
      </c>
      <c r="AI57" s="13">
        <f>IF('Données projet'!$A$62&gt;35,AI56+AH57-AQ56,IF(A57&lt;'Données projet'!$A$62,$AF$205^A57,IF(A57='Données projet'!$A$62,'Données projet'!$B$62,AI56+AH57-AQ56)))</f>
        <v>358.66000000000008</v>
      </c>
      <c r="AJ57" s="13">
        <f>AI57*VLOOKUP('Données projet'!$B$10,Paramètres!$A$1:$I$89,3,0)*VLOOKUP('Données projet'!$B$10,Paramètres!$A$1:$I$89,5,0)</f>
        <v>214.47868000000008</v>
      </c>
      <c r="AK57" s="13">
        <f t="shared" si="35"/>
        <v>52.913084692982125</v>
      </c>
      <c r="AL57" s="20">
        <f t="shared" si="4"/>
        <v>465.70732350694396</v>
      </c>
      <c r="AM57" s="59">
        <f t="shared" si="5"/>
        <v>759.04065684027728</v>
      </c>
      <c r="AN57" s="59">
        <f ca="1">AVERAGE(OFFSET($AM$3,0,0,'Données projet'!$E$10+1,1))-AVERAGE(OFFSET($H$3,0,0,'Données projet'!$E$10+1,1))</f>
        <v>302.00825291248458</v>
      </c>
      <c r="AO57" s="59">
        <f t="shared" si="36"/>
        <v>307.35115839449355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50.802623900804704</v>
      </c>
      <c r="AV57" s="21">
        <f>EXP(-LN(2)/25)*AV56+(1-EXP(-LN(2)/25))/(LN(2)/25)*Calculateur!AQ57*Calculateur!AS57*VLOOKUP('Données projet'!$B$10,Paramètres!$A$1:$I$89,3,0)*0.475*44/12</f>
        <v>20.443949594222477</v>
      </c>
      <c r="AW57" s="21">
        <f>EXP(-LN(2)/2)*AW56+(1-EXP(-LN(2)/2))/(LN(2)/2)*AQ57*AT57*VLOOKUP('Données projet'!$B$10,Paramètres!$A$1:$I$89,3,0)*0.475*44/12</f>
        <v>5.4791060753026306</v>
      </c>
      <c r="AX57" s="21">
        <f t="shared" si="6"/>
        <v>76.725679570329802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14.113999999999999</v>
      </c>
      <c r="BD57" s="12">
        <f>IF('Données projet'!$A$88&gt;35,BD56+BC57-BL56,IF(A57&lt;'Données projet'!$A$88,$BA$205^A57,IF(A57='Données projet'!$A$88,'Données projet'!$B$88,BD56+BC57-BL56)))</f>
        <v>356.25599999999997</v>
      </c>
      <c r="BE57" s="13">
        <f>BD57*VLOOKUP('Données projet'!$B$11,Paramètres!$A$1:$I$89,3,0)*VLOOKUP('Données projet'!$B$11,Paramètres!$A$1:$I$89,5,0)</f>
        <v>213.041088</v>
      </c>
      <c r="BF57" s="13">
        <f t="shared" si="37"/>
        <v>52.599582837576946</v>
      </c>
      <c r="BG57" s="20">
        <f t="shared" si="7"/>
        <v>462.65750170877988</v>
      </c>
      <c r="BH57" s="59">
        <f t="shared" si="8"/>
        <v>755.99083504211319</v>
      </c>
      <c r="BI57" s="59">
        <f ca="1">AVERAGE(OFFSET($BH$3,0,0,'Données projet'!$E$11+1,1))-AVERAGE(OFFSET($H$3,0,0,'Données projet'!$E$11+1,1))</f>
        <v>349.71285006949597</v>
      </c>
      <c r="BJ57" s="59">
        <f t="shared" si="38"/>
        <v>258.51550516456842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33.286217532850117</v>
      </c>
      <c r="BQ57" s="21">
        <f>EXP(-LN(2)/25)*BQ56+(1-EXP(-LN(2)/25))/(LN(2)/25)*Calculateur!BL57*Calculateur!BN57*VLOOKUP('Données projet'!$B$11,Paramètres!$A$1:$I$89,3,0)*0.475*44/12</f>
        <v>16.967351891714447</v>
      </c>
      <c r="BR57" s="21">
        <f>EXP(-LN(2)/2)*BR56+(1-EXP(-LN(2)/2))/(LN(2)/2)*BL57*BO57*VLOOKUP('Données projet'!$B$11,Paramètres!$A$1:$I$89,3,0)*0.475*44/12</f>
        <v>2.4948468168175548</v>
      </c>
      <c r="BS57" s="22">
        <f t="shared" si="9"/>
        <v>52.748416241382117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3.3603333333333336</v>
      </c>
      <c r="N58" s="13">
        <f>IF('Données projet'!$A$36&gt;35,N57+M58-V57,IF(A58&lt;'Données projet'!$A$36,$K$205^A58,IF(A58='Données projet'!$A$36,'Données projet'!$B$36,N57+M58-V57)))</f>
        <v>184.81833333333324</v>
      </c>
      <c r="O58" s="13">
        <f>N58*VLOOKUP('Données projet'!$B$9,Paramètres!$A$1:$I$89,3,0)*VLOOKUP('Données projet'!$B$9,Paramètres!$A$1:$I$89,5,0)</f>
        <v>210.4711179999999</v>
      </c>
      <c r="P58" s="13">
        <f t="shared" si="33"/>
        <v>52.038523403646074</v>
      </c>
      <c r="Q58" s="20">
        <f t="shared" si="53"/>
        <v>457.20429211135001</v>
      </c>
      <c r="R58" s="59">
        <f t="shared" si="0"/>
        <v>750.53762544468327</v>
      </c>
      <c r="S58" s="59">
        <f ca="1">AVERAGE(OFFSET($R$3,0,0,'Données projet'!$E$9+1,1))-AVERAGE(OFFSET($H$3,0,0,'Données projet'!$E$9+1,1))</f>
        <v>593.28343396240075</v>
      </c>
      <c r="T58" s="59">
        <f t="shared" si="34"/>
        <v>289.66477662068695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0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13.18</v>
      </c>
      <c r="AI58" s="13">
        <f>IF('Données projet'!$A$62&gt;35,AI57+AH58-AQ57,IF(A58&lt;'Données projet'!$A$62,$AF$205^A58,IF(A58='Données projet'!$A$62,'Données projet'!$B$62,AI57+AH58-AQ57)))</f>
        <v>371.84000000000009</v>
      </c>
      <c r="AJ58" s="13">
        <f>AI58*VLOOKUP('Données projet'!$B$10,Paramètres!$A$1:$I$89,3,0)*VLOOKUP('Données projet'!$B$10,Paramètres!$A$1:$I$89,5,0)</f>
        <v>222.36032000000009</v>
      </c>
      <c r="AK58" s="13">
        <f t="shared" si="35"/>
        <v>54.627570556659869</v>
      </c>
      <c r="AL58" s="20">
        <f t="shared" si="4"/>
        <v>482.42057605284941</v>
      </c>
      <c r="AM58" s="59">
        <f t="shared" si="5"/>
        <v>775.75390938618273</v>
      </c>
      <c r="AN58" s="59">
        <f ca="1">AVERAGE(OFFSET($AM$3,0,0,'Données projet'!$E$10+1,1))-AVERAGE(OFFSET($H$3,0,0,'Données projet'!$E$10+1,1))</f>
        <v>302.00825291248458</v>
      </c>
      <c r="AO58" s="59">
        <f t="shared" si="36"/>
        <v>307.35115839449355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49.806415432650837</v>
      </c>
      <c r="AV58" s="21">
        <f>EXP(-LN(2)/25)*AV57+(1-EXP(-LN(2)/25))/(LN(2)/25)*Calculateur!AQ58*Calculateur!AS58*VLOOKUP('Données projet'!$B$10,Paramètres!$A$1:$I$89,3,0)*0.475*44/12</f>
        <v>19.88490871746788</v>
      </c>
      <c r="AW58" s="21">
        <f>EXP(-LN(2)/2)*AW57+(1-EXP(-LN(2)/2))/(LN(2)/2)*AQ58*AT58*VLOOKUP('Données projet'!$B$10,Paramètres!$A$1:$I$89,3,0)*0.475*44/12</f>
        <v>3.8743130606869007</v>
      </c>
      <c r="AX58" s="21">
        <f t="shared" si="6"/>
        <v>73.565637210805619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14.113999999999999</v>
      </c>
      <c r="BD58" s="12">
        <f>IF('Données projet'!$A$88&gt;35,BD57+BC58-BL57,IF(A58&lt;'Données projet'!$A$88,$BA$205^A58,IF(A58='Données projet'!$A$88,'Données projet'!$B$88,BD57+BC58-BL57)))</f>
        <v>370.36999999999995</v>
      </c>
      <c r="BE58" s="13">
        <f>BD58*VLOOKUP('Données projet'!$B$11,Paramètres!$A$1:$I$89,3,0)*VLOOKUP('Données projet'!$B$11,Paramètres!$A$1:$I$89,5,0)</f>
        <v>221.48125999999999</v>
      </c>
      <c r="BF58" s="13">
        <f t="shared" si="37"/>
        <v>54.436704420571644</v>
      </c>
      <c r="BG58" s="20">
        <f t="shared" si="7"/>
        <v>480.55712136582889</v>
      </c>
      <c r="BH58" s="59">
        <f t="shared" si="8"/>
        <v>773.89045469916221</v>
      </c>
      <c r="BI58" s="59">
        <f ca="1">AVERAGE(OFFSET($BH$3,0,0,'Données projet'!$E$11+1,1))-AVERAGE(OFFSET($H$3,0,0,'Données projet'!$E$11+1,1))</f>
        <v>349.71285006949597</v>
      </c>
      <c r="BJ58" s="59">
        <f t="shared" si="38"/>
        <v>258.51550516456842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32.633495109618906</v>
      </c>
      <c r="BQ58" s="21">
        <f>EXP(-LN(2)/25)*BQ57+(1-EXP(-LN(2)/25))/(LN(2)/25)*Calculateur!BL58*Calculateur!BN58*VLOOKUP('Données projet'!$B$11,Paramètres!$A$1:$I$89,3,0)*0.475*44/12</f>
        <v>16.503378761961258</v>
      </c>
      <c r="BR58" s="21">
        <f>EXP(-LN(2)/2)*BR57+(1-EXP(-LN(2)/2))/(LN(2)/2)*BL58*BO58*VLOOKUP('Données projet'!$B$11,Paramètres!$A$1:$I$89,3,0)*0.475*44/12</f>
        <v>1.7641231021933654</v>
      </c>
      <c r="BS58" s="22">
        <f t="shared" si="9"/>
        <v>50.90099697377353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3.3603333333333336</v>
      </c>
      <c r="N59" s="13">
        <f>IF('Données projet'!$A$36&gt;35,N58+M59-V58,IF(A59&lt;'Données projet'!$A$36,$K$205^A59,IF(A59='Données projet'!$A$36,'Données projet'!$B$36,N58+M59-V58)))</f>
        <v>188.17866666666657</v>
      </c>
      <c r="O59" s="13">
        <f>N59*VLOOKUP('Données projet'!$B$9,Paramètres!$A$1:$I$89,3,0)*VLOOKUP('Données projet'!$B$9,Paramètres!$A$1:$I$89,5,0)</f>
        <v>214.29786559999988</v>
      </c>
      <c r="P59" s="13">
        <f t="shared" si="33"/>
        <v>52.873667200907974</v>
      </c>
      <c r="Q59" s="20">
        <f t="shared" si="53"/>
        <v>465.32375296158119</v>
      </c>
      <c r="R59" s="59">
        <f t="shared" si="0"/>
        <v>758.65708629491451</v>
      </c>
      <c r="S59" s="59">
        <f ca="1">AVERAGE(OFFSET($R$3,0,0,'Données projet'!$E$9+1,1))-AVERAGE(OFFSET($H$3,0,0,'Données projet'!$E$9+1,1))</f>
        <v>593.28343396240075</v>
      </c>
      <c r="T59" s="59">
        <f t="shared" si="34"/>
        <v>289.66477662068695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0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13.18</v>
      </c>
      <c r="AI59" s="13">
        <f>IF('Données projet'!$A$62&gt;35,AI58+AH59-AQ58,IF(A59&lt;'Données projet'!$A$62,$AF$205^A59,IF(A59='Données projet'!$A$62,'Données projet'!$B$62,AI58+AH59-AQ58)))</f>
        <v>385.0200000000001</v>
      </c>
      <c r="AJ59" s="13">
        <f>AI59*VLOOKUP('Données projet'!$B$10,Paramètres!$A$1:$I$89,3,0)*VLOOKUP('Données projet'!$B$10,Paramètres!$A$1:$I$89,5,0)</f>
        <v>230.24196000000006</v>
      </c>
      <c r="AK59" s="13">
        <f t="shared" si="35"/>
        <v>56.334995738213507</v>
      </c>
      <c r="AL59" s="20">
        <f t="shared" si="4"/>
        <v>499.12153124405523</v>
      </c>
      <c r="AM59" s="59">
        <f t="shared" si="5"/>
        <v>792.45486457738855</v>
      </c>
      <c r="AN59" s="59">
        <f ca="1">AVERAGE(OFFSET($AM$3,0,0,'Données projet'!$E$10+1,1))-AVERAGE(OFFSET($H$3,0,0,'Données projet'!$E$10+1,1))</f>
        <v>302.00825291248458</v>
      </c>
      <c r="AO59" s="59">
        <f t="shared" si="36"/>
        <v>307.35115839449355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48.829742004930303</v>
      </c>
      <c r="AV59" s="21">
        <f>EXP(-LN(2)/25)*AV58+(1-EXP(-LN(2)/25))/(LN(2)/25)*Calculateur!AQ59*Calculateur!AS59*VLOOKUP('Données projet'!$B$10,Paramètres!$A$1:$I$89,3,0)*0.475*44/12</f>
        <v>19.341154842886819</v>
      </c>
      <c r="AW59" s="21">
        <f>EXP(-LN(2)/2)*AW58+(1-EXP(-LN(2)/2))/(LN(2)/2)*AQ59*AT59*VLOOKUP('Données projet'!$B$10,Paramètres!$A$1:$I$89,3,0)*0.475*44/12</f>
        <v>2.7395530376513157</v>
      </c>
      <c r="AX59" s="21">
        <f t="shared" si="6"/>
        <v>70.910449885468438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14.113999999999999</v>
      </c>
      <c r="BD59" s="12">
        <f>IF('Données projet'!$A$88&gt;35,BD58+BC59-BL58,IF(A59&lt;'Données projet'!$A$88,$BA$205^A59,IF(A59='Données projet'!$A$88,'Données projet'!$B$88,BD58+BC59-BL58)))</f>
        <v>384.48399999999992</v>
      </c>
      <c r="BE59" s="13">
        <f>BD59*VLOOKUP('Données projet'!$B$11,Paramètres!$A$1:$I$89,3,0)*VLOOKUP('Données projet'!$B$11,Paramètres!$A$1:$I$89,5,0)</f>
        <v>229.92143199999998</v>
      </c>
      <c r="BF59" s="13">
        <f t="shared" si="37"/>
        <v>56.265692954832708</v>
      </c>
      <c r="BG59" s="20">
        <f t="shared" si="7"/>
        <v>498.44257596300025</v>
      </c>
      <c r="BH59" s="59">
        <f t="shared" si="8"/>
        <v>791.77590929633357</v>
      </c>
      <c r="BI59" s="59">
        <f ca="1">AVERAGE(OFFSET($BH$3,0,0,'Données projet'!$E$11+1,1))-AVERAGE(OFFSET($H$3,0,0,'Données projet'!$E$11+1,1))</f>
        <v>349.71285006949597</v>
      </c>
      <c r="BJ59" s="59">
        <f t="shared" si="38"/>
        <v>258.51550516456842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31.993572174985893</v>
      </c>
      <c r="BQ59" s="21">
        <f>EXP(-LN(2)/25)*BQ58+(1-EXP(-LN(2)/25))/(LN(2)/25)*Calculateur!BL59*Calculateur!BN59*VLOOKUP('Données projet'!$B$11,Paramètres!$A$1:$I$89,3,0)*0.475*44/12</f>
        <v>16.052093001840458</v>
      </c>
      <c r="BR59" s="21">
        <f>EXP(-LN(2)/2)*BR58+(1-EXP(-LN(2)/2))/(LN(2)/2)*BL59*BO59*VLOOKUP('Données projet'!$B$11,Paramètres!$A$1:$I$89,3,0)*0.475*44/12</f>
        <v>1.2474234084087776</v>
      </c>
      <c r="BS59" s="22">
        <f t="shared" si="9"/>
        <v>49.293088585235125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3.3603333333333336</v>
      </c>
      <c r="N60" s="13">
        <f>IF('Données projet'!$A$36&gt;35,N59+M60-V59,IF(A60&lt;'Données projet'!$A$36,$K$205^A60,IF(A60='Données projet'!$A$36,'Données projet'!$B$36,N59+M60-V59)))</f>
        <v>191.5389999999999</v>
      </c>
      <c r="O60" s="13">
        <f>N60*VLOOKUP('Données projet'!$B$9,Paramètres!$A$1:$I$89,3,0)*VLOOKUP('Données projet'!$B$9,Paramètres!$A$1:$I$89,5,0)</f>
        <v>218.12461319999989</v>
      </c>
      <c r="P60" s="13">
        <f t="shared" si="33"/>
        <v>53.707076797550549</v>
      </c>
      <c r="Q60" s="20">
        <f t="shared" si="53"/>
        <v>473.44019341240033</v>
      </c>
      <c r="R60" s="59">
        <f t="shared" si="0"/>
        <v>766.77352674573365</v>
      </c>
      <c r="S60" s="59">
        <f ca="1">AVERAGE(OFFSET($R$3,0,0,'Données projet'!$E$9+1,1))-AVERAGE(OFFSET($H$3,0,0,'Données projet'!$E$9+1,1))</f>
        <v>593.28343396240075</v>
      </c>
      <c r="T60" s="59">
        <f t="shared" si="34"/>
        <v>289.66477662068695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0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13.18</v>
      </c>
      <c r="AI60" s="13">
        <f>IF('Données projet'!$A$62&gt;35,AI59+AH60-AQ59,IF(A60&lt;'Données projet'!$A$62,$AF$205^A60,IF(A60='Données projet'!$A$62,'Données projet'!$B$62,AI59+AH60-AQ59)))</f>
        <v>398.2000000000001</v>
      </c>
      <c r="AJ60" s="13">
        <f>AI60*VLOOKUP('Données projet'!$B$10,Paramètres!$A$1:$I$89,3,0)*VLOOKUP('Données projet'!$B$10,Paramètres!$A$1:$I$89,5,0)</f>
        <v>238.12360000000007</v>
      </c>
      <c r="AK60" s="13">
        <f t="shared" si="35"/>
        <v>58.035629642885198</v>
      </c>
      <c r="AL60" s="20">
        <f t="shared" si="4"/>
        <v>515.81065829469196</v>
      </c>
      <c r="AM60" s="59">
        <f t="shared" si="5"/>
        <v>809.14399162802533</v>
      </c>
      <c r="AN60" s="59">
        <f ca="1">AVERAGE(OFFSET($AM$3,0,0,'Données projet'!$E$10+1,1))-AVERAGE(OFFSET($H$3,0,0,'Données projet'!$E$10+1,1))</f>
        <v>302.00825291248458</v>
      </c>
      <c r="AO60" s="59">
        <f t="shared" si="36"/>
        <v>307.35115839449355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47.872220547415395</v>
      </c>
      <c r="AV60" s="21">
        <f>EXP(-LN(2)/25)*AV59+(1-EXP(-LN(2)/25))/(LN(2)/25)*Calculateur!AQ60*Calculateur!AS60*VLOOKUP('Données projet'!$B$10,Paramètres!$A$1:$I$89,3,0)*0.475*44/12</f>
        <v>18.812269946600949</v>
      </c>
      <c r="AW60" s="21">
        <f>EXP(-LN(2)/2)*AW59+(1-EXP(-LN(2)/2))/(LN(2)/2)*AQ60*AT60*VLOOKUP('Données projet'!$B$10,Paramètres!$A$1:$I$89,3,0)*0.475*44/12</f>
        <v>1.9371565303434506</v>
      </c>
      <c r="AX60" s="21">
        <f t="shared" si="6"/>
        <v>68.621647024359788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14.113999999999999</v>
      </c>
      <c r="BD60" s="12">
        <f>IF('Données projet'!$A$88&gt;35,BD59+BC60-BL59,IF(A60&lt;'Données projet'!$A$88,$BA$205^A60,IF(A60='Données projet'!$A$88,'Données projet'!$B$88,BD59+BC60-BL59)))</f>
        <v>398.5979999999999</v>
      </c>
      <c r="BE60" s="13">
        <f>BD60*VLOOKUP('Données projet'!$B$11,Paramètres!$A$1:$I$89,3,0)*VLOOKUP('Données projet'!$B$11,Paramètres!$A$1:$I$89,5,0)</f>
        <v>238.36160399999994</v>
      </c>
      <c r="BF60" s="13">
        <f t="shared" si="37"/>
        <v>58.086881188787437</v>
      </c>
      <c r="BG60" s="20">
        <f t="shared" si="7"/>
        <v>516.31444503713794</v>
      </c>
      <c r="BH60" s="59">
        <f t="shared" si="8"/>
        <v>809.64777837047131</v>
      </c>
      <c r="BI60" s="59">
        <f ca="1">AVERAGE(OFFSET($BH$3,0,0,'Données projet'!$E$11+1,1))-AVERAGE(OFFSET($H$3,0,0,'Données projet'!$E$11+1,1))</f>
        <v>349.71285006949597</v>
      </c>
      <c r="BJ60" s="59">
        <f t="shared" si="38"/>
        <v>258.51550516456842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31.366197738786585</v>
      </c>
      <c r="BQ60" s="21">
        <f>EXP(-LN(2)/25)*BQ59+(1-EXP(-LN(2)/25))/(LN(2)/25)*Calculateur!BL60*Calculateur!BN60*VLOOKUP('Données projet'!$B$11,Paramètres!$A$1:$I$89,3,0)*0.475*44/12</f>
        <v>15.613147674562248</v>
      </c>
      <c r="BR60" s="21">
        <f>EXP(-LN(2)/2)*BR59+(1-EXP(-LN(2)/2))/(LN(2)/2)*BL60*BO60*VLOOKUP('Données projet'!$B$11,Paramètres!$A$1:$I$89,3,0)*0.475*44/12</f>
        <v>0.88206155109668294</v>
      </c>
      <c r="BS60" s="22">
        <f t="shared" si="9"/>
        <v>47.861406964445514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3.3603333333333336</v>
      </c>
      <c r="N61" s="13">
        <f>IF('Données projet'!$A$36&gt;35,N60+M61-V60,IF(A61&lt;'Données projet'!$A$36,$K$205^A61,IF(A61='Données projet'!$A$36,'Données projet'!$B$36,N60+M61-V60)))</f>
        <v>194.89933333333323</v>
      </c>
      <c r="O61" s="13">
        <f>N61*VLOOKUP('Données projet'!$B$9,Paramètres!$A$1:$I$89,3,0)*VLOOKUP('Données projet'!$B$9,Paramètres!$A$1:$I$89,5,0)</f>
        <v>221.95136079999986</v>
      </c>
      <c r="P61" s="13">
        <f t="shared" si="33"/>
        <v>54.538786128418167</v>
      </c>
      <c r="Q61" s="20">
        <f t="shared" si="53"/>
        <v>481.55367256699475</v>
      </c>
      <c r="R61" s="59">
        <f t="shared" si="0"/>
        <v>774.88700590032806</v>
      </c>
      <c r="S61" s="59">
        <f ca="1">AVERAGE(OFFSET($R$3,0,0,'Données projet'!$E$9+1,1))-AVERAGE(OFFSET($H$3,0,0,'Données projet'!$E$9+1,1))</f>
        <v>593.28343396240075</v>
      </c>
      <c r="T61" s="59">
        <f t="shared" si="34"/>
        <v>289.66477662068695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0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13.18</v>
      </c>
      <c r="AI61" s="13">
        <f>IF('Données projet'!$A$62&gt;35,AI60+AH61-AQ60,IF(A61&lt;'Données projet'!$A$62,$AF$205^A61,IF(A61='Données projet'!$A$62,'Données projet'!$B$62,AI60+AH61-AQ60)))</f>
        <v>411.38000000000011</v>
      </c>
      <c r="AJ61" s="13">
        <f>AI61*VLOOKUP('Données projet'!$B$10,Paramètres!$A$1:$I$89,3,0)*VLOOKUP('Données projet'!$B$10,Paramètres!$A$1:$I$89,5,0)</f>
        <v>246.0052400000001</v>
      </c>
      <c r="AK61" s="13">
        <f t="shared" si="35"/>
        <v>59.729722829762714</v>
      </c>
      <c r="AL61" s="20">
        <f t="shared" si="4"/>
        <v>532.48839359517024</v>
      </c>
      <c r="AM61" s="59">
        <f t="shared" si="5"/>
        <v>825.82172692850349</v>
      </c>
      <c r="AN61" s="59">
        <f ca="1">AVERAGE(OFFSET($AM$3,0,0,'Données projet'!$E$10+1,1))-AVERAGE(OFFSET($H$3,0,0,'Données projet'!$E$10+1,1))</f>
        <v>302.00825291248458</v>
      </c>
      <c r="AO61" s="59">
        <f t="shared" si="36"/>
        <v>307.35115839449355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46.933475501651934</v>
      </c>
      <c r="AV61" s="21">
        <f>EXP(-LN(2)/25)*AV60+(1-EXP(-LN(2)/25))/(LN(2)/25)*Calculateur!AQ61*Calculateur!AS61*VLOOKUP('Données projet'!$B$10,Paramètres!$A$1:$I$89,3,0)*0.475*44/12</f>
        <v>18.297847435616866</v>
      </c>
      <c r="AW61" s="21">
        <f>EXP(-LN(2)/2)*AW60+(1-EXP(-LN(2)/2))/(LN(2)/2)*AQ61*AT61*VLOOKUP('Données projet'!$B$10,Paramètres!$A$1:$I$89,3,0)*0.475*44/12</f>
        <v>1.3697765188256581</v>
      </c>
      <c r="AX61" s="21">
        <f t="shared" si="6"/>
        <v>66.60109945609446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14.113999999999999</v>
      </c>
      <c r="BD61" s="12">
        <f>IF('Données projet'!$A$88&gt;35,BD60+BC61-BL60,IF(A61&lt;'Données projet'!$A$88,$BA$205^A61,IF(A61='Données projet'!$A$88,'Données projet'!$B$88,BD60+BC61-BL60)))</f>
        <v>412.71199999999988</v>
      </c>
      <c r="BE61" s="13">
        <f>BD61*VLOOKUP('Données projet'!$B$11,Paramètres!$A$1:$I$89,3,0)*VLOOKUP('Données projet'!$B$11,Paramètres!$A$1:$I$89,5,0)</f>
        <v>246.80177599999993</v>
      </c>
      <c r="BF61" s="13">
        <f t="shared" si="37"/>
        <v>59.900576970210864</v>
      </c>
      <c r="BG61" s="20">
        <f t="shared" si="7"/>
        <v>534.17326475645041</v>
      </c>
      <c r="BH61" s="59">
        <f t="shared" si="8"/>
        <v>827.50659808978367</v>
      </c>
      <c r="BI61" s="59">
        <f ca="1">AVERAGE(OFFSET($BH$3,0,0,'Données projet'!$E$11+1,1))-AVERAGE(OFFSET($H$3,0,0,'Données projet'!$E$11+1,1))</f>
        <v>349.71285006949597</v>
      </c>
      <c r="BJ61" s="59">
        <f t="shared" si="38"/>
        <v>258.51550516456842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30.751125732620523</v>
      </c>
      <c r="BQ61" s="21">
        <f>EXP(-LN(2)/25)*BQ60+(1-EXP(-LN(2)/25))/(LN(2)/25)*Calculateur!BL61*Calculateur!BN61*VLOOKUP('Données projet'!$B$11,Paramètres!$A$1:$I$89,3,0)*0.475*44/12</f>
        <v>15.186205330341592</v>
      </c>
      <c r="BR61" s="21">
        <f>EXP(-LN(2)/2)*BR60+(1-EXP(-LN(2)/2))/(LN(2)/2)*BL61*BO61*VLOOKUP('Données projet'!$B$11,Paramètres!$A$1:$I$89,3,0)*0.475*44/12</f>
        <v>0.62371170420438893</v>
      </c>
      <c r="BS61" s="22">
        <f t="shared" si="9"/>
        <v>46.561042767166505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3.3603333333333336</v>
      </c>
      <c r="N62" s="13">
        <f>IF('Données projet'!$A$36&gt;35,N61+M62-V61,IF(A62&lt;'Données projet'!$A$36,$K$205^A62,IF(A62='Données projet'!$A$36,'Données projet'!$B$36,N61+M62-V61)))</f>
        <v>198.25966666666656</v>
      </c>
      <c r="O62" s="13">
        <f>N62*VLOOKUP('Données projet'!$B$9,Paramètres!$A$1:$I$89,3,0)*VLOOKUP('Données projet'!$B$9,Paramètres!$A$1:$I$89,5,0)</f>
        <v>225.77810839999987</v>
      </c>
      <c r="P62" s="13">
        <f t="shared" si="33"/>
        <v>55.368827891142729</v>
      </c>
      <c r="Q62" s="20">
        <f t="shared" si="53"/>
        <v>489.66424737373995</v>
      </c>
      <c r="R62" s="59">
        <f t="shared" si="0"/>
        <v>782.99758070707321</v>
      </c>
      <c r="S62" s="59">
        <f ca="1">AVERAGE(OFFSET($R$3,0,0,'Données projet'!$E$9+1,1))-AVERAGE(OFFSET($H$3,0,0,'Données projet'!$E$9+1,1))</f>
        <v>593.28343396240075</v>
      </c>
      <c r="T62" s="59">
        <f t="shared" si="34"/>
        <v>289.66477662068695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0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13.18</v>
      </c>
      <c r="AI62" s="13">
        <f>IF('Données projet'!$A$62&gt;35,AI61+AH62-AQ61,IF(A62&lt;'Données projet'!$A$62,$AF$205^A62,IF(A62='Données projet'!$A$62,'Données projet'!$B$62,AI61+AH62-AQ61)))</f>
        <v>424.56000000000012</v>
      </c>
      <c r="AJ62" s="13">
        <f>AI62*VLOOKUP('Données projet'!$B$10,Paramètres!$A$1:$I$89,3,0)*VLOOKUP('Données projet'!$B$10,Paramètres!$A$1:$I$89,5,0)</f>
        <v>253.8868800000001</v>
      </c>
      <c r="AK62" s="13">
        <f t="shared" si="35"/>
        <v>61.417508891277024</v>
      </c>
      <c r="AL62" s="20">
        <f t="shared" si="4"/>
        <v>549.15514398564108</v>
      </c>
      <c r="AM62" s="59">
        <f t="shared" si="5"/>
        <v>842.48847731897445</v>
      </c>
      <c r="AN62" s="59">
        <f ca="1">AVERAGE(OFFSET($AM$3,0,0,'Données projet'!$E$10+1,1))-AVERAGE(OFFSET($H$3,0,0,'Données projet'!$E$10+1,1))</f>
        <v>302.00825291248458</v>
      </c>
      <c r="AO62" s="59">
        <f t="shared" si="36"/>
        <v>307.35115839449355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46.013138673657956</v>
      </c>
      <c r="AV62" s="21">
        <f>EXP(-LN(2)/25)*AV61+(1-EXP(-LN(2)/25))/(LN(2)/25)*Calculateur!AQ62*Calculateur!AS62*VLOOKUP('Données projet'!$B$10,Paramètres!$A$1:$I$89,3,0)*0.475*44/12</f>
        <v>17.797491835247946</v>
      </c>
      <c r="AW62" s="21">
        <f>EXP(-LN(2)/2)*AW61+(1-EXP(-LN(2)/2))/(LN(2)/2)*AQ62*AT62*VLOOKUP('Données projet'!$B$10,Paramètres!$A$1:$I$89,3,0)*0.475*44/12</f>
        <v>0.96857826517172552</v>
      </c>
      <c r="AX62" s="21">
        <f t="shared" si="6"/>
        <v>64.779208774077631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14.113999999999999</v>
      </c>
      <c r="BD62" s="12">
        <f>IF('Données projet'!$A$88&gt;35,BD61+BC62-BL61,IF(A62&lt;'Données projet'!$A$88,$BA$205^A62,IF(A62='Données projet'!$A$88,'Données projet'!$B$88,BD61+BC62-BL61)))</f>
        <v>426.82599999999985</v>
      </c>
      <c r="BE62" s="13">
        <f>BD62*VLOOKUP('Données projet'!$B$11,Paramètres!$A$1:$I$89,3,0)*VLOOKUP('Données projet'!$B$11,Paramètres!$A$1:$I$89,5,0)</f>
        <v>255.24194799999992</v>
      </c>
      <c r="BF62" s="13">
        <f t="shared" si="37"/>
        <v>61.707065896857912</v>
      </c>
      <c r="BG62" s="20">
        <f t="shared" si="7"/>
        <v>552.01953253702732</v>
      </c>
      <c r="BH62" s="59">
        <f t="shared" si="8"/>
        <v>845.35286587036057</v>
      </c>
      <c r="BI62" s="59">
        <f ca="1">AVERAGE(OFFSET($BH$3,0,0,'Données projet'!$E$11+1,1))-AVERAGE(OFFSET($H$3,0,0,'Données projet'!$E$11+1,1))</f>
        <v>349.71285006949597</v>
      </c>
      <c r="BJ62" s="59">
        <f t="shared" si="38"/>
        <v>258.51550516456842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30.148114913338496</v>
      </c>
      <c r="BQ62" s="21">
        <f>EXP(-LN(2)/25)*BQ61+(1-EXP(-LN(2)/25))/(LN(2)/25)*Calculateur!BL62*Calculateur!BN62*VLOOKUP('Données projet'!$B$11,Paramètres!$A$1:$I$89,3,0)*0.475*44/12</f>
        <v>14.770937746975571</v>
      </c>
      <c r="BR62" s="21">
        <f>EXP(-LN(2)/2)*BR61+(1-EXP(-LN(2)/2))/(LN(2)/2)*BL62*BO62*VLOOKUP('Données projet'!$B$11,Paramètres!$A$1:$I$89,3,0)*0.475*44/12</f>
        <v>0.44103077554834152</v>
      </c>
      <c r="BS62" s="22">
        <f t="shared" si="9"/>
        <v>45.360083435862407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201.62</v>
      </c>
      <c r="L63" s="12">
        <f>VLOOKUP(A63,'Données projet'!$A$35:$I$55,9,0)</f>
        <v>3.3603333333333336</v>
      </c>
      <c r="M63" s="12">
        <f t="array" ref="M63">INDEX(L:L,MIN(IF(ISNUMBER(L63:L259),ROW(L63:L259),"")))</f>
        <v>3.3603333333333336</v>
      </c>
      <c r="N63" s="13">
        <f>IF('Données projet'!$A$36&gt;35,N62+M63-V62,IF(A63&lt;'Données projet'!$A$36,$K$205^A63,IF(A63='Données projet'!$A$36,'Données projet'!$B$36,N62+M63-V62)))</f>
        <v>201.61999999999989</v>
      </c>
      <c r="O63" s="13">
        <f>N63*VLOOKUP('Données projet'!$B$9,Paramètres!$A$1:$I$89,3,0)*VLOOKUP('Données projet'!$B$9,Paramètres!$A$1:$I$89,5,0)</f>
        <v>229.6048559999999</v>
      </c>
      <c r="P63" s="13">
        <f t="shared" si="33"/>
        <v>56.19723361144181</v>
      </c>
      <c r="Q63" s="20">
        <f t="shared" si="53"/>
        <v>497.77197273992761</v>
      </c>
      <c r="R63" s="59">
        <f t="shared" si="0"/>
        <v>791.10530607326086</v>
      </c>
      <c r="S63" s="59">
        <f ca="1">AVERAGE(OFFSET($R$3,0,0,'Données projet'!$E$9+1,1))-AVERAGE(OFFSET($H$3,0,0,'Données projet'!$E$9+1,1))</f>
        <v>593.28343396240075</v>
      </c>
      <c r="T63" s="59">
        <f t="shared" si="34"/>
        <v>289.66477662068695</v>
      </c>
      <c r="U63" s="15">
        <f>IF(ISNA(VLOOKUP(A63,'Données projet'!$A$35:$I$55,3,0)),0,VLOOKUP(A63,'Données projet'!$A$35:$I$55,3,0))</f>
        <v>1</v>
      </c>
      <c r="V63" s="15">
        <f>IF(ISNA(VLOOKUP(A63,'Données projet'!$A$35:$I$55,4,0)),0,VLOOKUP(A63,'Données projet'!$A$35:$I$55,4,0))</f>
        <v>72.87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0.34400000000000003</v>
      </c>
      <c r="Y63" s="16">
        <f>IF(ISNA(VLOOKUP(A63,'Données projet'!$A$35:$I$55,7,0)),0%,VLOOKUP(A63,'Données projet'!$A$35:$I$55,7,0))</f>
        <v>0.2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31.433187477653828</v>
      </c>
      <c r="AB63" s="21">
        <f>EXP(-LN(2)/2)*AB62+(1-EXP(-LN(2)/2))/(LN(2)/2)*V63*Y63*VLOOKUP('Données projet'!$B$9,Paramètres!$A$1:$I$89,3,0)*0.475*44/12</f>
        <v>15.659594675439026</v>
      </c>
      <c r="AC63" s="22">
        <f t="shared" si="3"/>
        <v>47.092782153092855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437.74</v>
      </c>
      <c r="AG63" s="12">
        <f>VLOOKUP(A63,'Données projet'!$A$61:$I$81,9,0)</f>
        <v>13.18</v>
      </c>
      <c r="AH63" s="12">
        <f t="array" ref="AH63">INDEX(AG:AG,MIN(IF(ISNUMBER(AG63:AG259),ROW(AG63:AG259),"")))</f>
        <v>13.18</v>
      </c>
      <c r="AI63" s="13">
        <f>IF('Données projet'!$A$62&gt;35,AI62+AH63-AQ62,IF(A63&lt;'Données projet'!$A$62,$AF$205^A63,IF(A63='Données projet'!$A$62,'Données projet'!$B$62,AI62+AH63-AQ62)))</f>
        <v>437.74000000000012</v>
      </c>
      <c r="AJ63" s="13">
        <f>AI63*VLOOKUP('Données projet'!$B$10,Paramètres!$A$1:$I$89,3,0)*VLOOKUP('Données projet'!$B$10,Paramètres!$A$1:$I$89,5,0)</f>
        <v>261.76852000000008</v>
      </c>
      <c r="AK63" s="13">
        <f t="shared" si="35"/>
        <v>63.099206092755566</v>
      </c>
      <c r="AL63" s="20">
        <f t="shared" si="4"/>
        <v>565.81128961154946</v>
      </c>
      <c r="AM63" s="59">
        <f t="shared" si="5"/>
        <v>859.14462294488271</v>
      </c>
      <c r="AN63" s="59">
        <f ca="1">AVERAGE(OFFSET($AM$3,0,0,'Données projet'!$E$10+1,1))-AVERAGE(OFFSET($H$3,0,0,'Données projet'!$E$10+1,1))</f>
        <v>302.00825291248458</v>
      </c>
      <c r="AO63" s="59">
        <f t="shared" si="36"/>
        <v>307.35115839449355</v>
      </c>
      <c r="AP63" s="15">
        <f>IF(ISNA(VLOOKUP(A63,'Données projet'!$A$61:$I$81,3,0)),0,VLOOKUP(A63,'Données projet'!$A$61:$I$81,3,0))</f>
        <v>7</v>
      </c>
      <c r="AQ63" s="15">
        <f>IF(ISNA(VLOOKUP(A63,'Données projet'!$A$61:$I$81,4,0)),0,VLOOKUP(A63,'Données projet'!$A$61:$I$81,4,0))</f>
        <v>437.74</v>
      </c>
      <c r="AR63" s="16">
        <f>IF(ISNA(VLOOKUP(A63,'Données projet'!$A$61:$I$81,5,0)),0%,VLOOKUP(A63,'Données projet'!$A$61:$I$81,5,0)*VLOOKUP('Données projet'!$B$10,Paramètres!$A$1:$I$89,7,0))</f>
        <v>0.27</v>
      </c>
      <c r="AS63" s="16">
        <f>IF(ISNA(VLOOKUP(A63,'Données projet'!$A$61:$I$81,6,0)),0%,VLOOKUP(A63,'Données projet'!$A$61:$I$81,6,0)*VLOOKUP('Données projet'!$B$10,Paramètres!$A$1:$I$89,7,0))</f>
        <v>9.0000000000000011E-2</v>
      </c>
      <c r="AT63" s="16">
        <f>IF(ISNA(VLOOKUP(A63,'Données projet'!$A$61:$I$81,7,0)),0%,VLOOKUP(A63,'Données projet'!$A$61:$I$81,7,0))</f>
        <v>0.2</v>
      </c>
      <c r="AU63" s="21">
        <f>EXP(-LN(2)/35)*AU62+(1-EXP(-LN(2)/35))/(LN(2)/35)*AQ63*AR63*VLOOKUP('Données projet'!$B$10,Paramètres!$A$1:$I$89,3,0)*0.475*44/12</f>
        <v>138.86910891946479</v>
      </c>
      <c r="AV63" s="21">
        <f>EXP(-LN(2)/25)*AV62+(1-EXP(-LN(2)/25))/(LN(2)/25)*Calculateur!AQ63*Calculateur!AS63*VLOOKUP('Données projet'!$B$10,Paramètres!$A$1:$I$89,3,0)*0.475*44/12</f>
        <v>48.440517763852199</v>
      </c>
      <c r="AW63" s="21">
        <f>EXP(-LN(2)/2)*AW62+(1-EXP(-LN(2)/2))/(LN(2)/2)*AQ63*AT63*VLOOKUP('Données projet'!$B$10,Paramètres!$A$1:$I$89,3,0)*0.475*44/12</f>
        <v>59.961442823353359</v>
      </c>
      <c r="AX63" s="21">
        <f t="shared" si="6"/>
        <v>247.27106950667036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440.94</v>
      </c>
      <c r="BB63" s="12">
        <f>VLOOKUP(A63,'Données projet'!$A$87:$I$107,9,0)</f>
        <v>14.113999999999999</v>
      </c>
      <c r="BC63" s="12">
        <f t="array" ref="BC63">INDEX(BB:BB,MIN(IF(ISNUMBER(BB63:BB259),ROW(BB63:BB259),"")))</f>
        <v>14.113999999999999</v>
      </c>
      <c r="BD63" s="12">
        <f>IF('Données projet'!$A$88&gt;35,BD62+BC63-BL62,IF(A63&lt;'Données projet'!$A$88,$BA$205^A63,IF(A63='Données projet'!$A$88,'Données projet'!$B$88,BD62+BC63-BL62)))</f>
        <v>440.93999999999983</v>
      </c>
      <c r="BE63" s="13">
        <f>BD63*VLOOKUP('Données projet'!$B$11,Paramètres!$A$1:$I$89,3,0)*VLOOKUP('Données projet'!$B$11,Paramètres!$A$1:$I$89,5,0)</f>
        <v>263.68211999999988</v>
      </c>
      <c r="BF63" s="13">
        <f t="shared" si="37"/>
        <v>63.506613606650006</v>
      </c>
      <c r="BG63" s="20">
        <f t="shared" si="7"/>
        <v>569.85371103158184</v>
      </c>
      <c r="BH63" s="59">
        <f t="shared" si="8"/>
        <v>863.18704436491521</v>
      </c>
      <c r="BI63" s="59">
        <f ca="1">AVERAGE(OFFSET($BH$3,0,0,'Données projet'!$E$11+1,1))-AVERAGE(OFFSET($H$3,0,0,'Données projet'!$E$11+1,1))</f>
        <v>349.71285006949597</v>
      </c>
      <c r="BJ63" s="59">
        <f t="shared" si="38"/>
        <v>258.51550516456842</v>
      </c>
      <c r="BK63" s="15">
        <f>IF(ISNA(VLOOKUP(A63,'Données projet'!$A$87:$I$107,3,0)),0,VLOOKUP(A63,'Données projet'!$A$87:$I$107,3,0))</f>
        <v>6</v>
      </c>
      <c r="BL63" s="15">
        <f>IF(ISNA(VLOOKUP(A63,'Données projet'!$A$87:$I$107,4,0)),0,VLOOKUP(A63,'Données projet'!$A$87:$I$107,4,0))</f>
        <v>69.839999999999975</v>
      </c>
      <c r="BM63" s="16">
        <f>IF(ISNA(VLOOKUP(A63,'Données projet'!$A$87:$I$107,5,0)),0%,VLOOKUP(A63,'Données projet'!$A$87:$I$107,5,0)*VLOOKUP('Données projet'!$B$11,Paramètres!$A$1:$I$89,7,0))</f>
        <v>0.27</v>
      </c>
      <c r="BN63" s="16">
        <f>IF(ISNA(VLOOKUP(A63,'Données projet'!$A$87:$I$107,6,0)),0%,VLOOKUP(A63,'Données projet'!$A$87:$I$107,6,0)*VLOOKUP('Données projet'!$B$11,Paramètres!$A$1:$I$89,7,0))</f>
        <v>9.0000000000000011E-2</v>
      </c>
      <c r="BO63" s="16">
        <f>IF(ISNA(VLOOKUP(A63,'Données projet'!$A$87:$I$107,7,0)),0%,VLOOKUP(A63,'Données projet'!$A$87:$I$107,7,0))</f>
        <v>0.2</v>
      </c>
      <c r="BP63" s="21">
        <f>EXP(-LN(2)/35)*BP62+(1-EXP(-LN(2)/35))/(LN(2)/35)*BL63*BM63*VLOOKUP('Données projet'!$B$11,Paramètres!$A$1:$I$89,3,0)*0.475*44/12</f>
        <v>44.515755621175032</v>
      </c>
      <c r="BQ63" s="21">
        <f>EXP(-LN(2)/25)*BQ62+(1-EXP(-LN(2)/25))/(LN(2)/25)*Calculateur!BL63*Calculateur!BN63*VLOOKUP('Données projet'!$B$11,Paramètres!$A$1:$I$89,3,0)*0.475*44/12</f>
        <v>19.333668428072521</v>
      </c>
      <c r="BR63" s="21">
        <f>EXP(-LN(2)/2)*BR62+(1-EXP(-LN(2)/2))/(LN(2)/2)*BL63*BO63*VLOOKUP('Données projet'!$B$11,Paramètres!$A$1:$I$89,3,0)*0.475*44/12</f>
        <v>9.7692382497482964</v>
      </c>
      <c r="BS63" s="22">
        <f t="shared" si="9"/>
        <v>73.618662298995844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6.8933333333333326</v>
      </c>
      <c r="N64" s="13">
        <f>IF('Données projet'!$A$36&gt;35,N63+M64-V63,IF(A64&lt;'Données projet'!$A$36,$K$205^A64,IF(A64='Données projet'!$A$36,'Données projet'!$B$36,N63+M64-V63)))</f>
        <v>135.64333333333323</v>
      </c>
      <c r="O64" s="13">
        <f>N64*VLOOKUP('Données projet'!$B$9,Paramètres!$A$1:$I$89,3,0)*VLOOKUP('Données projet'!$B$9,Paramètres!$A$1:$I$89,5,0)</f>
        <v>154.47062799999989</v>
      </c>
      <c r="P64" s="13">
        <f t="shared" si="33"/>
        <v>39.592808820576636</v>
      </c>
      <c r="Q64" s="20">
        <f t="shared" si="53"/>
        <v>337.99381912917073</v>
      </c>
      <c r="R64" s="59">
        <f t="shared" si="0"/>
        <v>631.32715246250405</v>
      </c>
      <c r="S64" s="59">
        <f ca="1">AVERAGE(OFFSET($R$3,0,0,'Données projet'!$E$9+1,1))-AVERAGE(OFFSET($H$3,0,0,'Données projet'!$E$9+1,1))</f>
        <v>593.28343396240075</v>
      </c>
      <c r="T64" s="59">
        <f t="shared" si="34"/>
        <v>289.66477662068695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30.573645313077897</v>
      </c>
      <c r="AB64" s="21">
        <f>EXP(-LN(2)/2)*AB63+(1-EXP(-LN(2)/2))/(LN(2)/2)*V64*Y64*VLOOKUP('Données projet'!$B$9,Paramètres!$A$1:$I$89,3,0)*0.475*44/12</f>
        <v>11.073005585635689</v>
      </c>
      <c r="AC64" s="22">
        <f t="shared" si="3"/>
        <v>41.646650898713588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1.1368683772161603E-13</v>
      </c>
      <c r="AJ64" s="13">
        <f>AI64*VLOOKUP('Données projet'!$B$10,Paramètres!$A$1:$I$89,3,0)*VLOOKUP('Données projet'!$B$10,Paramètres!$A$1:$I$89,5,0)</f>
        <v>6.7984728957526396E-14</v>
      </c>
      <c r="AK64" s="13">
        <f t="shared" si="35"/>
        <v>1.0682447123141398E-12</v>
      </c>
      <c r="AL64" s="20">
        <f t="shared" si="4"/>
        <v>1.978932943548152E-12</v>
      </c>
      <c r="AM64" s="59">
        <f t="shared" si="5"/>
        <v>293.3333333333353</v>
      </c>
      <c r="AN64" s="59">
        <f ca="1">AVERAGE(OFFSET($AM$3,0,0,'Données projet'!$E$10+1,1))-AVERAGE(OFFSET($H$3,0,0,'Données projet'!$E$10+1,1))</f>
        <v>302.00825291248458</v>
      </c>
      <c r="AO64" s="59">
        <f t="shared" si="36"/>
        <v>307.35115839449355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136.14597039534692</v>
      </c>
      <c r="AV64" s="21">
        <f>EXP(-LN(2)/25)*AV63+(1-EXP(-LN(2)/25))/(LN(2)/25)*Calculateur!AQ64*Calculateur!AS64*VLOOKUP('Données projet'!$B$10,Paramètres!$A$1:$I$89,3,0)*0.475*44/12</f>
        <v>47.115909258223546</v>
      </c>
      <c r="AW64" s="21">
        <f>EXP(-LN(2)/2)*AW63+(1-EXP(-LN(2)/2))/(LN(2)/2)*AQ64*AT64*VLOOKUP('Données projet'!$B$10,Paramètres!$A$1:$I$89,3,0)*0.475*44/12</f>
        <v>42.399142830122607</v>
      </c>
      <c r="AX64" s="21">
        <f t="shared" si="6"/>
        <v>225.66102248369307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11.896999999999997</v>
      </c>
      <c r="BD64" s="12">
        <f>IF('Données projet'!$A$88&gt;35,BD63+BC64-BL63,IF(A64&lt;'Données projet'!$A$88,$BA$205^A64,IF(A64='Données projet'!$A$88,'Données projet'!$B$88,BD63+BC64-BL63)))</f>
        <v>382.99699999999984</v>
      </c>
      <c r="BE64" s="13">
        <f>BD64*VLOOKUP('Données projet'!$B$11,Paramètres!$A$1:$I$89,3,0)*VLOOKUP('Données projet'!$B$11,Paramètres!$A$1:$I$89,5,0)</f>
        <v>229.03220599999992</v>
      </c>
      <c r="BF64" s="13">
        <f t="shared" si="37"/>
        <v>56.073370514455313</v>
      </c>
      <c r="BG64" s="20">
        <f t="shared" si="7"/>
        <v>496.55887909600943</v>
      </c>
      <c r="BH64" s="59">
        <f t="shared" si="8"/>
        <v>789.89221242934275</v>
      </c>
      <c r="BI64" s="59">
        <f ca="1">AVERAGE(OFFSET($BH$3,0,0,'Données projet'!$E$11+1,1))-AVERAGE(OFFSET($H$3,0,0,'Données projet'!$E$11+1,1))</f>
        <v>349.71285006949597</v>
      </c>
      <c r="BJ64" s="59">
        <f t="shared" si="38"/>
        <v>258.51550516456842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43.642828805373689</v>
      </c>
      <c r="BQ64" s="21">
        <f>EXP(-LN(2)/25)*BQ63+(1-EXP(-LN(2)/25))/(LN(2)/25)*Calculateur!BL64*Calculateur!BN64*VLOOKUP('Données projet'!$B$11,Paramètres!$A$1:$I$89,3,0)*0.475*44/12</f>
        <v>18.804988248193443</v>
      </c>
      <c r="BR64" s="21">
        <f>EXP(-LN(2)/2)*BR63+(1-EXP(-LN(2)/2))/(LN(2)/2)*BL64*BO64*VLOOKUP('Données projet'!$B$11,Paramètres!$A$1:$I$89,3,0)*0.475*44/12</f>
        <v>6.9078946134240198</v>
      </c>
      <c r="BS64" s="22">
        <f t="shared" si="9"/>
        <v>69.355711666991155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6.8933333333333326</v>
      </c>
      <c r="N65" s="13">
        <f>IF('Données projet'!$A$36&gt;35,N64+M65-V64,IF(A65&lt;'Données projet'!$A$36,$K$205^A65,IF(A65='Données projet'!$A$36,'Données projet'!$B$36,N64+M65-V64)))</f>
        <v>142.53666666666658</v>
      </c>
      <c r="O65" s="13">
        <f>N65*VLOOKUP('Données projet'!$B$9,Paramètres!$A$1:$I$89,3,0)*VLOOKUP('Données projet'!$B$9,Paramètres!$A$1:$I$89,5,0)</f>
        <v>162.3207559999999</v>
      </c>
      <c r="P65" s="13">
        <f t="shared" si="33"/>
        <v>41.365528881594308</v>
      </c>
      <c r="Q65" s="20">
        <f t="shared" si="53"/>
        <v>354.75361283544322</v>
      </c>
      <c r="R65" s="59">
        <f t="shared" si="0"/>
        <v>648.08694616877654</v>
      </c>
      <c r="S65" s="59">
        <f ca="1">AVERAGE(OFFSET($R$3,0,0,'Données projet'!$E$9+1,1))-AVERAGE(OFFSET($H$3,0,0,'Données projet'!$E$9+1,1))</f>
        <v>593.28343396240075</v>
      </c>
      <c r="T65" s="59">
        <f t="shared" si="34"/>
        <v>289.66477662068695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29.737607374193651</v>
      </c>
      <c r="AB65" s="21">
        <f>EXP(-LN(2)/2)*AB64+(1-EXP(-LN(2)/2))/(LN(2)/2)*V65*Y65*VLOOKUP('Données projet'!$B$9,Paramètres!$A$1:$I$89,3,0)*0.475*44/12</f>
        <v>7.8297973377195147</v>
      </c>
      <c r="AC65" s="22">
        <f t="shared" si="3"/>
        <v>37.567404711913163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1.1368683772161603E-13</v>
      </c>
      <c r="AJ65" s="13">
        <f>AI65*VLOOKUP('Données projet'!$B$10,Paramètres!$A$1:$I$89,3,0)*VLOOKUP('Données projet'!$B$10,Paramètres!$A$1:$I$89,5,0)</f>
        <v>6.7984728957526396E-14</v>
      </c>
      <c r="AK65" s="13">
        <f t="shared" si="35"/>
        <v>1.0682447123141398E-12</v>
      </c>
      <c r="AL65" s="20">
        <f t="shared" si="4"/>
        <v>1.978932943548152E-12</v>
      </c>
      <c r="AM65" s="59">
        <f t="shared" si="5"/>
        <v>293.3333333333353</v>
      </c>
      <c r="AN65" s="59">
        <f ca="1">AVERAGE(OFFSET($AM$3,0,0,'Données projet'!$E$10+1,1))-AVERAGE(OFFSET($H$3,0,0,'Données projet'!$E$10+1,1))</f>
        <v>302.00825291248458</v>
      </c>
      <c r="AO65" s="59">
        <f t="shared" si="36"/>
        <v>307.35115839449355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133.47623095673652</v>
      </c>
      <c r="AV65" s="21">
        <f>EXP(-LN(2)/25)*AV64+(1-EXP(-LN(2)/25))/(LN(2)/25)*Calculateur!AQ65*Calculateur!AS65*VLOOKUP('Données projet'!$B$10,Paramètres!$A$1:$I$89,3,0)*0.475*44/12</f>
        <v>45.827522241839439</v>
      </c>
      <c r="AW65" s="21">
        <f>EXP(-LN(2)/2)*AW64+(1-EXP(-LN(2)/2))/(LN(2)/2)*AQ65*AT65*VLOOKUP('Données projet'!$B$10,Paramètres!$A$1:$I$89,3,0)*0.475*44/12</f>
        <v>29.980721411676683</v>
      </c>
      <c r="AX65" s="21">
        <f t="shared" si="6"/>
        <v>209.28447461025263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11.896999999999997</v>
      </c>
      <c r="BD65" s="12">
        <f>IF('Données projet'!$A$88&gt;35,BD64+BC65-BL64,IF(A65&lt;'Données projet'!$A$88,$BA$205^A65,IF(A65='Données projet'!$A$88,'Données projet'!$B$88,BD64+BC65-BL64)))</f>
        <v>394.89399999999983</v>
      </c>
      <c r="BE65" s="13">
        <f>BD65*VLOOKUP('Données projet'!$B$11,Paramètres!$A$1:$I$89,3,0)*VLOOKUP('Données projet'!$B$11,Paramètres!$A$1:$I$89,5,0)</f>
        <v>236.14661199999995</v>
      </c>
      <c r="BF65" s="13">
        <f t="shared" si="37"/>
        <v>57.609675887529612</v>
      </c>
      <c r="BG65" s="20">
        <f t="shared" si="7"/>
        <v>511.6255347374472</v>
      </c>
      <c r="BH65" s="59">
        <f t="shared" si="8"/>
        <v>804.95886807078045</v>
      </c>
      <c r="BI65" s="59">
        <f ca="1">AVERAGE(OFFSET($BH$3,0,0,'Données projet'!$E$11+1,1))-AVERAGE(OFFSET($H$3,0,0,'Données projet'!$E$11+1,1))</f>
        <v>349.71285006949597</v>
      </c>
      <c r="BJ65" s="59">
        <f t="shared" si="38"/>
        <v>258.51550516456842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42.787019551997425</v>
      </c>
      <c r="BQ65" s="21">
        <f>EXP(-LN(2)/25)*BQ64+(1-EXP(-LN(2)/25))/(LN(2)/25)*Calculateur!BL65*Calculateur!BN65*VLOOKUP('Données projet'!$B$11,Paramètres!$A$1:$I$89,3,0)*0.475*44/12</f>
        <v>18.290764855635238</v>
      </c>
      <c r="BR65" s="21">
        <f>EXP(-LN(2)/2)*BR64+(1-EXP(-LN(2)/2))/(LN(2)/2)*BL65*BO65*VLOOKUP('Données projet'!$B$11,Paramètres!$A$1:$I$89,3,0)*0.475*44/12</f>
        <v>4.8846191248741491</v>
      </c>
      <c r="BS65" s="22">
        <f t="shared" si="9"/>
        <v>65.962403532506812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6.8933333333333326</v>
      </c>
      <c r="N66" s="13">
        <f>IF('Données projet'!$A$36&gt;35,N65+M66-V65,IF(A66&lt;'Données projet'!$A$36,$K$205^A66,IF(A66='Données projet'!$A$36,'Données projet'!$B$36,N65+M66-V65)))</f>
        <v>149.42999999999992</v>
      </c>
      <c r="O66" s="13">
        <f>N66*VLOOKUP('Données projet'!$B$9,Paramètres!$A$1:$I$89,3,0)*VLOOKUP('Données projet'!$B$9,Paramètres!$A$1:$I$89,5,0)</f>
        <v>170.17088399999992</v>
      </c>
      <c r="P66" s="13">
        <f t="shared" si="33"/>
        <v>43.128293678549916</v>
      </c>
      <c r="Q66" s="20">
        <f t="shared" si="53"/>
        <v>371.4960677901409</v>
      </c>
      <c r="R66" s="59">
        <f t="shared" si="0"/>
        <v>664.82940112347421</v>
      </c>
      <c r="S66" s="59">
        <f ca="1">AVERAGE(OFFSET($R$3,0,0,'Données projet'!$E$9+1,1))-AVERAGE(OFFSET($H$3,0,0,'Données projet'!$E$9+1,1))</f>
        <v>593.28343396240075</v>
      </c>
      <c r="T66" s="59">
        <f t="shared" si="34"/>
        <v>289.66477662068695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28.92443093671352</v>
      </c>
      <c r="AB66" s="21">
        <f>EXP(-LN(2)/2)*AB65+(1-EXP(-LN(2)/2))/(LN(2)/2)*V66*Y66*VLOOKUP('Données projet'!$B$9,Paramètres!$A$1:$I$89,3,0)*0.475*44/12</f>
        <v>5.5365027928178456</v>
      </c>
      <c r="AC66" s="22">
        <f t="shared" si="3"/>
        <v>34.460933729531362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1.1368683772161603E-13</v>
      </c>
      <c r="AJ66" s="13">
        <f>AI66*VLOOKUP('Données projet'!$B$10,Paramètres!$A$1:$I$89,3,0)*VLOOKUP('Données projet'!$B$10,Paramètres!$A$1:$I$89,5,0)</f>
        <v>6.7984728957526396E-14</v>
      </c>
      <c r="AK66" s="13">
        <f t="shared" si="35"/>
        <v>1.0682447123141398E-12</v>
      </c>
      <c r="AL66" s="20">
        <f t="shared" si="4"/>
        <v>1.978932943548152E-12</v>
      </c>
      <c r="AM66" s="59">
        <f t="shared" si="5"/>
        <v>293.3333333333353</v>
      </c>
      <c r="AN66" s="59">
        <f ca="1">AVERAGE(OFFSET($AM$3,0,0,'Données projet'!$E$10+1,1))-AVERAGE(OFFSET($H$3,0,0,'Données projet'!$E$10+1,1))</f>
        <v>302.00825291248458</v>
      </c>
      <c r="AO66" s="59">
        <f t="shared" si="36"/>
        <v>307.35115839449355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130.85884348013698</v>
      </c>
      <c r="AV66" s="21">
        <f>EXP(-LN(2)/25)*AV65+(1-EXP(-LN(2)/25))/(LN(2)/25)*Calculateur!AQ66*Calculateur!AS66*VLOOKUP('Données projet'!$B$10,Paramètres!$A$1:$I$89,3,0)*0.475*44/12</f>
        <v>44.574366236171684</v>
      </c>
      <c r="AW66" s="21">
        <f>EXP(-LN(2)/2)*AW65+(1-EXP(-LN(2)/2))/(LN(2)/2)*AQ66*AT66*VLOOKUP('Données projet'!$B$10,Paramètres!$A$1:$I$89,3,0)*0.475*44/12</f>
        <v>21.199571415061307</v>
      </c>
      <c r="AX66" s="21">
        <f t="shared" si="6"/>
        <v>196.63278113137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11.896999999999997</v>
      </c>
      <c r="BD66" s="12">
        <f>IF('Données projet'!$A$88&gt;35,BD65+BC66-BL65,IF(A66&lt;'Données projet'!$A$88,$BA$205^A66,IF(A66='Données projet'!$A$88,'Données projet'!$B$88,BD65+BC66-BL65)))</f>
        <v>406.79099999999983</v>
      </c>
      <c r="BE66" s="13">
        <f>BD66*VLOOKUP('Données projet'!$B$11,Paramètres!$A$1:$I$89,3,0)*VLOOKUP('Données projet'!$B$11,Paramètres!$A$1:$I$89,5,0)</f>
        <v>243.26101799999989</v>
      </c>
      <c r="BF66" s="13">
        <f t="shared" si="37"/>
        <v>59.140602334121624</v>
      </c>
      <c r="BG66" s="20">
        <f t="shared" si="7"/>
        <v>526.68282208192829</v>
      </c>
      <c r="BH66" s="59">
        <f t="shared" si="8"/>
        <v>820.01615541526166</v>
      </c>
      <c r="BI66" s="59">
        <f ca="1">AVERAGE(OFFSET($BH$3,0,0,'Données projet'!$E$11+1,1))-AVERAGE(OFFSET($H$3,0,0,'Données projet'!$E$11+1,1))</f>
        <v>349.71285006949597</v>
      </c>
      <c r="BJ66" s="59">
        <f t="shared" si="38"/>
        <v>258.51550516456842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41.947992196087768</v>
      </c>
      <c r="BQ66" s="21">
        <f>EXP(-LN(2)/25)*BQ65+(1-EXP(-LN(2)/25))/(LN(2)/25)*Calculateur!BL66*Calculateur!BN66*VLOOKUP('Données projet'!$B$11,Paramètres!$A$1:$I$89,3,0)*0.475*44/12</f>
        <v>17.790602928788374</v>
      </c>
      <c r="BR66" s="21">
        <f>EXP(-LN(2)/2)*BR65+(1-EXP(-LN(2)/2))/(LN(2)/2)*BL66*BO66*VLOOKUP('Données projet'!$B$11,Paramètres!$A$1:$I$89,3,0)*0.475*44/12</f>
        <v>3.4539473067120103</v>
      </c>
      <c r="BS66" s="22">
        <f t="shared" si="9"/>
        <v>63.192542431588151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6.8933333333333326</v>
      </c>
      <c r="N67" s="13">
        <f>IF('Données projet'!$A$36&gt;35,N66+M67-V66,IF(A67&lt;'Données projet'!$A$36,$K$205^A67,IF(A67='Données projet'!$A$36,'Données projet'!$B$36,N66+M67-V66)))</f>
        <v>156.32333333333327</v>
      </c>
      <c r="O67" s="13">
        <f>N67*VLOOKUP('Données projet'!$B$9,Paramètres!$A$1:$I$89,3,0)*VLOOKUP('Données projet'!$B$9,Paramètres!$A$1:$I$89,5,0)</f>
        <v>178.02101199999993</v>
      </c>
      <c r="P67" s="13">
        <f t="shared" si="33"/>
        <v>44.881614909300232</v>
      </c>
      <c r="Q67" s="20">
        <f t="shared" ref="Q67:Q98" si="54">(O67+P67)*0.475*44/12</f>
        <v>388.22207520036437</v>
      </c>
      <c r="R67" s="59">
        <f t="shared" ref="R67:R130" si="55">Q67+(I67+J67)*44/12</f>
        <v>681.55540853369769</v>
      </c>
      <c r="S67" s="59">
        <f ca="1">AVERAGE(OFFSET($R$3,0,0,'Données projet'!$E$9+1,1))-AVERAGE(OFFSET($H$3,0,0,'Données projet'!$E$9+1,1))</f>
        <v>593.28343396240075</v>
      </c>
      <c r="T67" s="59">
        <f t="shared" si="34"/>
        <v>289.66477662068695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28.133490851679372</v>
      </c>
      <c r="AB67" s="21">
        <f>EXP(-LN(2)/2)*AB66+(1-EXP(-LN(2)/2))/(LN(2)/2)*V67*Y67*VLOOKUP('Données projet'!$B$9,Paramètres!$A$1:$I$89,3,0)*0.475*44/12</f>
        <v>3.9148986688597578</v>
      </c>
      <c r="AC67" s="22">
        <f t="shared" si="3"/>
        <v>32.048389520539132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1.1368683772161603E-13</v>
      </c>
      <c r="AJ67" s="13">
        <f>AI67*VLOOKUP('Données projet'!$B$10,Paramètres!$A$1:$I$89,3,0)*VLOOKUP('Données projet'!$B$10,Paramètres!$A$1:$I$89,5,0)</f>
        <v>6.7984728957526396E-14</v>
      </c>
      <c r="AK67" s="13">
        <f t="shared" si="35"/>
        <v>1.0682447123141398E-12</v>
      </c>
      <c r="AL67" s="20">
        <f t="shared" si="4"/>
        <v>1.978932943548152E-12</v>
      </c>
      <c r="AM67" s="59">
        <f t="shared" si="5"/>
        <v>293.3333333333353</v>
      </c>
      <c r="AN67" s="59">
        <f ca="1">AVERAGE(OFFSET($AM$3,0,0,'Données projet'!$E$10+1,1))-AVERAGE(OFFSET($H$3,0,0,'Données projet'!$E$10+1,1))</f>
        <v>302.00825291248458</v>
      </c>
      <c r="AO67" s="59">
        <f t="shared" si="36"/>
        <v>307.35115839449355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128.29278137550483</v>
      </c>
      <c r="AV67" s="21">
        <f>EXP(-LN(2)/25)*AV66+(1-EXP(-LN(2)/25))/(LN(2)/25)*Calculateur!AQ67*Calculateur!AS67*VLOOKUP('Données projet'!$B$10,Paramètres!$A$1:$I$89,3,0)*0.475*44/12</f>
        <v>43.355477847379525</v>
      </c>
      <c r="AW67" s="21">
        <f>EXP(-LN(2)/2)*AW66+(1-EXP(-LN(2)/2))/(LN(2)/2)*AQ67*AT67*VLOOKUP('Données projet'!$B$10,Paramètres!$A$1:$I$89,3,0)*0.475*44/12</f>
        <v>14.990360705838345</v>
      </c>
      <c r="AX67" s="21">
        <f t="shared" si="6"/>
        <v>186.6386199287227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11.896999999999997</v>
      </c>
      <c r="BD67" s="12">
        <f>IF('Données projet'!$A$88&gt;35,BD66+BC67-BL66,IF(A67&lt;'Données projet'!$A$88,$BA$205^A67,IF(A67='Données projet'!$A$88,'Données projet'!$B$88,BD66+BC67-BL66)))</f>
        <v>418.68799999999982</v>
      </c>
      <c r="BE67" s="13">
        <f>BD67*VLOOKUP('Données projet'!$B$11,Paramètres!$A$1:$I$89,3,0)*VLOOKUP('Données projet'!$B$11,Paramètres!$A$1:$I$89,5,0)</f>
        <v>250.37542399999992</v>
      </c>
      <c r="BF67" s="13">
        <f t="shared" si="37"/>
        <v>60.666325229387866</v>
      </c>
      <c r="BG67" s="20">
        <f t="shared" si="7"/>
        <v>541.73104657451711</v>
      </c>
      <c r="BH67" s="59">
        <f t="shared" si="8"/>
        <v>835.06437990785048</v>
      </c>
      <c r="BI67" s="59">
        <f ca="1">AVERAGE(OFFSET($BH$3,0,0,'Données projet'!$E$11+1,1))-AVERAGE(OFFSET($H$3,0,0,'Données projet'!$E$11+1,1))</f>
        <v>349.71285006949597</v>
      </c>
      <c r="BJ67" s="59">
        <f t="shared" si="38"/>
        <v>258.51550516456842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41.125417654871342</v>
      </c>
      <c r="BQ67" s="21">
        <f>EXP(-LN(2)/25)*BQ66+(1-EXP(-LN(2)/25))/(LN(2)/25)*Calculateur!BL67*Calculateur!BN67*VLOOKUP('Données projet'!$B$11,Paramètres!$A$1:$I$89,3,0)*0.475*44/12</f>
        <v>17.30411795613351</v>
      </c>
      <c r="BR67" s="21">
        <f>EXP(-LN(2)/2)*BR66+(1-EXP(-LN(2)/2))/(LN(2)/2)*BL67*BO67*VLOOKUP('Données projet'!$B$11,Paramètres!$A$1:$I$89,3,0)*0.475*44/12</f>
        <v>2.442309562437075</v>
      </c>
      <c r="BS67" s="22">
        <f t="shared" si="9"/>
        <v>60.871845173441926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6.8933333333333326</v>
      </c>
      <c r="N68" s="13">
        <f>IF('Données projet'!$A$36&gt;35,N67+M68-V67,IF(A68&lt;'Données projet'!$A$36,$K$205^A68,IF(A68='Données projet'!$A$36,'Données projet'!$B$36,N67+M68-V67)))</f>
        <v>163.21666666666661</v>
      </c>
      <c r="O68" s="13">
        <f>N68*VLOOKUP('Données projet'!$B$9,Paramètres!$A$1:$I$89,3,0)*VLOOKUP('Données projet'!$B$9,Paramètres!$A$1:$I$89,5,0)</f>
        <v>185.87113999999994</v>
      </c>
      <c r="P68" s="13">
        <f t="shared" si="33"/>
        <v>46.625956591742927</v>
      </c>
      <c r="Q68" s="20">
        <f t="shared" si="54"/>
        <v>404.93244323061884</v>
      </c>
      <c r="R68" s="59">
        <f t="shared" si="55"/>
        <v>698.26577656395216</v>
      </c>
      <c r="S68" s="59">
        <f ca="1">AVERAGE(OFFSET($R$3,0,0,'Données projet'!$E$9+1,1))-AVERAGE(OFFSET($H$3,0,0,'Données projet'!$E$9+1,1))</f>
        <v>593.28343396240075</v>
      </c>
      <c r="T68" s="59">
        <f t="shared" si="34"/>
        <v>289.66477662068695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27.364179064864217</v>
      </c>
      <c r="AB68" s="21">
        <f>EXP(-LN(2)/2)*AB67+(1-EXP(-LN(2)/2))/(LN(2)/2)*V68*Y68*VLOOKUP('Données projet'!$B$9,Paramètres!$A$1:$I$89,3,0)*0.475*44/12</f>
        <v>2.7682513964089233</v>
      </c>
      <c r="AC68" s="22">
        <f t="shared" ref="AC68:AC131" si="57">SUM(Z68:AB68)</f>
        <v>30.132430461273142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1.1368683772161603E-13</v>
      </c>
      <c r="AJ68" s="13">
        <f>AI68*VLOOKUP('Données projet'!$B$10,Paramètres!$A$1:$I$89,3,0)*VLOOKUP('Données projet'!$B$10,Paramètres!$A$1:$I$89,5,0)</f>
        <v>6.7984728957526396E-14</v>
      </c>
      <c r="AK68" s="13">
        <f t="shared" si="35"/>
        <v>1.0682447123141398E-12</v>
      </c>
      <c r="AL68" s="20">
        <f t="shared" ref="AL68:AL131" si="58">(AJ68+AK68)*0.475*44/12</f>
        <v>1.978932943548152E-12</v>
      </c>
      <c r="AM68" s="59">
        <f t="shared" ref="AM68:AM131" si="59">AL68+(AD68+AE68)*44/12</f>
        <v>293.3333333333353</v>
      </c>
      <c r="AN68" s="59">
        <f ca="1">AVERAGE(OFFSET($AM$3,0,0,'Données projet'!$E$10+1,1))-AVERAGE(OFFSET($H$3,0,0,'Données projet'!$E$10+1,1))</f>
        <v>302.00825291248458</v>
      </c>
      <c r="AO68" s="59">
        <f t="shared" si="36"/>
        <v>307.35115839449355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125.77703818360119</v>
      </c>
      <c r="AV68" s="21">
        <f>EXP(-LN(2)/25)*AV67+(1-EXP(-LN(2)/25))/(LN(2)/25)*Calculateur!AQ68*Calculateur!AS68*VLOOKUP('Données projet'!$B$10,Paramètres!$A$1:$I$89,3,0)*0.475*44/12</f>
        <v>42.169920025677442</v>
      </c>
      <c r="AW68" s="21">
        <f>EXP(-LN(2)/2)*AW67+(1-EXP(-LN(2)/2))/(LN(2)/2)*AQ68*AT68*VLOOKUP('Données projet'!$B$10,Paramètres!$A$1:$I$89,3,0)*0.475*44/12</f>
        <v>10.599785707530655</v>
      </c>
      <c r="AX68" s="21">
        <f t="shared" ref="AX68:AX131" si="60">SUM(AU68:AW68)</f>
        <v>178.54674391680931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11.896999999999997</v>
      </c>
      <c r="BD68" s="12">
        <f>IF('Données projet'!$A$88&gt;35,BD67+BC68-BL67,IF(A68&lt;'Données projet'!$A$88,$BA$205^A68,IF(A68='Données projet'!$A$88,'Données projet'!$B$88,BD67+BC68-BL67)))</f>
        <v>430.58499999999981</v>
      </c>
      <c r="BE68" s="13">
        <f>BD68*VLOOKUP('Données projet'!$B$11,Paramètres!$A$1:$I$89,3,0)*VLOOKUP('Données projet'!$B$11,Paramètres!$A$1:$I$89,5,0)</f>
        <v>257.48982999999993</v>
      </c>
      <c r="BF68" s="13">
        <f t="shared" si="37"/>
        <v>62.187009415011673</v>
      </c>
      <c r="BG68" s="20">
        <f t="shared" ref="BG68:BG131" si="61">(BE68+BF68)*0.475*44/12</f>
        <v>556.77049531447858</v>
      </c>
      <c r="BH68" s="59">
        <f t="shared" ref="BH68:BH131" si="62">BG68+(AY68+AZ68)*44/12</f>
        <v>850.10382864781195</v>
      </c>
      <c r="BI68" s="59">
        <f ca="1">AVERAGE(OFFSET($BH$3,0,0,'Données projet'!$E$11+1,1))-AVERAGE(OFFSET($H$3,0,0,'Données projet'!$E$11+1,1))</f>
        <v>349.71285006949597</v>
      </c>
      <c r="BJ68" s="59">
        <f t="shared" si="38"/>
        <v>258.51550516456842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40.31897329868724</v>
      </c>
      <c r="BQ68" s="21">
        <f>EXP(-LN(2)/25)*BQ67+(1-EXP(-LN(2)/25))/(LN(2)/25)*Calculateur!BL68*Calculateur!BN68*VLOOKUP('Données projet'!$B$11,Paramètres!$A$1:$I$89,3,0)*0.475*44/12</f>
        <v>16.830935940639026</v>
      </c>
      <c r="BR68" s="21">
        <f>EXP(-LN(2)/2)*BR67+(1-EXP(-LN(2)/2))/(LN(2)/2)*BL68*BO68*VLOOKUP('Données projet'!$B$11,Paramètres!$A$1:$I$89,3,0)*0.475*44/12</f>
        <v>1.7269736533560056</v>
      </c>
      <c r="BS68" s="22">
        <f t="shared" ref="BS68:BS131" si="63">SUM(BP68:BR68)</f>
        <v>58.876882892682268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6.8933333333333326</v>
      </c>
      <c r="N69" s="13">
        <f>IF('Données projet'!$A$36&gt;35,N68+M69-V68,IF(A69&lt;'Données projet'!$A$36,$K$205^A69,IF(A69='Données projet'!$A$36,'Données projet'!$B$36,N68+M69-V68)))</f>
        <v>170.10999999999996</v>
      </c>
      <c r="O69" s="13">
        <f>N69*VLOOKUP('Données projet'!$B$9,Paramètres!$A$1:$I$89,3,0)*VLOOKUP('Données projet'!$B$9,Paramètres!$A$1:$I$89,5,0)</f>
        <v>193.72126799999995</v>
      </c>
      <c r="P69" s="13">
        <f t="shared" ref="P69:P132" si="87">EXP(-1.0587+0.8836*LN(O69)+0.284)</f>
        <v>48.361741331727508</v>
      </c>
      <c r="Q69" s="20">
        <f t="shared" si="54"/>
        <v>421.6279079194253</v>
      </c>
      <c r="R69" s="59">
        <f t="shared" si="55"/>
        <v>714.96124125275855</v>
      </c>
      <c r="S69" s="59">
        <f ca="1">AVERAGE(OFFSET($R$3,0,0,'Données projet'!$E$9+1,1))-AVERAGE(OFFSET($H$3,0,0,'Données projet'!$E$9+1,1))</f>
        <v>593.28343396240075</v>
      </c>
      <c r="T69" s="59">
        <f t="shared" ref="T69:T132" si="88">$T$3</f>
        <v>289.66477662068695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26.61590414931587</v>
      </c>
      <c r="AB69" s="21">
        <f>EXP(-LN(2)/2)*AB68+(1-EXP(-LN(2)/2))/(LN(2)/2)*V69*Y69*VLOOKUP('Données projet'!$B$9,Paramètres!$A$1:$I$89,3,0)*0.475*44/12</f>
        <v>1.9574493344298793</v>
      </c>
      <c r="AC69" s="22">
        <f t="shared" si="57"/>
        <v>28.573353483745748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1.1368683772161603E-13</v>
      </c>
      <c r="AJ69" s="13">
        <f>AI69*VLOOKUP('Données projet'!$B$10,Paramètres!$A$1:$I$89,3,0)*VLOOKUP('Données projet'!$B$10,Paramètres!$A$1:$I$89,5,0)</f>
        <v>6.7984728957526396E-14</v>
      </c>
      <c r="AK69" s="13">
        <f t="shared" ref="AK69:AK132" si="89">EXP(-1.0587+0.8836*LN(AJ69)+0.284)</f>
        <v>1.0682447123141398E-12</v>
      </c>
      <c r="AL69" s="20">
        <f t="shared" si="58"/>
        <v>1.978932943548152E-12</v>
      </c>
      <c r="AM69" s="59">
        <f t="shared" si="59"/>
        <v>293.3333333333353</v>
      </c>
      <c r="AN69" s="59">
        <f ca="1">AVERAGE(OFFSET($AM$3,0,0,'Données projet'!$E$10+1,1))-AVERAGE(OFFSET($H$3,0,0,'Données projet'!$E$10+1,1))</f>
        <v>302.00825291248458</v>
      </c>
      <c r="AO69" s="59">
        <f t="shared" ref="AO69:AO132" si="90">$AO$3</f>
        <v>307.35115839449355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123.31062718123894</v>
      </c>
      <c r="AV69" s="21">
        <f>EXP(-LN(2)/25)*AV68+(1-EXP(-LN(2)/25))/(LN(2)/25)*Calculateur!AQ69*Calculateur!AS69*VLOOKUP('Données projet'!$B$10,Paramètres!$A$1:$I$89,3,0)*0.475*44/12</f>
        <v>41.016781344955575</v>
      </c>
      <c r="AW69" s="21">
        <f>EXP(-LN(2)/2)*AW68+(1-EXP(-LN(2)/2))/(LN(2)/2)*AQ69*AT69*VLOOKUP('Données projet'!$B$10,Paramètres!$A$1:$I$89,3,0)*0.475*44/12</f>
        <v>7.4951803529191734</v>
      </c>
      <c r="AX69" s="21">
        <f t="shared" si="60"/>
        <v>171.82258887911368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11.896999999999997</v>
      </c>
      <c r="BD69" s="12">
        <f>IF('Données projet'!$A$88&gt;35,BD68+BC69-BL68,IF(A69&lt;'Données projet'!$A$88,$BA$205^A69,IF(A69='Données projet'!$A$88,'Données projet'!$B$88,BD68+BC69-BL68)))</f>
        <v>442.4819999999998</v>
      </c>
      <c r="BE69" s="13">
        <f>BD69*VLOOKUP('Données projet'!$B$11,Paramètres!$A$1:$I$89,3,0)*VLOOKUP('Données projet'!$B$11,Paramètres!$A$1:$I$89,5,0)</f>
        <v>264.6042359999999</v>
      </c>
      <c r="BF69" s="13">
        <f t="shared" ref="BF69:BF132" si="91">EXP(-1.0587+0.8836*LN(BE69)+0.284)</f>
        <v>63.702810105204811</v>
      </c>
      <c r="BG69" s="20">
        <f t="shared" si="61"/>
        <v>571.80143863323156</v>
      </c>
      <c r="BH69" s="59">
        <f t="shared" si="62"/>
        <v>865.13477196656481</v>
      </c>
      <c r="BI69" s="59">
        <f ca="1">AVERAGE(OFFSET($BH$3,0,0,'Données projet'!$E$11+1,1))-AVERAGE(OFFSET($H$3,0,0,'Données projet'!$E$11+1,1))</f>
        <v>349.71285006949597</v>
      </c>
      <c r="BJ69" s="59">
        <f t="shared" ref="BJ69:BJ132" si="92">$BJ$3</f>
        <v>258.51550516456842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39.528342824445424</v>
      </c>
      <c r="BQ69" s="21">
        <f>EXP(-LN(2)/25)*BQ68+(1-EXP(-LN(2)/25))/(LN(2)/25)*Calculateur!BL69*Calculateur!BN69*VLOOKUP('Données projet'!$B$11,Paramètres!$A$1:$I$89,3,0)*0.475*44/12</f>
        <v>16.370693112241799</v>
      </c>
      <c r="BR69" s="21">
        <f>EXP(-LN(2)/2)*BR68+(1-EXP(-LN(2)/2))/(LN(2)/2)*BL69*BO69*VLOOKUP('Données projet'!$B$11,Paramètres!$A$1:$I$89,3,0)*0.475*44/12</f>
        <v>1.2211547812185377</v>
      </c>
      <c r="BS69" s="22">
        <f t="shared" si="63"/>
        <v>57.120190717905764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6.8933333333333326</v>
      </c>
      <c r="N70" s="13">
        <f>IF('Données projet'!$A$36&gt;35,N69+M70-V69,IF(A70&lt;'Données projet'!$A$36,$K$205^A70,IF(A70='Données projet'!$A$36,'Données projet'!$B$36,N69+M70-V69)))</f>
        <v>177.0033333333333</v>
      </c>
      <c r="O70" s="13">
        <f>N70*VLOOKUP('Données projet'!$B$9,Paramètres!$A$1:$I$89,3,0)*VLOOKUP('Données projet'!$B$9,Paramètres!$A$1:$I$89,5,0)</f>
        <v>201.57139599999996</v>
      </c>
      <c r="P70" s="13">
        <f t="shared" si="87"/>
        <v>50.089355546385931</v>
      </c>
      <c r="Q70" s="20">
        <f t="shared" si="54"/>
        <v>438.30914227662203</v>
      </c>
      <c r="R70" s="59">
        <f t="shared" si="55"/>
        <v>731.64247560995534</v>
      </c>
      <c r="S70" s="59">
        <f ca="1">AVERAGE(OFFSET($R$3,0,0,'Données projet'!$E$9+1,1))-AVERAGE(OFFSET($H$3,0,0,'Données projet'!$E$9+1,1))</f>
        <v>593.28343396240075</v>
      </c>
      <c r="T70" s="59">
        <f t="shared" si="88"/>
        <v>289.66477662068695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25.888090850683259</v>
      </c>
      <c r="AB70" s="21">
        <f>EXP(-LN(2)/2)*AB69+(1-EXP(-LN(2)/2))/(LN(2)/2)*V70*Y70*VLOOKUP('Données projet'!$B$9,Paramètres!$A$1:$I$89,3,0)*0.475*44/12</f>
        <v>1.3841256982044619</v>
      </c>
      <c r="AC70" s="22">
        <f t="shared" si="57"/>
        <v>27.27221654888772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1.1368683772161603E-13</v>
      </c>
      <c r="AJ70" s="13">
        <f>AI70*VLOOKUP('Données projet'!$B$10,Paramètres!$A$1:$I$89,3,0)*VLOOKUP('Données projet'!$B$10,Paramètres!$A$1:$I$89,5,0)</f>
        <v>6.7984728957526396E-14</v>
      </c>
      <c r="AK70" s="13">
        <f t="shared" si="89"/>
        <v>1.0682447123141398E-12</v>
      </c>
      <c r="AL70" s="20">
        <f t="shared" si="58"/>
        <v>1.978932943548152E-12</v>
      </c>
      <c r="AM70" s="59">
        <f t="shared" si="59"/>
        <v>293.3333333333353</v>
      </c>
      <c r="AN70" s="59">
        <f ca="1">AVERAGE(OFFSET($AM$3,0,0,'Données projet'!$E$10+1,1))-AVERAGE(OFFSET($H$3,0,0,'Données projet'!$E$10+1,1))</f>
        <v>302.00825291248458</v>
      </c>
      <c r="AO70" s="59">
        <f t="shared" si="90"/>
        <v>307.35115839449355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120.89258099427086</v>
      </c>
      <c r="AV70" s="21">
        <f>EXP(-LN(2)/25)*AV69+(1-EXP(-LN(2)/25))/(LN(2)/25)*Calculateur!AQ70*Calculateur!AS70*VLOOKUP('Données projet'!$B$10,Paramètres!$A$1:$I$89,3,0)*0.475*44/12</f>
        <v>39.895175302098977</v>
      </c>
      <c r="AW70" s="21">
        <f>EXP(-LN(2)/2)*AW69+(1-EXP(-LN(2)/2))/(LN(2)/2)*AQ70*AT70*VLOOKUP('Données projet'!$B$10,Paramètres!$A$1:$I$89,3,0)*0.475*44/12</f>
        <v>5.2998928537653285</v>
      </c>
      <c r="AX70" s="21">
        <f t="shared" si="60"/>
        <v>166.08764915013515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11.896999999999997</v>
      </c>
      <c r="BD70" s="12">
        <f>IF('Données projet'!$A$88&gt;35,BD69+BC70-BL69,IF(A70&lt;'Données projet'!$A$88,$BA$205^A70,IF(A70='Données projet'!$A$88,'Données projet'!$B$88,BD69+BC70-BL69)))</f>
        <v>454.37899999999979</v>
      </c>
      <c r="BE70" s="13">
        <f>BD70*VLOOKUP('Données projet'!$B$11,Paramètres!$A$1:$I$89,3,0)*VLOOKUP('Données projet'!$B$11,Paramètres!$A$1:$I$89,5,0)</f>
        <v>271.71864199999993</v>
      </c>
      <c r="BF70" s="13">
        <f t="shared" si="91"/>
        <v>65.213873692530555</v>
      </c>
      <c r="BG70" s="20">
        <f t="shared" si="61"/>
        <v>586.82413149782394</v>
      </c>
      <c r="BH70" s="59">
        <f t="shared" si="62"/>
        <v>880.15746483115731</v>
      </c>
      <c r="BI70" s="59">
        <f ca="1">AVERAGE(OFFSET($BH$3,0,0,'Données projet'!$E$11+1,1))-AVERAGE(OFFSET($H$3,0,0,'Données projet'!$E$11+1,1))</f>
        <v>349.71285006949597</v>
      </c>
      <c r="BJ70" s="59">
        <f t="shared" si="92"/>
        <v>258.51550516456842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38.753216131566518</v>
      </c>
      <c r="BQ70" s="21">
        <f>EXP(-LN(2)/25)*BQ69+(1-EXP(-LN(2)/25))/(LN(2)/25)*Calculateur!BL70*Calculateur!BN70*VLOOKUP('Données projet'!$B$11,Paramètres!$A$1:$I$89,3,0)*0.475*44/12</f>
        <v>15.923035648190211</v>
      </c>
      <c r="BR70" s="21">
        <f>EXP(-LN(2)/2)*BR69+(1-EXP(-LN(2)/2))/(LN(2)/2)*BL70*BO70*VLOOKUP('Données projet'!$B$11,Paramètres!$A$1:$I$89,3,0)*0.475*44/12</f>
        <v>0.86348682667800292</v>
      </c>
      <c r="BS70" s="22">
        <f t="shared" si="63"/>
        <v>55.539738606434732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6.8933333333333326</v>
      </c>
      <c r="N71" s="13">
        <f>IF('Données projet'!$A$36&gt;35,N70+M71-V70,IF(A71&lt;'Données projet'!$A$36,$K$205^A71,IF(A71='Données projet'!$A$36,'Données projet'!$B$36,N70+M71-V70)))</f>
        <v>183.89666666666665</v>
      </c>
      <c r="O71" s="13">
        <f>N71*VLOOKUP('Données projet'!$B$9,Paramètres!$A$1:$I$89,3,0)*VLOOKUP('Données projet'!$B$9,Paramètres!$A$1:$I$89,5,0)</f>
        <v>209.42152400000001</v>
      </c>
      <c r="P71" s="13">
        <f t="shared" si="87"/>
        <v>51.809153850888102</v>
      </c>
      <c r="Q71" s="20">
        <f t="shared" si="54"/>
        <v>454.97676392363013</v>
      </c>
      <c r="R71" s="59">
        <f t="shared" si="55"/>
        <v>748.31009725696345</v>
      </c>
      <c r="S71" s="59">
        <f ca="1">AVERAGE(OFFSET($R$3,0,0,'Données projet'!$E$9+1,1))-AVERAGE(OFFSET($H$3,0,0,'Données projet'!$E$9+1,1))</f>
        <v>593.28343396240075</v>
      </c>
      <c r="T71" s="59">
        <f t="shared" si="88"/>
        <v>289.66477662068695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25.180179644975794</v>
      </c>
      <c r="AB71" s="21">
        <f>EXP(-LN(2)/2)*AB70+(1-EXP(-LN(2)/2))/(LN(2)/2)*V71*Y71*VLOOKUP('Données projet'!$B$9,Paramètres!$A$1:$I$89,3,0)*0.475*44/12</f>
        <v>0.97872466721493978</v>
      </c>
      <c r="AC71" s="22">
        <f t="shared" si="57"/>
        <v>26.158904312190735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1.1368683772161603E-13</v>
      </c>
      <c r="AJ71" s="13">
        <f>AI71*VLOOKUP('Données projet'!$B$10,Paramètres!$A$1:$I$89,3,0)*VLOOKUP('Données projet'!$B$10,Paramètres!$A$1:$I$89,5,0)</f>
        <v>6.7984728957526396E-14</v>
      </c>
      <c r="AK71" s="13">
        <f t="shared" si="89"/>
        <v>1.0682447123141398E-12</v>
      </c>
      <c r="AL71" s="20">
        <f t="shared" si="58"/>
        <v>1.978932943548152E-12</v>
      </c>
      <c r="AM71" s="59">
        <f t="shared" si="59"/>
        <v>293.3333333333353</v>
      </c>
      <c r="AN71" s="59">
        <f ca="1">AVERAGE(OFFSET($AM$3,0,0,'Données projet'!$E$10+1,1))-AVERAGE(OFFSET($H$3,0,0,'Données projet'!$E$10+1,1))</f>
        <v>302.00825291248458</v>
      </c>
      <c r="AO71" s="59">
        <f t="shared" si="90"/>
        <v>307.35115839449355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118.52195121816666</v>
      </c>
      <c r="AV71" s="21">
        <f>EXP(-LN(2)/25)*AV70+(1-EXP(-LN(2)/25))/(LN(2)/25)*Calculateur!AQ71*Calculateur!AS71*VLOOKUP('Données projet'!$B$10,Paramètres!$A$1:$I$89,3,0)*0.475*44/12</f>
        <v>38.804239635466992</v>
      </c>
      <c r="AW71" s="21">
        <f>EXP(-LN(2)/2)*AW70+(1-EXP(-LN(2)/2))/(LN(2)/2)*AQ71*AT71*VLOOKUP('Données projet'!$B$10,Paramètres!$A$1:$I$89,3,0)*0.475*44/12</f>
        <v>3.7475901764595871</v>
      </c>
      <c r="AX71" s="21">
        <f t="shared" si="60"/>
        <v>161.07378103009324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11.896999999999997</v>
      </c>
      <c r="BD71" s="12">
        <f>IF('Données projet'!$A$88&gt;35,BD70+BC71-BL70,IF(A71&lt;'Données projet'!$A$88,$BA$205^A71,IF(A71='Données projet'!$A$88,'Données projet'!$B$88,BD70+BC71-BL70)))</f>
        <v>466.27599999999978</v>
      </c>
      <c r="BE71" s="13">
        <f>BD71*VLOOKUP('Données projet'!$B$11,Paramètres!$A$1:$I$89,3,0)*VLOOKUP('Données projet'!$B$11,Paramètres!$A$1:$I$89,5,0)</f>
        <v>278.83304799999985</v>
      </c>
      <c r="BF71" s="13">
        <f t="shared" si="91"/>
        <v>66.720338466956676</v>
      </c>
      <c r="BG71" s="20">
        <f t="shared" si="61"/>
        <v>601.83881476328258</v>
      </c>
      <c r="BH71" s="59">
        <f t="shared" si="62"/>
        <v>895.17214809661596</v>
      </c>
      <c r="BI71" s="59">
        <f ca="1">AVERAGE(OFFSET($BH$3,0,0,'Données projet'!$E$11+1,1))-AVERAGE(OFFSET($H$3,0,0,'Données projet'!$E$11+1,1))</f>
        <v>349.71285006949597</v>
      </c>
      <c r="BJ71" s="59">
        <f t="shared" si="92"/>
        <v>258.51550516456842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37.993289200354369</v>
      </c>
      <c r="BQ71" s="21">
        <f>EXP(-LN(2)/25)*BQ70+(1-EXP(-LN(2)/25))/(LN(2)/25)*Calculateur!BL71*Calculateur!BN71*VLOOKUP('Données projet'!$B$11,Paramètres!$A$1:$I$89,3,0)*0.475*44/12</f>
        <v>15.487619401034397</v>
      </c>
      <c r="BR71" s="21">
        <f>EXP(-LN(2)/2)*BR70+(1-EXP(-LN(2)/2))/(LN(2)/2)*BL71*BO71*VLOOKUP('Données projet'!$B$11,Paramètres!$A$1:$I$89,3,0)*0.475*44/12</f>
        <v>0.61057739060926897</v>
      </c>
      <c r="BS71" s="22">
        <f t="shared" si="63"/>
        <v>54.091485991998034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>
        <f>VLOOKUP(A72,'Données projet'!$A$35:$I$55,2,0)</f>
        <v>190.79</v>
      </c>
      <c r="L72" s="12">
        <f>VLOOKUP(A72,'Données projet'!$A$35:$I$55,9,0)</f>
        <v>6.8933333333333326</v>
      </c>
      <c r="M72" s="12">
        <f t="array" ref="M72">INDEX(L:L,MIN(IF(ISNUMBER(L72:L268),ROW(L72:L268),"")))</f>
        <v>6.8933333333333326</v>
      </c>
      <c r="N72" s="13">
        <f>IF('Données projet'!$A$36&gt;35,N71+M72-V71,IF(A72&lt;'Données projet'!$A$36,$K$205^A72,IF(A72='Données projet'!$A$36,'Données projet'!$B$36,N71+M72-V71)))</f>
        <v>190.79</v>
      </c>
      <c r="O72" s="13">
        <f>N72*VLOOKUP('Données projet'!$B$9,Paramètres!$A$1:$I$89,3,0)*VLOOKUP('Données projet'!$B$9,Paramètres!$A$1:$I$89,5,0)</f>
        <v>217.27165199999996</v>
      </c>
      <c r="P72" s="13">
        <f t="shared" si="87"/>
        <v>53.521462768957484</v>
      </c>
      <c r="Q72" s="20">
        <f t="shared" si="54"/>
        <v>471.63134155593411</v>
      </c>
      <c r="R72" s="59">
        <f t="shared" si="55"/>
        <v>764.96467488926737</v>
      </c>
      <c r="S72" s="59">
        <f ca="1">AVERAGE(OFFSET($R$3,0,0,'Données projet'!$E$9+1,1))-AVERAGE(OFFSET($H$3,0,0,'Données projet'!$E$9+1,1))</f>
        <v>593.28343396240075</v>
      </c>
      <c r="T72" s="59">
        <f t="shared" si="88"/>
        <v>289.66477662068695</v>
      </c>
      <c r="U72" s="15">
        <f>IF(ISNA(VLOOKUP(A72,'Données projet'!$A$35:$I$55,3,0)),0,VLOOKUP(A72,'Données projet'!$A$35:$I$55,3,0))</f>
        <v>2</v>
      </c>
      <c r="V72" s="15">
        <f>IF(ISNA(VLOOKUP(A72,'Données projet'!$A$35:$I$55,4,0)),0,VLOOKUP(A72,'Données projet'!$A$35:$I$55,4,0))</f>
        <v>42.22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0.34400000000000003</v>
      </c>
      <c r="Y72" s="16">
        <f>IF(ISNA(VLOOKUP(A72,'Données projet'!$A$35:$I$55,7,0)),0%,VLOOKUP(A72,'Données projet'!$A$35:$I$55,7,0))</f>
        <v>0.2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42.703636399077894</v>
      </c>
      <c r="AB72" s="21">
        <f>EXP(-LN(2)/2)*AB71+(1-EXP(-LN(2)/2))/(LN(2)/2)*V72*Y72*VLOOKUP('Données projet'!$B$9,Paramètres!$A$1:$I$89,3,0)*0.475*44/12</f>
        <v>9.7650433238797198</v>
      </c>
      <c r="AC72" s="22">
        <f t="shared" si="57"/>
        <v>52.468679722957617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1.1368683772161603E-13</v>
      </c>
      <c r="AJ72" s="13">
        <f>AI72*VLOOKUP('Données projet'!$B$10,Paramètres!$A$1:$I$89,3,0)*VLOOKUP('Données projet'!$B$10,Paramètres!$A$1:$I$89,5,0)</f>
        <v>6.7984728957526396E-14</v>
      </c>
      <c r="AK72" s="13">
        <f t="shared" si="89"/>
        <v>1.0682447123141398E-12</v>
      </c>
      <c r="AL72" s="20">
        <f t="shared" si="58"/>
        <v>1.978932943548152E-12</v>
      </c>
      <c r="AM72" s="59">
        <f t="shared" si="59"/>
        <v>293.3333333333353</v>
      </c>
      <c r="AN72" s="59">
        <f ca="1">AVERAGE(OFFSET($AM$3,0,0,'Données projet'!$E$10+1,1))-AVERAGE(OFFSET($H$3,0,0,'Données projet'!$E$10+1,1))</f>
        <v>302.00825291248458</v>
      </c>
      <c r="AO72" s="59">
        <f t="shared" si="90"/>
        <v>307.35115839449355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116.19780804603049</v>
      </c>
      <c r="AV72" s="21">
        <f>EXP(-LN(2)/25)*AV71+(1-EXP(-LN(2)/25))/(LN(2)/25)*Calculateur!AQ72*Calculateur!AS72*VLOOKUP('Données projet'!$B$10,Paramètres!$A$1:$I$89,3,0)*0.475*44/12</f>
        <v>37.743135662008875</v>
      </c>
      <c r="AW72" s="21">
        <f>EXP(-LN(2)/2)*AW71+(1-EXP(-LN(2)/2))/(LN(2)/2)*AQ72*AT72*VLOOKUP('Données projet'!$B$10,Paramètres!$A$1:$I$89,3,0)*0.475*44/12</f>
        <v>2.6499464268826647</v>
      </c>
      <c r="AX72" s="21">
        <f t="shared" si="60"/>
        <v>156.59089013492203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11.896999999999997</v>
      </c>
      <c r="BD72" s="12">
        <f>IF('Données projet'!$A$88&gt;35,BD71+BC72-BL71,IF(A72&lt;'Données projet'!$A$88,$BA$205^A72,IF(A72='Données projet'!$A$88,'Données projet'!$B$88,BD71+BC72-BL71)))</f>
        <v>478.17299999999977</v>
      </c>
      <c r="BE72" s="13">
        <f>BD72*VLOOKUP('Données projet'!$B$11,Paramètres!$A$1:$I$89,3,0)*VLOOKUP('Données projet'!$B$11,Paramètres!$A$1:$I$89,5,0)</f>
        <v>285.94745399999988</v>
      </c>
      <c r="BF72" s="13">
        <f t="shared" si="91"/>
        <v>68.222335259457765</v>
      </c>
      <c r="BG72" s="20">
        <f t="shared" si="61"/>
        <v>616.84571629355526</v>
      </c>
      <c r="BH72" s="59">
        <f t="shared" si="62"/>
        <v>910.17904962688863</v>
      </c>
      <c r="BI72" s="59">
        <f ca="1">AVERAGE(OFFSET($BH$3,0,0,'Données projet'!$E$11+1,1))-AVERAGE(OFFSET($H$3,0,0,'Données projet'!$E$11+1,1))</f>
        <v>349.71285006949597</v>
      </c>
      <c r="BJ72" s="59">
        <f t="shared" si="92"/>
        <v>258.51550516456842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37.248263972753627</v>
      </c>
      <c r="BQ72" s="21">
        <f>EXP(-LN(2)/25)*BQ71+(1-EXP(-LN(2)/25))/(LN(2)/25)*Calculateur!BL72*Calculateur!BN72*VLOOKUP('Données projet'!$B$11,Paramètres!$A$1:$I$89,3,0)*0.475*44/12</f>
        <v>15.064109634054605</v>
      </c>
      <c r="BR72" s="21">
        <f>EXP(-LN(2)/2)*BR71+(1-EXP(-LN(2)/2))/(LN(2)/2)*BL72*BO72*VLOOKUP('Données projet'!$B$11,Paramètres!$A$1:$I$89,3,0)*0.475*44/12</f>
        <v>0.43174341333900151</v>
      </c>
      <c r="BS72" s="22">
        <f t="shared" si="63"/>
        <v>52.744117020147229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6.7437500000000021</v>
      </c>
      <c r="N73" s="13">
        <f>IF('Données projet'!$A$36&gt;35,N72+M73-V72,IF(A73&lt;'Données projet'!$A$36,$K$205^A73,IF(A73='Données projet'!$A$36,'Données projet'!$B$36,N72+M73-V72)))</f>
        <v>155.31375</v>
      </c>
      <c r="O73" s="13">
        <f>N73*VLOOKUP('Données projet'!$B$9,Paramètres!$A$1:$I$89,3,0)*VLOOKUP('Données projet'!$B$9,Paramètres!$A$1:$I$89,5,0)</f>
        <v>176.87129849999999</v>
      </c>
      <c r="P73" s="13">
        <f t="shared" si="87"/>
        <v>44.625398966300217</v>
      </c>
      <c r="Q73" s="20">
        <f t="shared" si="54"/>
        <v>385.77341475380621</v>
      </c>
      <c r="R73" s="59">
        <f t="shared" si="55"/>
        <v>679.10674808713952</v>
      </c>
      <c r="S73" s="59">
        <f ca="1">AVERAGE(OFFSET($R$3,0,0,'Données projet'!$E$9+1,1))-AVERAGE(OFFSET($H$3,0,0,'Données projet'!$E$9+1,1))</f>
        <v>593.28343396240075</v>
      </c>
      <c r="T73" s="59">
        <f t="shared" si="88"/>
        <v>289.66477662068695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41.535903216058472</v>
      </c>
      <c r="AB73" s="21">
        <f>EXP(-LN(2)/2)*AB72+(1-EXP(-LN(2)/2))/(LN(2)/2)*V73*Y73*VLOOKUP('Données projet'!$B$9,Paramètres!$A$1:$I$89,3,0)*0.475*44/12</f>
        <v>6.9049283528957739</v>
      </c>
      <c r="AC73" s="22">
        <f t="shared" si="57"/>
        <v>48.440831568954245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1.1368683772161603E-13</v>
      </c>
      <c r="AJ73" s="13">
        <f>AI73*VLOOKUP('Données projet'!$B$10,Paramètres!$A$1:$I$89,3,0)*VLOOKUP('Données projet'!$B$10,Paramètres!$A$1:$I$89,5,0)</f>
        <v>6.7984728957526396E-14</v>
      </c>
      <c r="AK73" s="13">
        <f t="shared" si="89"/>
        <v>1.0682447123141398E-12</v>
      </c>
      <c r="AL73" s="20">
        <f t="shared" si="58"/>
        <v>1.978932943548152E-12</v>
      </c>
      <c r="AM73" s="59">
        <f t="shared" si="59"/>
        <v>293.3333333333353</v>
      </c>
      <c r="AN73" s="59">
        <f ca="1">AVERAGE(OFFSET($AM$3,0,0,'Données projet'!$E$10+1,1))-AVERAGE(OFFSET($H$3,0,0,'Données projet'!$E$10+1,1))</f>
        <v>302.00825291248458</v>
      </c>
      <c r="AO73" s="59">
        <f t="shared" si="90"/>
        <v>307.35115839449355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113.91923990391254</v>
      </c>
      <c r="AV73" s="21">
        <f>EXP(-LN(2)/25)*AV72+(1-EXP(-LN(2)/25))/(LN(2)/25)*Calculateur!AQ73*Calculateur!AS73*VLOOKUP('Données projet'!$B$10,Paramètres!$A$1:$I$89,3,0)*0.475*44/12</f>
        <v>36.711047632506002</v>
      </c>
      <c r="AW73" s="21">
        <f>EXP(-LN(2)/2)*AW72+(1-EXP(-LN(2)/2))/(LN(2)/2)*AQ73*AT73*VLOOKUP('Données projet'!$B$10,Paramètres!$A$1:$I$89,3,0)*0.475*44/12</f>
        <v>1.873795088229794</v>
      </c>
      <c r="AX73" s="21">
        <f t="shared" si="60"/>
        <v>152.50408262464833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490.07</v>
      </c>
      <c r="BB73" s="12">
        <f>VLOOKUP(A73,'Données projet'!$A$87:$I$107,9,0)</f>
        <v>11.896999999999997</v>
      </c>
      <c r="BC73" s="12">
        <f t="array" ref="BC73">INDEX(BB:BB,MIN(IF(ISNUMBER(BB73:BB269),ROW(BB73:BB269),"")))</f>
        <v>11.896999999999997</v>
      </c>
      <c r="BD73" s="12">
        <f>IF('Données projet'!$A$88&gt;35,BD72+BC73-BL72,IF(A73&lt;'Données projet'!$A$88,$BA$205^A73,IF(A73='Données projet'!$A$88,'Données projet'!$B$88,BD72+BC73-BL72)))</f>
        <v>490.06999999999977</v>
      </c>
      <c r="BE73" s="13">
        <f>BD73*VLOOKUP('Données projet'!$B$11,Paramètres!$A$1:$I$89,3,0)*VLOOKUP('Données projet'!$B$11,Paramètres!$A$1:$I$89,5,0)</f>
        <v>293.06185999999991</v>
      </c>
      <c r="BF73" s="13">
        <f t="shared" si="91"/>
        <v>69.719988019761743</v>
      </c>
      <c r="BG73" s="20">
        <f t="shared" si="61"/>
        <v>631.84505196775149</v>
      </c>
      <c r="BH73" s="59">
        <f t="shared" si="62"/>
        <v>925.17838530108475</v>
      </c>
      <c r="BI73" s="59">
        <f ca="1">AVERAGE(OFFSET($BH$3,0,0,'Données projet'!$E$11+1,1))-AVERAGE(OFFSET($H$3,0,0,'Données projet'!$E$11+1,1))</f>
        <v>349.71285006949597</v>
      </c>
      <c r="BJ73" s="59">
        <f t="shared" si="92"/>
        <v>258.51550516456842</v>
      </c>
      <c r="BK73" s="15">
        <f>IF(ISNA(VLOOKUP(A73,'Données projet'!$A$87:$I$107,3,0)),0,VLOOKUP(A73,'Données projet'!$A$87:$I$107,3,0))</f>
        <v>7</v>
      </c>
      <c r="BL73" s="15">
        <f>IF(ISNA(VLOOKUP(A73,'Données projet'!$A$87:$I$107,4,0)),0,VLOOKUP(A73,'Données projet'!$A$87:$I$107,4,0))</f>
        <v>67.88</v>
      </c>
      <c r="BM73" s="16">
        <f>IF(ISNA(VLOOKUP(A73,'Données projet'!$A$87:$I$107,5,0)),0%,VLOOKUP(A73,'Données projet'!$A$87:$I$107,5,0)*VLOOKUP('Données projet'!$B$11,Paramètres!$A$1:$I$89,7,0))</f>
        <v>0.27</v>
      </c>
      <c r="BN73" s="16">
        <f>IF(ISNA(VLOOKUP(A73,'Données projet'!$A$87:$I$107,6,0)),0%,VLOOKUP(A73,'Données projet'!$A$87:$I$107,6,0)*VLOOKUP('Données projet'!$B$11,Paramètres!$A$1:$I$89,7,0))</f>
        <v>9.0000000000000011E-2</v>
      </c>
      <c r="BO73" s="16">
        <f>IF(ISNA(VLOOKUP(A73,'Données projet'!$A$87:$I$107,7,0)),0%,VLOOKUP(A73,'Données projet'!$A$87:$I$107,7,0))</f>
        <v>0.2</v>
      </c>
      <c r="BP73" s="21">
        <f>EXP(-LN(2)/35)*BP72+(1-EXP(-LN(2)/35))/(LN(2)/35)*BL73*BM73*VLOOKUP('Données projet'!$B$11,Paramètres!$A$1:$I$89,3,0)*0.475*44/12</f>
        <v>51.056868378126822</v>
      </c>
      <c r="BQ73" s="21">
        <f>EXP(-LN(2)/25)*BQ72+(1-EXP(-LN(2)/25))/(LN(2)/25)*Calculateur!BL73*Calculateur!BN73*VLOOKUP('Données projet'!$B$11,Paramètres!$A$1:$I$89,3,0)*0.475*44/12</f>
        <v>19.479438924117112</v>
      </c>
      <c r="BR73" s="21">
        <f>EXP(-LN(2)/2)*BR72+(1-EXP(-LN(2)/2))/(LN(2)/2)*BL73*BO73*VLOOKUP('Données projet'!$B$11,Paramètres!$A$1:$I$89,3,0)*0.475*44/12</f>
        <v>9.4972577266937765</v>
      </c>
      <c r="BS73" s="22">
        <f t="shared" si="63"/>
        <v>80.033565028937701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6.7437500000000021</v>
      </c>
      <c r="N74" s="13">
        <f>IF('Données projet'!$A$36&gt;35,N73+M74-V73,IF(A74&lt;'Données projet'!$A$36,$K$205^A74,IF(A74='Données projet'!$A$36,'Données projet'!$B$36,N73+M74-V73)))</f>
        <v>162.0575</v>
      </c>
      <c r="O74" s="13">
        <f>N74*VLOOKUP('Données projet'!$B$9,Paramètres!$A$1:$I$89,3,0)*VLOOKUP('Données projet'!$B$9,Paramètres!$A$1:$I$89,5,0)</f>
        <v>184.55108100000001</v>
      </c>
      <c r="P74" s="13">
        <f t="shared" si="87"/>
        <v>46.333241717897458</v>
      </c>
      <c r="Q74" s="20">
        <f t="shared" si="54"/>
        <v>402.12352873367144</v>
      </c>
      <c r="R74" s="59">
        <f t="shared" si="55"/>
        <v>695.45686206700475</v>
      </c>
      <c r="S74" s="59">
        <f ca="1">AVERAGE(OFFSET($R$3,0,0,'Données projet'!$E$9+1,1))-AVERAGE(OFFSET($H$3,0,0,'Données projet'!$E$9+1,1))</f>
        <v>593.28343396240075</v>
      </c>
      <c r="T74" s="59">
        <f t="shared" si="88"/>
        <v>289.66477662068695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40.400101758337136</v>
      </c>
      <c r="AB74" s="21">
        <f>EXP(-LN(2)/2)*AB73+(1-EXP(-LN(2)/2))/(LN(2)/2)*V74*Y74*VLOOKUP('Données projet'!$B$9,Paramètres!$A$1:$I$89,3,0)*0.475*44/12</f>
        <v>4.8825216619398599</v>
      </c>
      <c r="AC74" s="22">
        <f t="shared" si="57"/>
        <v>45.282623420276998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1.1368683772161603E-13</v>
      </c>
      <c r="AJ74" s="13">
        <f>AI74*VLOOKUP('Données projet'!$B$10,Paramètres!$A$1:$I$89,3,0)*VLOOKUP('Données projet'!$B$10,Paramètres!$A$1:$I$89,5,0)</f>
        <v>6.7984728957526396E-14</v>
      </c>
      <c r="AK74" s="13">
        <f t="shared" si="89"/>
        <v>1.0682447123141398E-12</v>
      </c>
      <c r="AL74" s="20">
        <f t="shared" si="58"/>
        <v>1.978932943548152E-12</v>
      </c>
      <c r="AM74" s="59">
        <f t="shared" si="59"/>
        <v>293.3333333333353</v>
      </c>
      <c r="AN74" s="59">
        <f ca="1">AVERAGE(OFFSET($AM$3,0,0,'Données projet'!$E$10+1,1))-AVERAGE(OFFSET($H$3,0,0,'Données projet'!$E$10+1,1))</f>
        <v>302.00825291248458</v>
      </c>
      <c r="AO74" s="59">
        <f t="shared" si="90"/>
        <v>307.35115839449355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111.6853530932722</v>
      </c>
      <c r="AV74" s="21">
        <f>EXP(-LN(2)/25)*AV73+(1-EXP(-LN(2)/25))/(LN(2)/25)*Calculateur!AQ74*Calculateur!AS74*VLOOKUP('Données projet'!$B$10,Paramètres!$A$1:$I$89,3,0)*0.475*44/12</f>
        <v>35.707182104445032</v>
      </c>
      <c r="AW74" s="21">
        <f>EXP(-LN(2)/2)*AW73+(1-EXP(-LN(2)/2))/(LN(2)/2)*AQ74*AT74*VLOOKUP('Données projet'!$B$10,Paramètres!$A$1:$I$89,3,0)*0.475*44/12</f>
        <v>1.3249732134413326</v>
      </c>
      <c r="AX74" s="21">
        <f t="shared" si="60"/>
        <v>148.71750841115855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9.7839999999999971</v>
      </c>
      <c r="BD74" s="12">
        <f>IF('Données projet'!$A$88&gt;35,BD73+BC74-BL73,IF(A74&lt;'Données projet'!$A$88,$BA$205^A74,IF(A74='Données projet'!$A$88,'Données projet'!$B$88,BD73+BC74-BL73)))</f>
        <v>431.97399999999976</v>
      </c>
      <c r="BE74" s="13">
        <f>BD74*VLOOKUP('Données projet'!$B$11,Paramètres!$A$1:$I$89,3,0)*VLOOKUP('Données projet'!$B$11,Paramètres!$A$1:$I$89,5,0)</f>
        <v>258.32045199999988</v>
      </c>
      <c r="BF74" s="13">
        <f t="shared" si="91"/>
        <v>62.364231271731597</v>
      </c>
      <c r="BG74" s="20">
        <f t="shared" si="61"/>
        <v>558.52582336493231</v>
      </c>
      <c r="BH74" s="59">
        <f t="shared" si="62"/>
        <v>851.85915669826568</v>
      </c>
      <c r="BI74" s="59">
        <f ca="1">AVERAGE(OFFSET($BH$3,0,0,'Données projet'!$E$11+1,1))-AVERAGE(OFFSET($H$3,0,0,'Données projet'!$E$11+1,1))</f>
        <v>349.71285006949597</v>
      </c>
      <c r="BJ74" s="59">
        <f t="shared" si="92"/>
        <v>258.51550516456842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50.055674330846486</v>
      </c>
      <c r="BQ74" s="21">
        <f>EXP(-LN(2)/25)*BQ73+(1-EXP(-LN(2)/25))/(LN(2)/25)*Calculateur!BL74*Calculateur!BN74*VLOOKUP('Données projet'!$B$11,Paramètres!$A$1:$I$89,3,0)*0.475*44/12</f>
        <v>18.946772642357956</v>
      </c>
      <c r="BR74" s="21">
        <f>EXP(-LN(2)/2)*BR73+(1-EXP(-LN(2)/2))/(LN(2)/2)*BL74*BO74*VLOOKUP('Données projet'!$B$11,Paramètres!$A$1:$I$89,3,0)*0.475*44/12</f>
        <v>6.7155753412215047</v>
      </c>
      <c r="BS74" s="22">
        <f t="shared" si="63"/>
        <v>75.718022314425951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6.7437500000000021</v>
      </c>
      <c r="N75" s="13">
        <f>IF('Données projet'!$A$36&gt;35,N74+M75-V74,IF(A75&lt;'Données projet'!$A$36,$K$205^A75,IF(A75='Données projet'!$A$36,'Données projet'!$B$36,N74+M75-V74)))</f>
        <v>168.80125000000001</v>
      </c>
      <c r="O75" s="13">
        <f>N75*VLOOKUP('Données projet'!$B$9,Paramètres!$A$1:$I$89,3,0)*VLOOKUP('Données projet'!$B$9,Paramètres!$A$1:$I$89,5,0)</f>
        <v>192.2308635</v>
      </c>
      <c r="P75" s="13">
        <f t="shared" si="87"/>
        <v>48.032829524396625</v>
      </c>
      <c r="Q75" s="20">
        <f t="shared" si="54"/>
        <v>418.45926535082413</v>
      </c>
      <c r="R75" s="59">
        <f t="shared" si="55"/>
        <v>711.79259868415738</v>
      </c>
      <c r="S75" s="59">
        <f ca="1">AVERAGE(OFFSET($R$3,0,0,'Données projet'!$E$9+1,1))-AVERAGE(OFFSET($H$3,0,0,'Données projet'!$E$9+1,1))</f>
        <v>593.28343396240075</v>
      </c>
      <c r="T75" s="59">
        <f t="shared" si="88"/>
        <v>289.66477662068695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39.295358851206394</v>
      </c>
      <c r="AB75" s="21">
        <f>EXP(-LN(2)/2)*AB74+(1-EXP(-LN(2)/2))/(LN(2)/2)*V75*Y75*VLOOKUP('Données projet'!$B$9,Paramètres!$A$1:$I$89,3,0)*0.475*44/12</f>
        <v>3.4524641764478869</v>
      </c>
      <c r="AC75" s="22">
        <f t="shared" si="57"/>
        <v>42.747823027654285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1.1368683772161603E-13</v>
      </c>
      <c r="AJ75" s="13">
        <f>AI75*VLOOKUP('Données projet'!$B$10,Paramètres!$A$1:$I$89,3,0)*VLOOKUP('Données projet'!$B$10,Paramètres!$A$1:$I$89,5,0)</f>
        <v>6.7984728957526396E-14</v>
      </c>
      <c r="AK75" s="13">
        <f t="shared" si="89"/>
        <v>1.0682447123141398E-12</v>
      </c>
      <c r="AL75" s="20">
        <f t="shared" si="58"/>
        <v>1.978932943548152E-12</v>
      </c>
      <c r="AM75" s="59">
        <f t="shared" si="59"/>
        <v>293.3333333333353</v>
      </c>
      <c r="AN75" s="59">
        <f ca="1">AVERAGE(OFFSET($AM$3,0,0,'Données projet'!$E$10+1,1))-AVERAGE(OFFSET($H$3,0,0,'Données projet'!$E$10+1,1))</f>
        <v>302.00825291248458</v>
      </c>
      <c r="AO75" s="59">
        <f t="shared" si="90"/>
        <v>307.35115839449355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109.4952714404521</v>
      </c>
      <c r="AV75" s="21">
        <f>EXP(-LN(2)/25)*AV74+(1-EXP(-LN(2)/25))/(LN(2)/25)*Calculateur!AQ75*Calculateur!AS75*VLOOKUP('Données projet'!$B$10,Paramètres!$A$1:$I$89,3,0)*0.475*44/12</f>
        <v>34.730767332039882</v>
      </c>
      <c r="AW75" s="21">
        <f>EXP(-LN(2)/2)*AW74+(1-EXP(-LN(2)/2))/(LN(2)/2)*AQ75*AT75*VLOOKUP('Données projet'!$B$10,Paramètres!$A$1:$I$89,3,0)*0.475*44/12</f>
        <v>0.93689754411489712</v>
      </c>
      <c r="AX75" s="21">
        <f t="shared" si="60"/>
        <v>145.16293631660687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9.7839999999999971</v>
      </c>
      <c r="BD75" s="12">
        <f>IF('Données projet'!$A$88&gt;35,BD74+BC75-BL74,IF(A75&lt;'Données projet'!$A$88,$BA$205^A75,IF(A75='Données projet'!$A$88,'Données projet'!$B$88,BD74+BC75-BL74)))</f>
        <v>441.75799999999975</v>
      </c>
      <c r="BE75" s="13">
        <f>BD75*VLOOKUP('Données projet'!$B$11,Paramètres!$A$1:$I$89,3,0)*VLOOKUP('Données projet'!$B$11,Paramètres!$A$1:$I$89,5,0)</f>
        <v>264.1712839999999</v>
      </c>
      <c r="BF75" s="13">
        <f t="shared" si="91"/>
        <v>63.610701832955151</v>
      </c>
      <c r="BG75" s="20">
        <f t="shared" si="61"/>
        <v>570.88695865906334</v>
      </c>
      <c r="BH75" s="59">
        <f t="shared" si="62"/>
        <v>864.2202919923966</v>
      </c>
      <c r="BI75" s="59">
        <f ca="1">AVERAGE(OFFSET($BH$3,0,0,'Données projet'!$E$11+1,1))-AVERAGE(OFFSET($H$3,0,0,'Données projet'!$E$11+1,1))</f>
        <v>349.71285006949597</v>
      </c>
      <c r="BJ75" s="59">
        <f t="shared" si="92"/>
        <v>258.51550516456842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49.074113088165248</v>
      </c>
      <c r="BQ75" s="21">
        <f>EXP(-LN(2)/25)*BQ74+(1-EXP(-LN(2)/25))/(LN(2)/25)*Calculateur!BL75*Calculateur!BN75*VLOOKUP('Données projet'!$B$11,Paramètres!$A$1:$I$89,3,0)*0.475*44/12</f>
        <v>18.428672148085209</v>
      </c>
      <c r="BR75" s="21">
        <f>EXP(-LN(2)/2)*BR74+(1-EXP(-LN(2)/2))/(LN(2)/2)*BL75*BO75*VLOOKUP('Données projet'!$B$11,Paramètres!$A$1:$I$89,3,0)*0.475*44/12</f>
        <v>4.7486288633468892</v>
      </c>
      <c r="BS75" s="22">
        <f t="shared" si="63"/>
        <v>72.251414099597355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6.7437500000000021</v>
      </c>
      <c r="N76" s="13">
        <f>IF('Données projet'!$A$36&gt;35,N75+M76-V75,IF(A76&lt;'Données projet'!$A$36,$K$205^A76,IF(A76='Données projet'!$A$36,'Données projet'!$B$36,N75+M76-V75)))</f>
        <v>175.54500000000002</v>
      </c>
      <c r="O76" s="13">
        <f>N76*VLOOKUP('Données projet'!$B$9,Paramètres!$A$1:$I$89,3,0)*VLOOKUP('Données projet'!$B$9,Paramètres!$A$1:$I$89,5,0)</f>
        <v>199.91064600000001</v>
      </c>
      <c r="P76" s="13">
        <f t="shared" si="87"/>
        <v>49.724529909965376</v>
      </c>
      <c r="Q76" s="20">
        <f t="shared" si="54"/>
        <v>434.78126470985643</v>
      </c>
      <c r="R76" s="59">
        <f t="shared" si="55"/>
        <v>728.11459804318974</v>
      </c>
      <c r="S76" s="59">
        <f ca="1">AVERAGE(OFFSET($R$3,0,0,'Données projet'!$E$9+1,1))-AVERAGE(OFFSET($H$3,0,0,'Données projet'!$E$9+1,1))</f>
        <v>593.28343396240075</v>
      </c>
      <c r="T76" s="59">
        <f t="shared" si="88"/>
        <v>289.66477662068695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38.220825196967041</v>
      </c>
      <c r="AB76" s="21">
        <f>EXP(-LN(2)/2)*AB75+(1-EXP(-LN(2)/2))/(LN(2)/2)*V76*Y76*VLOOKUP('Données projet'!$B$9,Paramètres!$A$1:$I$89,3,0)*0.475*44/12</f>
        <v>2.44126083096993</v>
      </c>
      <c r="AC76" s="22">
        <f t="shared" si="57"/>
        <v>40.662086027936972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1.1368683772161603E-13</v>
      </c>
      <c r="AJ76" s="13">
        <f>AI76*VLOOKUP('Données projet'!$B$10,Paramètres!$A$1:$I$89,3,0)*VLOOKUP('Données projet'!$B$10,Paramètres!$A$1:$I$89,5,0)</f>
        <v>6.7984728957526396E-14</v>
      </c>
      <c r="AK76" s="13">
        <f t="shared" si="89"/>
        <v>1.0682447123141398E-12</v>
      </c>
      <c r="AL76" s="20">
        <f t="shared" si="58"/>
        <v>1.978932943548152E-12</v>
      </c>
      <c r="AM76" s="59">
        <f t="shared" si="59"/>
        <v>293.3333333333353</v>
      </c>
      <c r="AN76" s="59">
        <f ca="1">AVERAGE(OFFSET($AM$3,0,0,'Données projet'!$E$10+1,1))-AVERAGE(OFFSET($H$3,0,0,'Données projet'!$E$10+1,1))</f>
        <v>302.00825291248458</v>
      </c>
      <c r="AO76" s="59">
        <f t="shared" si="90"/>
        <v>307.35115839449355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107.34813595302589</v>
      </c>
      <c r="AV76" s="21">
        <f>EXP(-LN(2)/25)*AV75+(1-EXP(-LN(2)/25))/(LN(2)/25)*Calculateur!AQ76*Calculateur!AS76*VLOOKUP('Données projet'!$B$10,Paramètres!$A$1:$I$89,3,0)*0.475*44/12</f>
        <v>33.781052672933576</v>
      </c>
      <c r="AW76" s="21">
        <f>EXP(-LN(2)/2)*AW75+(1-EXP(-LN(2)/2))/(LN(2)/2)*AQ76*AT76*VLOOKUP('Données projet'!$B$10,Paramètres!$A$1:$I$89,3,0)*0.475*44/12</f>
        <v>0.66248660672066639</v>
      </c>
      <c r="AX76" s="21">
        <f t="shared" si="60"/>
        <v>141.79167523268015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9.7839999999999971</v>
      </c>
      <c r="BD76" s="12">
        <f>IF('Données projet'!$A$88&gt;35,BD75+BC76-BL75,IF(A76&lt;'Données projet'!$A$88,$BA$205^A76,IF(A76='Données projet'!$A$88,'Données projet'!$B$88,BD75+BC76-BL75)))</f>
        <v>451.54199999999975</v>
      </c>
      <c r="BE76" s="13">
        <f>BD76*VLOOKUP('Données projet'!$B$11,Paramètres!$A$1:$I$89,3,0)*VLOOKUP('Données projet'!$B$11,Paramètres!$A$1:$I$89,5,0)</f>
        <v>270.02211599999987</v>
      </c>
      <c r="BF76" s="13">
        <f t="shared" si="91"/>
        <v>64.853962838834434</v>
      </c>
      <c r="BG76" s="20">
        <f t="shared" si="61"/>
        <v>583.24250397763637</v>
      </c>
      <c r="BH76" s="59">
        <f t="shared" si="62"/>
        <v>876.57583731096975</v>
      </c>
      <c r="BI76" s="59">
        <f ca="1">AVERAGE(OFFSET($BH$3,0,0,'Données projet'!$E$11+1,1))-AVERAGE(OFFSET($H$3,0,0,'Données projet'!$E$11+1,1))</f>
        <v>349.71285006949597</v>
      </c>
      <c r="BJ76" s="59">
        <f t="shared" si="92"/>
        <v>258.51550516456842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48.111799662759744</v>
      </c>
      <c r="BQ76" s="21">
        <f>EXP(-LN(2)/25)*BQ75+(1-EXP(-LN(2)/25))/(LN(2)/25)*Calculateur!BL76*Calculateur!BN76*VLOOKUP('Données projet'!$B$11,Paramètres!$A$1:$I$89,3,0)*0.475*44/12</f>
        <v>17.92473913907407</v>
      </c>
      <c r="BR76" s="21">
        <f>EXP(-LN(2)/2)*BR75+(1-EXP(-LN(2)/2))/(LN(2)/2)*BL76*BO76*VLOOKUP('Données projet'!$B$11,Paramètres!$A$1:$I$89,3,0)*0.475*44/12</f>
        <v>3.3577876706107528</v>
      </c>
      <c r="BS76" s="22">
        <f t="shared" si="63"/>
        <v>69.394326472444561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6.7437500000000021</v>
      </c>
      <c r="N77" s="13">
        <f>IF('Données projet'!$A$36&gt;35,N76+M77-V76,IF(A77&lt;'Données projet'!$A$36,$K$205^A77,IF(A77='Données projet'!$A$36,'Données projet'!$B$36,N76+M77-V76)))</f>
        <v>182.28875000000002</v>
      </c>
      <c r="O77" s="13">
        <f>N77*VLOOKUP('Données projet'!$B$9,Paramètres!$A$1:$I$89,3,0)*VLOOKUP('Données projet'!$B$9,Paramètres!$A$1:$I$89,5,0)</f>
        <v>207.59042850000003</v>
      </c>
      <c r="P77" s="13">
        <f t="shared" si="87"/>
        <v>51.408680561939029</v>
      </c>
      <c r="Q77" s="20">
        <f t="shared" si="54"/>
        <v>451.09011494954387</v>
      </c>
      <c r="R77" s="59">
        <f t="shared" si="55"/>
        <v>744.42344828287719</v>
      </c>
      <c r="S77" s="59">
        <f ca="1">AVERAGE(OFFSET($R$3,0,0,'Données projet'!$E$9+1,1))-AVERAGE(OFFSET($H$3,0,0,'Données projet'!$E$9+1,1))</f>
        <v>593.28343396240075</v>
      </c>
      <c r="T77" s="59">
        <f t="shared" si="88"/>
        <v>289.66477662068695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37.175674722010136</v>
      </c>
      <c r="AB77" s="21">
        <f>EXP(-LN(2)/2)*AB76+(1-EXP(-LN(2)/2))/(LN(2)/2)*V77*Y77*VLOOKUP('Données projet'!$B$9,Paramètres!$A$1:$I$89,3,0)*0.475*44/12</f>
        <v>1.7262320882239435</v>
      </c>
      <c r="AC77" s="22">
        <f t="shared" si="57"/>
        <v>38.901906810234081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1.1368683772161603E-13</v>
      </c>
      <c r="AJ77" s="13">
        <f>AI77*VLOOKUP('Données projet'!$B$10,Paramètres!$A$1:$I$89,3,0)*VLOOKUP('Données projet'!$B$10,Paramètres!$A$1:$I$89,5,0)</f>
        <v>6.7984728957526396E-14</v>
      </c>
      <c r="AK77" s="13">
        <f t="shared" si="89"/>
        <v>1.0682447123141398E-12</v>
      </c>
      <c r="AL77" s="20">
        <f t="shared" si="58"/>
        <v>1.978932943548152E-12</v>
      </c>
      <c r="AM77" s="59">
        <f t="shared" si="59"/>
        <v>293.3333333333353</v>
      </c>
      <c r="AN77" s="59">
        <f ca="1">AVERAGE(OFFSET($AM$3,0,0,'Données projet'!$E$10+1,1))-AVERAGE(OFFSET($H$3,0,0,'Données projet'!$E$10+1,1))</f>
        <v>302.00825291248458</v>
      </c>
      <c r="AO77" s="59">
        <f t="shared" si="90"/>
        <v>307.35115839449355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105.24310448288477</v>
      </c>
      <c r="AV77" s="21">
        <f>EXP(-LN(2)/25)*AV76+(1-EXP(-LN(2)/25))/(LN(2)/25)*Calculateur!AQ77*Calculateur!AS77*VLOOKUP('Données projet'!$B$10,Paramètres!$A$1:$I$89,3,0)*0.475*44/12</f>
        <v>32.857308011123855</v>
      </c>
      <c r="AW77" s="21">
        <f>EXP(-LN(2)/2)*AW76+(1-EXP(-LN(2)/2))/(LN(2)/2)*AQ77*AT77*VLOOKUP('Données projet'!$B$10,Paramètres!$A$1:$I$89,3,0)*0.475*44/12</f>
        <v>0.46844877205744867</v>
      </c>
      <c r="AX77" s="21">
        <f t="shared" si="60"/>
        <v>138.56886126606608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9.7839999999999971</v>
      </c>
      <c r="BD77" s="12">
        <f>IF('Données projet'!$A$88&gt;35,BD76+BC77-BL76,IF(A77&lt;'Données projet'!$A$88,$BA$205^A77,IF(A77='Données projet'!$A$88,'Données projet'!$B$88,BD76+BC77-BL76)))</f>
        <v>461.32599999999974</v>
      </c>
      <c r="BE77" s="13">
        <f>BD77*VLOOKUP('Données projet'!$B$11,Paramètres!$A$1:$I$89,3,0)*VLOOKUP('Données projet'!$B$11,Paramètres!$A$1:$I$89,5,0)</f>
        <v>275.87294799999984</v>
      </c>
      <c r="BF77" s="13">
        <f t="shared" si="91"/>
        <v>66.094091843346078</v>
      </c>
      <c r="BG77" s="20">
        <f t="shared" si="61"/>
        <v>595.59259439382743</v>
      </c>
      <c r="BH77" s="59">
        <f t="shared" si="62"/>
        <v>888.9259277271608</v>
      </c>
      <c r="BI77" s="59">
        <f ca="1">AVERAGE(OFFSET($BH$3,0,0,'Données projet'!$E$11+1,1))-AVERAGE(OFFSET($H$3,0,0,'Données projet'!$E$11+1,1))</f>
        <v>349.71285006949597</v>
      </c>
      <c r="BJ77" s="59">
        <f t="shared" si="92"/>
        <v>258.51550516456842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47.168356616673215</v>
      </c>
      <c r="BQ77" s="21">
        <f>EXP(-LN(2)/25)*BQ76+(1-EXP(-LN(2)/25))/(LN(2)/25)*Calculateur!BL77*Calculateur!BN77*VLOOKUP('Données projet'!$B$11,Paramètres!$A$1:$I$89,3,0)*0.475*44/12</f>
        <v>17.434586204695027</v>
      </c>
      <c r="BR77" s="21">
        <f>EXP(-LN(2)/2)*BR76+(1-EXP(-LN(2)/2))/(LN(2)/2)*BL77*BO77*VLOOKUP('Données projet'!$B$11,Paramètres!$A$1:$I$89,3,0)*0.475*44/12</f>
        <v>2.374314431673445</v>
      </c>
      <c r="BS77" s="22">
        <f t="shared" si="63"/>
        <v>66.977257253041685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6.7437500000000021</v>
      </c>
      <c r="N78" s="13">
        <f>IF('Données projet'!$A$36&gt;35,N77+M78-V77,IF(A78&lt;'Données projet'!$A$36,$K$205^A78,IF(A78='Données projet'!$A$36,'Données projet'!$B$36,N77+M78-V77)))</f>
        <v>189.03250000000003</v>
      </c>
      <c r="O78" s="13">
        <f>N78*VLOOKUP('Données projet'!$B$9,Paramètres!$A$1:$I$89,3,0)*VLOOKUP('Données projet'!$B$9,Paramètres!$A$1:$I$89,5,0)</f>
        <v>215.27021100000002</v>
      </c>
      <c r="P78" s="13">
        <f t="shared" si="87"/>
        <v>53.085592766561511</v>
      </c>
      <c r="Q78" s="20">
        <f t="shared" si="54"/>
        <v>467.38635822676127</v>
      </c>
      <c r="R78" s="59">
        <f t="shared" si="55"/>
        <v>760.71969156009459</v>
      </c>
      <c r="S78" s="59">
        <f ca="1">AVERAGE(OFFSET($R$3,0,0,'Données projet'!$E$9+1,1))-AVERAGE(OFFSET($H$3,0,0,'Données projet'!$E$9+1,1))</f>
        <v>593.28343396240075</v>
      </c>
      <c r="T78" s="59">
        <f t="shared" si="88"/>
        <v>289.66477662068695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36.159103941753003</v>
      </c>
      <c r="AB78" s="21">
        <f>EXP(-LN(2)/2)*AB77+(1-EXP(-LN(2)/2))/(LN(2)/2)*V78*Y78*VLOOKUP('Données projet'!$B$9,Paramètres!$A$1:$I$89,3,0)*0.475*44/12</f>
        <v>1.220630415484965</v>
      </c>
      <c r="AC78" s="22">
        <f t="shared" si="57"/>
        <v>37.379734357237965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1.1368683772161603E-13</v>
      </c>
      <c r="AJ78" s="13">
        <f>AI78*VLOOKUP('Données projet'!$B$10,Paramètres!$A$1:$I$89,3,0)*VLOOKUP('Données projet'!$B$10,Paramètres!$A$1:$I$89,5,0)</f>
        <v>6.7984728957526396E-14</v>
      </c>
      <c r="AK78" s="13">
        <f t="shared" si="89"/>
        <v>1.0682447123141398E-12</v>
      </c>
      <c r="AL78" s="20">
        <f t="shared" si="58"/>
        <v>1.978932943548152E-12</v>
      </c>
      <c r="AM78" s="59">
        <f t="shared" si="59"/>
        <v>293.3333333333353</v>
      </c>
      <c r="AN78" s="59">
        <f ca="1">AVERAGE(OFFSET($AM$3,0,0,'Données projet'!$E$10+1,1))-AVERAGE(OFFSET($H$3,0,0,'Données projet'!$E$10+1,1))</f>
        <v>302.00825291248458</v>
      </c>
      <c r="AO78" s="59">
        <f t="shared" si="90"/>
        <v>307.35115839449355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103.17935139593071</v>
      </c>
      <c r="AV78" s="21">
        <f>EXP(-LN(2)/25)*AV77+(1-EXP(-LN(2)/25))/(LN(2)/25)*Calculateur!AQ78*Calculateur!AS78*VLOOKUP('Données projet'!$B$10,Paramètres!$A$1:$I$89,3,0)*0.475*44/12</f>
        <v>31.958823195668941</v>
      </c>
      <c r="AW78" s="21">
        <f>EXP(-LN(2)/2)*AW77+(1-EXP(-LN(2)/2))/(LN(2)/2)*AQ78*AT78*VLOOKUP('Données projet'!$B$10,Paramètres!$A$1:$I$89,3,0)*0.475*44/12</f>
        <v>0.33124330336033325</v>
      </c>
      <c r="AX78" s="21">
        <f t="shared" si="60"/>
        <v>135.46941789495997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9.7839999999999971</v>
      </c>
      <c r="BD78" s="12">
        <f>IF('Données projet'!$A$88&gt;35,BD77+BC78-BL77,IF(A78&lt;'Données projet'!$A$88,$BA$205^A78,IF(A78='Données projet'!$A$88,'Données projet'!$B$88,BD77+BC78-BL77)))</f>
        <v>471.10999999999973</v>
      </c>
      <c r="BE78" s="13">
        <f>BD78*VLOOKUP('Données projet'!$B$11,Paramètres!$A$1:$I$89,3,0)*VLOOKUP('Données projet'!$B$11,Paramètres!$A$1:$I$89,5,0)</f>
        <v>281.72377999999986</v>
      </c>
      <c r="BF78" s="13">
        <f t="shared" si="91"/>
        <v>67.331162922926637</v>
      </c>
      <c r="BG78" s="20">
        <f t="shared" si="61"/>
        <v>607.93735892409688</v>
      </c>
      <c r="BH78" s="59">
        <f t="shared" si="62"/>
        <v>901.27069225743026</v>
      </c>
      <c r="BI78" s="59">
        <f ca="1">AVERAGE(OFFSET($BH$3,0,0,'Données projet'!$E$11+1,1))-AVERAGE(OFFSET($H$3,0,0,'Données projet'!$E$11+1,1))</f>
        <v>349.71285006949597</v>
      </c>
      <c r="BJ78" s="59">
        <f t="shared" si="92"/>
        <v>258.51550516456842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46.243413913277003</v>
      </c>
      <c r="BQ78" s="21">
        <f>EXP(-LN(2)/25)*BQ77+(1-EXP(-LN(2)/25))/(LN(2)/25)*Calculateur!BL78*Calculateur!BN78*VLOOKUP('Données projet'!$B$11,Paramètres!$A$1:$I$89,3,0)*0.475*44/12</f>
        <v>16.957836528082598</v>
      </c>
      <c r="BR78" s="21">
        <f>EXP(-LN(2)/2)*BR77+(1-EXP(-LN(2)/2))/(LN(2)/2)*BL78*BO78*VLOOKUP('Données projet'!$B$11,Paramètres!$A$1:$I$89,3,0)*0.475*44/12</f>
        <v>1.6788938353053768</v>
      </c>
      <c r="BS78" s="22">
        <f t="shared" si="63"/>
        <v>64.880144276664979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6.7437500000000021</v>
      </c>
      <c r="N79" s="13">
        <f>IF('Données projet'!$A$36&gt;35,N78+M79-V78,IF(A79&lt;'Données projet'!$A$36,$K$205^A79,IF(A79='Données projet'!$A$36,'Données projet'!$B$36,N78+M79-V78)))</f>
        <v>195.77625000000003</v>
      </c>
      <c r="O79" s="13">
        <f>N79*VLOOKUP('Données projet'!$B$9,Paramètres!$A$1:$I$89,3,0)*VLOOKUP('Données projet'!$B$9,Paramètres!$A$1:$I$89,5,0)</f>
        <v>222.94999350000006</v>
      </c>
      <c r="P79" s="13">
        <f t="shared" si="87"/>
        <v>54.755554340667125</v>
      </c>
      <c r="Q79" s="20">
        <f t="shared" si="54"/>
        <v>483.67049582249541</v>
      </c>
      <c r="R79" s="59">
        <f t="shared" si="55"/>
        <v>777.00382915582873</v>
      </c>
      <c r="S79" s="59">
        <f ca="1">AVERAGE(OFFSET($R$3,0,0,'Données projet'!$E$9+1,1))-AVERAGE(OFFSET($H$3,0,0,'Données projet'!$E$9+1,1))</f>
        <v>593.28343396240075</v>
      </c>
      <c r="T79" s="59">
        <f t="shared" si="88"/>
        <v>289.66477662068695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35.170331342941132</v>
      </c>
      <c r="AB79" s="21">
        <f>EXP(-LN(2)/2)*AB78+(1-EXP(-LN(2)/2))/(LN(2)/2)*V79*Y79*VLOOKUP('Données projet'!$B$9,Paramètres!$A$1:$I$89,3,0)*0.475*44/12</f>
        <v>0.86311604411197174</v>
      </c>
      <c r="AC79" s="22">
        <f t="shared" si="57"/>
        <v>36.033447387053101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1.1368683772161603E-13</v>
      </c>
      <c r="AJ79" s="13">
        <f>AI79*VLOOKUP('Données projet'!$B$10,Paramètres!$A$1:$I$89,3,0)*VLOOKUP('Données projet'!$B$10,Paramètres!$A$1:$I$89,5,0)</f>
        <v>6.7984728957526396E-14</v>
      </c>
      <c r="AK79" s="13">
        <f t="shared" si="89"/>
        <v>1.0682447123141398E-12</v>
      </c>
      <c r="AL79" s="20">
        <f t="shared" si="58"/>
        <v>1.978932943548152E-12</v>
      </c>
      <c r="AM79" s="59">
        <f t="shared" si="59"/>
        <v>293.3333333333353</v>
      </c>
      <c r="AN79" s="59">
        <f ca="1">AVERAGE(OFFSET($AM$3,0,0,'Données projet'!$E$10+1,1))-AVERAGE(OFFSET($H$3,0,0,'Données projet'!$E$10+1,1))</f>
        <v>302.00825291248458</v>
      </c>
      <c r="AO79" s="59">
        <f t="shared" si="90"/>
        <v>307.35115839449355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101.15606724824673</v>
      </c>
      <c r="AV79" s="21">
        <f>EXP(-LN(2)/25)*AV78+(1-EXP(-LN(2)/25))/(LN(2)/25)*Calculateur!AQ79*Calculateur!AS79*VLOOKUP('Données projet'!$B$10,Paramètres!$A$1:$I$89,3,0)*0.475*44/12</f>
        <v>31.084907494741906</v>
      </c>
      <c r="AW79" s="21">
        <f>EXP(-LN(2)/2)*AW78+(1-EXP(-LN(2)/2))/(LN(2)/2)*AQ79*AT79*VLOOKUP('Données projet'!$B$10,Paramètres!$A$1:$I$89,3,0)*0.475*44/12</f>
        <v>0.23422438602872436</v>
      </c>
      <c r="AX79" s="21">
        <f t="shared" si="60"/>
        <v>132.47519912901737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9.7839999999999971</v>
      </c>
      <c r="BD79" s="12">
        <f>IF('Données projet'!$A$88&gt;35,BD78+BC79-BL78,IF(A79&lt;'Données projet'!$A$88,$BA$205^A79,IF(A79='Données projet'!$A$88,'Données projet'!$B$88,BD78+BC79-BL78)))</f>
        <v>480.89399999999972</v>
      </c>
      <c r="BE79" s="13">
        <f>BD79*VLOOKUP('Données projet'!$B$11,Paramètres!$A$1:$I$89,3,0)*VLOOKUP('Données projet'!$B$11,Paramètres!$A$1:$I$89,5,0)</f>
        <v>287.57461199999989</v>
      </c>
      <c r="BF79" s="13">
        <f t="shared" si="91"/>
        <v>68.565246901335968</v>
      </c>
      <c r="BG79" s="20">
        <f t="shared" si="61"/>
        <v>620.27692091982669</v>
      </c>
      <c r="BH79" s="59">
        <f t="shared" si="62"/>
        <v>913.61025425316006</v>
      </c>
      <c r="BI79" s="59">
        <f ca="1">AVERAGE(OFFSET($BH$3,0,0,'Données projet'!$E$11+1,1))-AVERAGE(OFFSET($H$3,0,0,'Données projet'!$E$11+1,1))</f>
        <v>349.71285006949597</v>
      </c>
      <c r="BJ79" s="59">
        <f t="shared" si="92"/>
        <v>258.51550516456842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45.336608772135044</v>
      </c>
      <c r="BQ79" s="21">
        <f>EXP(-LN(2)/25)*BQ78+(1-EXP(-LN(2)/25))/(LN(2)/25)*Calculateur!BL79*Calculateur!BN79*VLOOKUP('Données projet'!$B$11,Paramètres!$A$1:$I$89,3,0)*0.475*44/12</f>
        <v>16.494123596448315</v>
      </c>
      <c r="BR79" s="21">
        <f>EXP(-LN(2)/2)*BR78+(1-EXP(-LN(2)/2))/(LN(2)/2)*BL79*BO79*VLOOKUP('Données projet'!$B$11,Paramètres!$A$1:$I$89,3,0)*0.475*44/12</f>
        <v>1.1871572158367227</v>
      </c>
      <c r="BS79" s="22">
        <f t="shared" si="63"/>
        <v>63.017889584420075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>
        <f>VLOOKUP(A80,'Données projet'!$A$35:$I$55,2,0)</f>
        <v>202.52</v>
      </c>
      <c r="L80" s="12">
        <f>VLOOKUP(A80,'Données projet'!$A$35:$I$55,9,0)</f>
        <v>6.7437500000000021</v>
      </c>
      <c r="M80" s="12">
        <f t="array" ref="M80">INDEX(L:L,MIN(IF(ISNUMBER(L80:L276),ROW(L80:L276),"")))</f>
        <v>6.7437500000000021</v>
      </c>
      <c r="N80" s="13">
        <f>IF('Données projet'!$A$36&gt;35,N79+M80-V79,IF(A80&lt;'Données projet'!$A$36,$K$205^A80,IF(A80='Données projet'!$A$36,'Données projet'!$B$36,N79+M80-V79)))</f>
        <v>202.52000000000004</v>
      </c>
      <c r="O80" s="13">
        <f>N80*VLOOKUP('Données projet'!$B$9,Paramètres!$A$1:$I$89,3,0)*VLOOKUP('Données projet'!$B$9,Paramètres!$A$1:$I$89,5,0)</f>
        <v>230.62977600000005</v>
      </c>
      <c r="P80" s="13">
        <f t="shared" si="87"/>
        <v>56.418832148072731</v>
      </c>
      <c r="Q80" s="20">
        <f t="shared" si="54"/>
        <v>499.94299252456011</v>
      </c>
      <c r="R80" s="59">
        <f t="shared" si="55"/>
        <v>793.27632585789343</v>
      </c>
      <c r="S80" s="59">
        <f ca="1">AVERAGE(OFFSET($R$3,0,0,'Données projet'!$E$9+1,1))-AVERAGE(OFFSET($H$3,0,0,'Données projet'!$E$9+1,1))</f>
        <v>593.28343396240075</v>
      </c>
      <c r="T80" s="59">
        <f t="shared" si="88"/>
        <v>289.66477662068695</v>
      </c>
      <c r="U80" s="15">
        <f>IF(ISNA(VLOOKUP(A80,'Données projet'!$A$35:$I$55,3,0)),0,VLOOKUP(A80,'Données projet'!$A$35:$I$55,3,0))</f>
        <v>3</v>
      </c>
      <c r="V80" s="15">
        <f>IF(ISNA(VLOOKUP(A80,'Données projet'!$A$35:$I$55,4,0)),0,VLOOKUP(A80,'Données projet'!$A$35:$I$55,4,0))</f>
        <v>33.950000000000017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0.34400000000000003</v>
      </c>
      <c r="Y80" s="16">
        <f>IF(ISNA(VLOOKUP(A80,'Données projet'!$A$35:$I$55,7,0)),0%,VLOOKUP(A80,'Données projet'!$A$35:$I$55,7,0))</f>
        <v>0.2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48.853261457828687</v>
      </c>
      <c r="AB80" s="21">
        <f>EXP(-LN(2)/2)*AB79+(1-EXP(-LN(2)/2))/(LN(2)/2)*V80*Y80*VLOOKUP('Données projet'!$B$9,Paramètres!$A$1:$I$89,3,0)*0.475*44/12</f>
        <v>7.9060917856367512</v>
      </c>
      <c r="AC80" s="22">
        <f t="shared" si="57"/>
        <v>56.759353243465441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1.1368683772161603E-13</v>
      </c>
      <c r="AJ80" s="13">
        <f>AI80*VLOOKUP('Données projet'!$B$10,Paramètres!$A$1:$I$89,3,0)*VLOOKUP('Données projet'!$B$10,Paramètres!$A$1:$I$89,5,0)</f>
        <v>6.7984728957526396E-14</v>
      </c>
      <c r="AK80" s="13">
        <f t="shared" si="89"/>
        <v>1.0682447123141398E-12</v>
      </c>
      <c r="AL80" s="20">
        <f t="shared" si="58"/>
        <v>1.978932943548152E-12</v>
      </c>
      <c r="AM80" s="59">
        <f t="shared" si="59"/>
        <v>293.3333333333353</v>
      </c>
      <c r="AN80" s="59">
        <f ca="1">AVERAGE(OFFSET($AM$3,0,0,'Données projet'!$E$10+1,1))-AVERAGE(OFFSET($H$3,0,0,'Données projet'!$E$10+1,1))</f>
        <v>302.00825291248458</v>
      </c>
      <c r="AO80" s="59">
        <f t="shared" si="90"/>
        <v>307.35115839449355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99.17245846861735</v>
      </c>
      <c r="AV80" s="21">
        <f>EXP(-LN(2)/25)*AV79+(1-EXP(-LN(2)/25))/(LN(2)/25)*Calculateur!AQ80*Calculateur!AS80*VLOOKUP('Données projet'!$B$10,Paramètres!$A$1:$I$89,3,0)*0.475*44/12</f>
        <v>30.234889064613949</v>
      </c>
      <c r="AW80" s="21">
        <f>EXP(-LN(2)/2)*AW79+(1-EXP(-LN(2)/2))/(LN(2)/2)*AQ80*AT80*VLOOKUP('Données projet'!$B$10,Paramètres!$A$1:$I$89,3,0)*0.475*44/12</f>
        <v>0.16562165168016665</v>
      </c>
      <c r="AX80" s="21">
        <f t="shared" si="60"/>
        <v>129.57296918491147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9.7839999999999971</v>
      </c>
      <c r="BD80" s="12">
        <f>IF('Données projet'!$A$88&gt;35,BD79+BC80-BL79,IF(A80&lt;'Données projet'!$A$88,$BA$205^A80,IF(A80='Données projet'!$A$88,'Données projet'!$B$88,BD79+BC80-BL79)))</f>
        <v>490.67799999999971</v>
      </c>
      <c r="BE80" s="13">
        <f>BD80*VLOOKUP('Données projet'!$B$11,Paramètres!$A$1:$I$89,3,0)*VLOOKUP('Données projet'!$B$11,Paramètres!$A$1:$I$89,5,0)</f>
        <v>293.42544399999986</v>
      </c>
      <c r="BF80" s="13">
        <f t="shared" si="91"/>
        <v>69.796411555705205</v>
      </c>
      <c r="BG80" s="20">
        <f t="shared" si="61"/>
        <v>632.61139842618638</v>
      </c>
      <c r="BH80" s="59">
        <f t="shared" si="62"/>
        <v>925.94473175951975</v>
      </c>
      <c r="BI80" s="59">
        <f ca="1">AVERAGE(OFFSET($BH$3,0,0,'Données projet'!$E$11+1,1))-AVERAGE(OFFSET($H$3,0,0,'Données projet'!$E$11+1,1))</f>
        <v>349.71285006949597</v>
      </c>
      <c r="BJ80" s="59">
        <f t="shared" si="92"/>
        <v>258.51550516456842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44.447585526714356</v>
      </c>
      <c r="BQ80" s="21">
        <f>EXP(-LN(2)/25)*BQ79+(1-EXP(-LN(2)/25))/(LN(2)/25)*Calculateur!BL80*Calculateur!BN80*VLOOKUP('Données projet'!$B$11,Paramètres!$A$1:$I$89,3,0)*0.475*44/12</f>
        <v>16.043090919315173</v>
      </c>
      <c r="BR80" s="21">
        <f>EXP(-LN(2)/2)*BR79+(1-EXP(-LN(2)/2))/(LN(2)/2)*BL80*BO80*VLOOKUP('Données projet'!$B$11,Paramètres!$A$1:$I$89,3,0)*0.475*44/12</f>
        <v>0.83944691765268853</v>
      </c>
      <c r="BS80" s="22">
        <f t="shared" si="63"/>
        <v>61.330123363682212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6.7444444444444462</v>
      </c>
      <c r="N81" s="13">
        <f>IF('Données projet'!$A$36&gt;35,N80+M81-V80,IF(A81&lt;'Données projet'!$A$36,$K$205^A81,IF(A81='Données projet'!$A$36,'Données projet'!$B$36,N80+M81-V80)))</f>
        <v>175.31444444444446</v>
      </c>
      <c r="O81" s="13">
        <f>N81*VLOOKUP('Données projet'!$B$9,Paramètres!$A$1:$I$89,3,0)*VLOOKUP('Données projet'!$B$9,Paramètres!$A$1:$I$89,5,0)</f>
        <v>199.64808933333336</v>
      </c>
      <c r="P81" s="13">
        <f t="shared" si="87"/>
        <v>49.666820486925445</v>
      </c>
      <c r="Q81" s="20">
        <f t="shared" si="54"/>
        <v>434.22346793695078</v>
      </c>
      <c r="R81" s="59">
        <f t="shared" si="55"/>
        <v>727.55680127028404</v>
      </c>
      <c r="S81" s="59">
        <f ca="1">AVERAGE(OFFSET($R$3,0,0,'Données projet'!$E$9+1,1))-AVERAGE(OFFSET($H$3,0,0,'Données projet'!$E$9+1,1))</f>
        <v>593.28343396240075</v>
      </c>
      <c r="T81" s="59">
        <f t="shared" si="88"/>
        <v>289.66477662068695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47.517366454182998</v>
      </c>
      <c r="AB81" s="21">
        <f>EXP(-LN(2)/2)*AB80+(1-EXP(-LN(2)/2))/(LN(2)/2)*V81*Y81*VLOOKUP('Données projet'!$B$9,Paramètres!$A$1:$I$89,3,0)*0.475*44/12</f>
        <v>5.5904511143070073</v>
      </c>
      <c r="AC81" s="22">
        <f t="shared" si="57"/>
        <v>53.107817568490006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1.1368683772161603E-13</v>
      </c>
      <c r="AJ81" s="13">
        <f>AI81*VLOOKUP('Données projet'!$B$10,Paramètres!$A$1:$I$89,3,0)*VLOOKUP('Données projet'!$B$10,Paramètres!$A$1:$I$89,5,0)</f>
        <v>6.7984728957526396E-14</v>
      </c>
      <c r="AK81" s="13">
        <f t="shared" si="89"/>
        <v>1.0682447123141398E-12</v>
      </c>
      <c r="AL81" s="20">
        <f t="shared" si="58"/>
        <v>1.978932943548152E-12</v>
      </c>
      <c r="AM81" s="59">
        <f t="shared" si="59"/>
        <v>293.3333333333353</v>
      </c>
      <c r="AN81" s="59">
        <f ca="1">AVERAGE(OFFSET($AM$3,0,0,'Données projet'!$E$10+1,1))-AVERAGE(OFFSET($H$3,0,0,'Données projet'!$E$10+1,1))</f>
        <v>302.00825291248458</v>
      </c>
      <c r="AO81" s="59">
        <f t="shared" si="90"/>
        <v>307.35115839449355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97.227747047274619</v>
      </c>
      <c r="AV81" s="21">
        <f>EXP(-LN(2)/25)*AV80+(1-EXP(-LN(2)/25))/(LN(2)/25)*Calculateur!AQ81*Calculateur!AS81*VLOOKUP('Données projet'!$B$10,Paramètres!$A$1:$I$89,3,0)*0.475*44/12</f>
        <v>29.408114433158367</v>
      </c>
      <c r="AW81" s="21">
        <f>EXP(-LN(2)/2)*AW80+(1-EXP(-LN(2)/2))/(LN(2)/2)*AQ81*AT81*VLOOKUP('Données projet'!$B$10,Paramètres!$A$1:$I$89,3,0)*0.475*44/12</f>
        <v>0.1171121930143622</v>
      </c>
      <c r="AX81" s="21">
        <f t="shared" si="60"/>
        <v>126.75297367344736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9.7839999999999971</v>
      </c>
      <c r="BD81" s="12">
        <f>IF('Données projet'!$A$88&gt;35,BD80+BC81-BL80,IF(A81&lt;'Données projet'!$A$88,$BA$205^A81,IF(A81='Données projet'!$A$88,'Données projet'!$B$88,BD80+BC81-BL80)))</f>
        <v>500.4619999999997</v>
      </c>
      <c r="BE81" s="13">
        <f>BD81*VLOOKUP('Données projet'!$B$11,Paramètres!$A$1:$I$89,3,0)*VLOOKUP('Données projet'!$B$11,Paramètres!$A$1:$I$89,5,0)</f>
        <v>299.27627599999983</v>
      </c>
      <c r="BF81" s="13">
        <f t="shared" si="91"/>
        <v>71.024721805685132</v>
      </c>
      <c r="BG81" s="20">
        <f t="shared" si="61"/>
        <v>644.94090451156796</v>
      </c>
      <c r="BH81" s="59">
        <f t="shared" si="62"/>
        <v>938.27423784490134</v>
      </c>
      <c r="BI81" s="59">
        <f ca="1">AVERAGE(OFFSET($BH$3,0,0,'Données projet'!$E$11+1,1))-AVERAGE(OFFSET($H$3,0,0,'Données projet'!$E$11+1,1))</f>
        <v>349.71285006949597</v>
      </c>
      <c r="BJ81" s="59">
        <f t="shared" si="92"/>
        <v>258.51550516456842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43.57599548488573</v>
      </c>
      <c r="BQ81" s="21">
        <f>EXP(-LN(2)/25)*BQ80+(1-EXP(-LN(2)/25))/(LN(2)/25)*Calculateur!BL81*Calculateur!BN81*VLOOKUP('Données projet'!$B$11,Paramètres!$A$1:$I$89,3,0)*0.475*44/12</f>
        <v>15.604391754457016</v>
      </c>
      <c r="BR81" s="21">
        <f>EXP(-LN(2)/2)*BR80+(1-EXP(-LN(2)/2))/(LN(2)/2)*BL81*BO81*VLOOKUP('Données projet'!$B$11,Paramètres!$A$1:$I$89,3,0)*0.475*44/12</f>
        <v>0.59357860791836148</v>
      </c>
      <c r="BS81" s="22">
        <f t="shared" si="63"/>
        <v>59.77396584726111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6.7444444444444462</v>
      </c>
      <c r="N82" s="13">
        <f>IF('Données projet'!$A$36&gt;35,N81+M82-V81,IF(A82&lt;'Données projet'!$A$36,$K$205^A82,IF(A82='Données projet'!$A$36,'Données projet'!$B$36,N81+M82-V81)))</f>
        <v>182.0588888888889</v>
      </c>
      <c r="O82" s="13">
        <f>N82*VLOOKUP('Données projet'!$B$9,Paramètres!$A$1:$I$89,3,0)*VLOOKUP('Données projet'!$B$9,Paramètres!$A$1:$I$89,5,0)</f>
        <v>207.3286626666667</v>
      </c>
      <c r="P82" s="13">
        <f t="shared" si="87"/>
        <v>51.351397043436535</v>
      </c>
      <c r="Q82" s="20">
        <f t="shared" si="54"/>
        <v>450.53443732842976</v>
      </c>
      <c r="R82" s="59">
        <f t="shared" si="55"/>
        <v>743.86777066176307</v>
      </c>
      <c r="S82" s="59">
        <f ca="1">AVERAGE(OFFSET($R$3,0,0,'Données projet'!$E$9+1,1))-AVERAGE(OFFSET($H$3,0,0,'Données projet'!$E$9+1,1))</f>
        <v>593.28343396240075</v>
      </c>
      <c r="T82" s="59">
        <f t="shared" si="88"/>
        <v>289.66477662068695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46.218001569663663</v>
      </c>
      <c r="AB82" s="21">
        <f>EXP(-LN(2)/2)*AB81+(1-EXP(-LN(2)/2))/(LN(2)/2)*V82*Y82*VLOOKUP('Données projet'!$B$9,Paramètres!$A$1:$I$89,3,0)*0.475*44/12</f>
        <v>3.953045892818376</v>
      </c>
      <c r="AC82" s="22">
        <f t="shared" si="57"/>
        <v>50.171047462482036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1.1368683772161603E-13</v>
      </c>
      <c r="AJ82" s="13">
        <f>AI82*VLOOKUP('Données projet'!$B$10,Paramètres!$A$1:$I$89,3,0)*VLOOKUP('Données projet'!$B$10,Paramètres!$A$1:$I$89,5,0)</f>
        <v>6.7984728957526396E-14</v>
      </c>
      <c r="AK82" s="13">
        <f t="shared" si="89"/>
        <v>1.0682447123141398E-12</v>
      </c>
      <c r="AL82" s="20">
        <f t="shared" si="58"/>
        <v>1.978932943548152E-12</v>
      </c>
      <c r="AM82" s="59">
        <f t="shared" si="59"/>
        <v>293.3333333333353</v>
      </c>
      <c r="AN82" s="59">
        <f ca="1">AVERAGE(OFFSET($AM$3,0,0,'Données projet'!$E$10+1,1))-AVERAGE(OFFSET($H$3,0,0,'Données projet'!$E$10+1,1))</f>
        <v>302.00825291248458</v>
      </c>
      <c r="AO82" s="59">
        <f t="shared" si="90"/>
        <v>307.35115839449355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95.321170230747569</v>
      </c>
      <c r="AV82" s="21">
        <f>EXP(-LN(2)/25)*AV81+(1-EXP(-LN(2)/25))/(LN(2)/25)*Calculateur!AQ82*Calculateur!AS82*VLOOKUP('Données projet'!$B$10,Paramètres!$A$1:$I$89,3,0)*0.475*44/12</f>
        <v>28.603947997478127</v>
      </c>
      <c r="AW82" s="21">
        <f>EXP(-LN(2)/2)*AW81+(1-EXP(-LN(2)/2))/(LN(2)/2)*AQ82*AT82*VLOOKUP('Données projet'!$B$10,Paramètres!$A$1:$I$89,3,0)*0.475*44/12</f>
        <v>8.2810825840083341E-2</v>
      </c>
      <c r="AX82" s="21">
        <f t="shared" si="60"/>
        <v>124.00792905406578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9.7839999999999971</v>
      </c>
      <c r="BD82" s="12">
        <f>IF('Données projet'!$A$88&gt;35,BD81+BC82-BL81,IF(A82&lt;'Données projet'!$A$88,$BA$205^A82,IF(A82='Données projet'!$A$88,'Données projet'!$B$88,BD81+BC82-BL81)))</f>
        <v>510.2459999999997</v>
      </c>
      <c r="BE82" s="13">
        <f>BD82*VLOOKUP('Données projet'!$B$11,Paramètres!$A$1:$I$89,3,0)*VLOOKUP('Données projet'!$B$11,Paramètres!$A$1:$I$89,5,0)</f>
        <v>305.12710799999985</v>
      </c>
      <c r="BF82" s="13">
        <f t="shared" si="91"/>
        <v>72.25023988738603</v>
      </c>
      <c r="BG82" s="20">
        <f t="shared" si="61"/>
        <v>657.26554757053043</v>
      </c>
      <c r="BH82" s="59">
        <f t="shared" si="62"/>
        <v>950.5988809038638</v>
      </c>
      <c r="BI82" s="59">
        <f ca="1">AVERAGE(OFFSET($BH$3,0,0,'Données projet'!$E$11+1,1))-AVERAGE(OFFSET($H$3,0,0,'Données projet'!$E$11+1,1))</f>
        <v>349.71285006949597</v>
      </c>
      <c r="BJ82" s="59">
        <f t="shared" si="92"/>
        <v>258.51550516456842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42.721496792159932</v>
      </c>
      <c r="BQ82" s="21">
        <f>EXP(-LN(2)/25)*BQ81+(1-EXP(-LN(2)/25))/(LN(2)/25)*Calculateur!BL82*Calculateur!BN82*VLOOKUP('Données projet'!$B$11,Paramètres!$A$1:$I$89,3,0)*0.475*44/12</f>
        <v>15.17768884133209</v>
      </c>
      <c r="BR82" s="21">
        <f>EXP(-LN(2)/2)*BR81+(1-EXP(-LN(2)/2))/(LN(2)/2)*BL82*BO82*VLOOKUP('Données projet'!$B$11,Paramètres!$A$1:$I$89,3,0)*0.475*44/12</f>
        <v>0.41972345882634432</v>
      </c>
      <c r="BS82" s="22">
        <f t="shared" si="63"/>
        <v>58.318909092318371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6.7444444444444462</v>
      </c>
      <c r="N83" s="13">
        <f>IF('Données projet'!$A$36&gt;35,N82+M83-V82,IF(A83&lt;'Données projet'!$A$36,$K$205^A83,IF(A83='Données projet'!$A$36,'Données projet'!$B$36,N82+M83-V82)))</f>
        <v>188.80333333333334</v>
      </c>
      <c r="O83" s="13">
        <f>N83*VLOOKUP('Données projet'!$B$9,Paramètres!$A$1:$I$89,3,0)*VLOOKUP('Données projet'!$B$9,Paramètres!$A$1:$I$89,5,0)</f>
        <v>215.00923600000002</v>
      </c>
      <c r="P83" s="13">
        <f t="shared" si="87"/>
        <v>53.028723450763223</v>
      </c>
      <c r="Q83" s="20">
        <f t="shared" si="54"/>
        <v>466.83277937674598</v>
      </c>
      <c r="R83" s="59">
        <f t="shared" si="55"/>
        <v>760.16611271007923</v>
      </c>
      <c r="S83" s="59">
        <f ca="1">AVERAGE(OFFSET($R$3,0,0,'Données projet'!$E$9+1,1))-AVERAGE(OFFSET($H$3,0,0,'Données projet'!$E$9+1,1))</f>
        <v>593.28343396240075</v>
      </c>
      <c r="T83" s="59">
        <f t="shared" si="88"/>
        <v>289.66477662068695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44.954167886242139</v>
      </c>
      <c r="AB83" s="21">
        <f>EXP(-LN(2)/2)*AB82+(1-EXP(-LN(2)/2))/(LN(2)/2)*V83*Y83*VLOOKUP('Données projet'!$B$9,Paramètres!$A$1:$I$89,3,0)*0.475*44/12</f>
        <v>2.7952255571535041</v>
      </c>
      <c r="AC83" s="22">
        <f t="shared" si="57"/>
        <v>47.749393443395647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1.1368683772161603E-13</v>
      </c>
      <c r="AJ83" s="13">
        <f>AI83*VLOOKUP('Données projet'!$B$10,Paramètres!$A$1:$I$89,3,0)*VLOOKUP('Données projet'!$B$10,Paramètres!$A$1:$I$89,5,0)</f>
        <v>6.7984728957526396E-14</v>
      </c>
      <c r="AK83" s="13">
        <f t="shared" si="89"/>
        <v>1.0682447123141398E-12</v>
      </c>
      <c r="AL83" s="20">
        <f t="shared" si="58"/>
        <v>1.978932943548152E-12</v>
      </c>
      <c r="AM83" s="59">
        <f t="shared" si="59"/>
        <v>293.3333333333353</v>
      </c>
      <c r="AN83" s="59">
        <f ca="1">AVERAGE(OFFSET($AM$3,0,0,'Données projet'!$E$10+1,1))-AVERAGE(OFFSET($H$3,0,0,'Données projet'!$E$10+1,1))</f>
        <v>302.00825291248458</v>
      </c>
      <c r="AO83" s="59">
        <f t="shared" si="90"/>
        <v>307.35115839449355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93.451980222695582</v>
      </c>
      <c r="AV83" s="21">
        <f>EXP(-LN(2)/25)*AV82+(1-EXP(-LN(2)/25))/(LN(2)/25)*Calculateur!AQ83*Calculateur!AS83*VLOOKUP('Données projet'!$B$10,Paramètres!$A$1:$I$89,3,0)*0.475*44/12</f>
        <v>27.821771535270837</v>
      </c>
      <c r="AW83" s="21">
        <f>EXP(-LN(2)/2)*AW82+(1-EXP(-LN(2)/2))/(LN(2)/2)*AQ83*AT83*VLOOKUP('Données projet'!$B$10,Paramètres!$A$1:$I$89,3,0)*0.475*44/12</f>
        <v>5.8556096507181112E-2</v>
      </c>
      <c r="AX83" s="21">
        <f t="shared" si="60"/>
        <v>121.3323078544736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520.03</v>
      </c>
      <c r="BB83" s="12">
        <f>VLOOKUP(A83,'Données projet'!$A$87:$I$107,9,0)</f>
        <v>9.7839999999999971</v>
      </c>
      <c r="BC83" s="12">
        <f t="array" ref="BC83">INDEX(BB:BB,MIN(IF(ISNUMBER(BB83:BB279),ROW(BB83:BB279),"")))</f>
        <v>9.7839999999999971</v>
      </c>
      <c r="BD83" s="12">
        <f>IF('Données projet'!$A$88&gt;35,BD82+BC83-BL82,IF(A83&lt;'Données projet'!$A$88,$BA$205^A83,IF(A83='Données projet'!$A$88,'Données projet'!$B$88,BD82+BC83-BL82)))</f>
        <v>520.02999999999975</v>
      </c>
      <c r="BE83" s="13">
        <f>BD83*VLOOKUP('Données projet'!$B$11,Paramètres!$A$1:$I$89,3,0)*VLOOKUP('Données projet'!$B$11,Paramètres!$A$1:$I$89,5,0)</f>
        <v>310.97793999999988</v>
      </c>
      <c r="BF83" s="13">
        <f t="shared" si="91"/>
        <v>73.473025513598785</v>
      </c>
      <c r="BG83" s="20">
        <f t="shared" si="61"/>
        <v>669.58543160285092</v>
      </c>
      <c r="BH83" s="59">
        <f t="shared" si="62"/>
        <v>962.91876493618429</v>
      </c>
      <c r="BI83" s="59">
        <f ca="1">AVERAGE(OFFSET($BH$3,0,0,'Données projet'!$E$11+1,1))-AVERAGE(OFFSET($H$3,0,0,'Données projet'!$E$11+1,1))</f>
        <v>349.71285006949597</v>
      </c>
      <c r="BJ83" s="59">
        <f t="shared" si="92"/>
        <v>258.51550516456842</v>
      </c>
      <c r="BK83" s="15">
        <f>IF(ISNA(VLOOKUP(A83,'Données projet'!$A$87:$I$107,3,0)),0,VLOOKUP(A83,'Données projet'!$A$87:$I$107,3,0))</f>
        <v>8</v>
      </c>
      <c r="BL83" s="21">
        <f>IF(ISNA(VLOOKUP(A83,'Données projet'!$A$87:$I$107,4,0)),0,VLOOKUP(A83,'Données projet'!$A$87:$I$107,4,0))</f>
        <v>520.03</v>
      </c>
      <c r="BM83" s="16">
        <f>IF(ISNA(VLOOKUP(A83,'Données projet'!$A$87:$I$107,5,0)),0%,VLOOKUP(A83,'Données projet'!$A$87:$I$107,5,0)*VLOOKUP('Données projet'!$B$11,Paramètres!$A$1:$I$89,7,0))</f>
        <v>0.27</v>
      </c>
      <c r="BN83" s="16">
        <f>IF(ISNA(VLOOKUP(A83,'Données projet'!$A$87:$I$107,6,0)),0%,VLOOKUP(A83,'Données projet'!$A$87:$I$107,6,0)*VLOOKUP('Données projet'!$B$11,Paramètres!$A$1:$I$89,7,0))</f>
        <v>9.0000000000000011E-2</v>
      </c>
      <c r="BO83" s="16">
        <f>IF(ISNA(VLOOKUP(A83,'Données projet'!$A$87:$I$107,7,0)),0%,VLOOKUP(A83,'Données projet'!$A$87:$I$107,7,0))</f>
        <v>0.2</v>
      </c>
      <c r="BP83" s="21">
        <f>EXP(-LN(2)/35)*BP82+(1-EXP(-LN(2)/35))/(LN(2)/35)*BL83*BM83*VLOOKUP('Données projet'!$B$11,Paramètres!$A$1:$I$89,3,0)*0.475*44/12</f>
        <v>153.26747033765446</v>
      </c>
      <c r="BQ83" s="21">
        <f>EXP(-LN(2)/25)*BQ82+(1-EXP(-LN(2)/25))/(LN(2)/25)*Calculateur!BL83*Calculateur!BN83*VLOOKUP('Données projet'!$B$11,Paramètres!$A$1:$I$89,3,0)*0.475*44/12</f>
        <v>51.744372778297887</v>
      </c>
      <c r="BR83" s="21">
        <f>EXP(-LN(2)/2)*BR82+(1-EXP(-LN(2)/2))/(LN(2)/2)*BL83*BO83*VLOOKUP('Données projet'!$B$11,Paramètres!$A$1:$I$89,3,0)*0.475*44/12</f>
        <v>70.716642801208678</v>
      </c>
      <c r="BS83" s="22">
        <f t="shared" si="63"/>
        <v>275.72848591716104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6.7444444444444462</v>
      </c>
      <c r="N84" s="13">
        <f>IF('Données projet'!$A$36&gt;35,N83+M84-V83,IF(A84&lt;'Données projet'!$A$36,$K$205^A84,IF(A84='Données projet'!$A$36,'Données projet'!$B$36,N83+M84-V83)))</f>
        <v>195.54777777777778</v>
      </c>
      <c r="O84" s="13">
        <f>N84*VLOOKUP('Données projet'!$B$9,Paramètres!$A$1:$I$89,3,0)*VLOOKUP('Données projet'!$B$9,Paramètres!$A$1:$I$89,5,0)</f>
        <v>222.68980933333336</v>
      </c>
      <c r="P84" s="13">
        <f t="shared" si="87"/>
        <v>54.699088370207967</v>
      </c>
      <c r="Q84" s="20">
        <f t="shared" si="54"/>
        <v>483.11899683366778</v>
      </c>
      <c r="R84" s="59">
        <f t="shared" si="55"/>
        <v>776.45233016700104</v>
      </c>
      <c r="S84" s="59">
        <f ca="1">AVERAGE(OFFSET($R$3,0,0,'Données projet'!$E$9+1,1))-AVERAGE(OFFSET($H$3,0,0,'Données projet'!$E$9+1,1))</f>
        <v>593.28343396240075</v>
      </c>
      <c r="T84" s="59">
        <f t="shared" si="88"/>
        <v>289.66477662068695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43.724893801355904</v>
      </c>
      <c r="AB84" s="21">
        <f>EXP(-LN(2)/2)*AB83+(1-EXP(-LN(2)/2))/(LN(2)/2)*V84*Y84*VLOOKUP('Données projet'!$B$9,Paramètres!$A$1:$I$89,3,0)*0.475*44/12</f>
        <v>1.9765229464091882</v>
      </c>
      <c r="AC84" s="22">
        <f t="shared" si="57"/>
        <v>45.701416747765094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1.1368683772161603E-13</v>
      </c>
      <c r="AJ84" s="13">
        <f>AI84*VLOOKUP('Données projet'!$B$10,Paramètres!$A$1:$I$89,3,0)*VLOOKUP('Données projet'!$B$10,Paramètres!$A$1:$I$89,5,0)</f>
        <v>6.7984728957526396E-14</v>
      </c>
      <c r="AK84" s="13">
        <f t="shared" si="89"/>
        <v>1.0682447123141398E-12</v>
      </c>
      <c r="AL84" s="20">
        <f t="shared" si="58"/>
        <v>1.978932943548152E-12</v>
      </c>
      <c r="AM84" s="59">
        <f t="shared" si="59"/>
        <v>293.3333333333353</v>
      </c>
      <c r="AN84" s="59">
        <f ca="1">AVERAGE(OFFSET($AM$3,0,0,'Données projet'!$E$10+1,1))-AVERAGE(OFFSET($H$3,0,0,'Données projet'!$E$10+1,1))</f>
        <v>302.00825291248458</v>
      </c>
      <c r="AO84" s="59">
        <f t="shared" si="90"/>
        <v>307.35115839449355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91.619443890608167</v>
      </c>
      <c r="AV84" s="21">
        <f>EXP(-LN(2)/25)*AV83+(1-EXP(-LN(2)/25))/(LN(2)/25)*Calculateur!AQ84*Calculateur!AS84*VLOOKUP('Données projet'!$B$10,Paramètres!$A$1:$I$89,3,0)*0.475*44/12</f>
        <v>27.060983729555478</v>
      </c>
      <c r="AW84" s="21">
        <f>EXP(-LN(2)/2)*AW83+(1-EXP(-LN(2)/2))/(LN(2)/2)*AQ84*AT84*VLOOKUP('Données projet'!$B$10,Paramètres!$A$1:$I$89,3,0)*0.475*44/12</f>
        <v>4.1405412920041677E-2</v>
      </c>
      <c r="AX84" s="21">
        <f t="shared" si="60"/>
        <v>118.72183303308368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-2.2737367544323206E-13</v>
      </c>
      <c r="BE84" s="13">
        <f>BD84*VLOOKUP('Données projet'!$B$11,Paramètres!$A$1:$I$89,3,0)*VLOOKUP('Données projet'!$B$11,Paramètres!$A$1:$I$89,5,0)</f>
        <v>-1.3596945791505279E-13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349.71285006949597</v>
      </c>
      <c r="BJ84" s="59">
        <f t="shared" si="92"/>
        <v>258.51550516456842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150.26198872825918</v>
      </c>
      <c r="BQ84" s="21">
        <f>EXP(-LN(2)/25)*BQ83+(1-EXP(-LN(2)/25))/(LN(2)/25)*Calculateur!BL84*Calculateur!BN84*VLOOKUP('Données projet'!$B$11,Paramètres!$A$1:$I$89,3,0)*0.475*44/12</f>
        <v>50.329420183557033</v>
      </c>
      <c r="BR84" s="21">
        <f>EXP(-LN(2)/2)*BR83+(1-EXP(-LN(2)/2))/(LN(2)/2)*BL84*BO84*VLOOKUP('Données projet'!$B$11,Paramètres!$A$1:$I$89,3,0)*0.475*44/12</f>
        <v>50.004217667481512</v>
      </c>
      <c r="BS84" s="22">
        <f t="shared" si="63"/>
        <v>250.59562657929774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6.7444444444444462</v>
      </c>
      <c r="N85" s="13">
        <f>IF('Données projet'!$A$36&gt;35,N84+M85-V84,IF(A85&lt;'Données projet'!$A$36,$K$205^A85,IF(A85='Données projet'!$A$36,'Données projet'!$B$36,N84+M85-V84)))</f>
        <v>202.29222222222222</v>
      </c>
      <c r="O85" s="13">
        <f>N85*VLOOKUP('Données projet'!$B$9,Paramètres!$A$1:$I$89,3,0)*VLOOKUP('Données projet'!$B$9,Paramètres!$A$1:$I$89,5,0)</f>
        <v>230.37038266666667</v>
      </c>
      <c r="P85" s="13">
        <f t="shared" si="87"/>
        <v>56.362759421880078</v>
      </c>
      <c r="Q85" s="20">
        <f t="shared" si="54"/>
        <v>499.39355580421892</v>
      </c>
      <c r="R85" s="59">
        <f t="shared" si="55"/>
        <v>792.72688913755223</v>
      </c>
      <c r="S85" s="59">
        <f ca="1">AVERAGE(OFFSET($R$3,0,0,'Données projet'!$E$9+1,1))-AVERAGE(OFFSET($H$3,0,0,'Données projet'!$E$9+1,1))</f>
        <v>593.28343396240075</v>
      </c>
      <c r="T85" s="59">
        <f t="shared" si="88"/>
        <v>289.66477662068695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42.529234280965596</v>
      </c>
      <c r="AB85" s="21">
        <f>EXP(-LN(2)/2)*AB84+(1-EXP(-LN(2)/2))/(LN(2)/2)*V85*Y85*VLOOKUP('Données projet'!$B$9,Paramètres!$A$1:$I$89,3,0)*0.475*44/12</f>
        <v>1.3976127785767523</v>
      </c>
      <c r="AC85" s="22">
        <f t="shared" si="57"/>
        <v>43.926847059542347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1.1368683772161603E-13</v>
      </c>
      <c r="AJ85" s="13">
        <f>AI85*VLOOKUP('Données projet'!$B$10,Paramètres!$A$1:$I$89,3,0)*VLOOKUP('Données projet'!$B$10,Paramètres!$A$1:$I$89,5,0)</f>
        <v>6.7984728957526396E-14</v>
      </c>
      <c r="AK85" s="13">
        <f t="shared" si="89"/>
        <v>1.0682447123141398E-12</v>
      </c>
      <c r="AL85" s="20">
        <f t="shared" si="58"/>
        <v>1.978932943548152E-12</v>
      </c>
      <c r="AM85" s="59">
        <f t="shared" si="59"/>
        <v>293.3333333333353</v>
      </c>
      <c r="AN85" s="59">
        <f ca="1">AVERAGE(OFFSET($AM$3,0,0,'Données projet'!$E$10+1,1))-AVERAGE(OFFSET($H$3,0,0,'Données projet'!$E$10+1,1))</f>
        <v>302.00825291248458</v>
      </c>
      <c r="AO85" s="59">
        <f t="shared" si="90"/>
        <v>307.35115839449355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89.822842478256192</v>
      </c>
      <c r="AV85" s="21">
        <f>EXP(-LN(2)/25)*AV84+(1-EXP(-LN(2)/25))/(LN(2)/25)*Calculateur!AQ85*Calculateur!AS85*VLOOKUP('Données projet'!$B$10,Paramètres!$A$1:$I$89,3,0)*0.475*44/12</f>
        <v>26.320999706395497</v>
      </c>
      <c r="AW85" s="21">
        <f>EXP(-LN(2)/2)*AW84+(1-EXP(-LN(2)/2))/(LN(2)/2)*AQ85*AT85*VLOOKUP('Données projet'!$B$10,Paramètres!$A$1:$I$89,3,0)*0.475*44/12</f>
        <v>2.9278048253590559E-2</v>
      </c>
      <c r="AX85" s="21">
        <f t="shared" si="60"/>
        <v>116.17312023290528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-2.2737367544323206E-13</v>
      </c>
      <c r="BE85" s="13">
        <f>BD85*VLOOKUP('Données projet'!$B$11,Paramètres!$A$1:$I$89,3,0)*VLOOKUP('Données projet'!$B$11,Paramètres!$A$1:$I$89,5,0)</f>
        <v>-1.3596945791505279E-13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349.71285006949597</v>
      </c>
      <c r="BJ85" s="59">
        <f t="shared" si="92"/>
        <v>258.51550516456842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147.31544278006137</v>
      </c>
      <c r="BQ85" s="21">
        <f>EXP(-LN(2)/25)*BQ84+(1-EXP(-LN(2)/25))/(LN(2)/25)*Calculateur!BL85*Calculateur!BN85*VLOOKUP('Données projet'!$B$11,Paramètres!$A$1:$I$89,3,0)*0.475*44/12</f>
        <v>48.953159541928486</v>
      </c>
      <c r="BR85" s="21">
        <f>EXP(-LN(2)/2)*BR84+(1-EXP(-LN(2)/2))/(LN(2)/2)*BL85*BO85*VLOOKUP('Données projet'!$B$11,Paramètres!$A$1:$I$89,3,0)*0.475*44/12</f>
        <v>35.358321400604346</v>
      </c>
      <c r="BS85" s="22">
        <f t="shared" si="63"/>
        <v>231.62692372259423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6.7444444444444462</v>
      </c>
      <c r="N86" s="13">
        <f>IF('Données projet'!$A$36&gt;35,N85+M86-V85,IF(A86&lt;'Données projet'!$A$36,$K$205^A86,IF(A86='Données projet'!$A$36,'Données projet'!$B$36,N85+M86-V85)))</f>
        <v>209.03666666666666</v>
      </c>
      <c r="O86" s="13">
        <f>N86*VLOOKUP('Données projet'!$B$9,Paramètres!$A$1:$I$89,3,0)*VLOOKUP('Données projet'!$B$9,Paramètres!$A$1:$I$89,5,0)</f>
        <v>238.05095600000001</v>
      </c>
      <c r="P86" s="13">
        <f t="shared" si="87"/>
        <v>58.019985368316512</v>
      </c>
      <c r="Q86" s="20">
        <f t="shared" si="54"/>
        <v>515.65688954981795</v>
      </c>
      <c r="R86" s="59">
        <f t="shared" si="55"/>
        <v>808.99022288315132</v>
      </c>
      <c r="S86" s="59">
        <f ca="1">AVERAGE(OFFSET($R$3,0,0,'Données projet'!$E$9+1,1))-AVERAGE(OFFSET($H$3,0,0,'Données projet'!$E$9+1,1))</f>
        <v>593.28343396240075</v>
      </c>
      <c r="T86" s="59">
        <f t="shared" si="88"/>
        <v>289.66477662068695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41.366270133037361</v>
      </c>
      <c r="AB86" s="21">
        <f>EXP(-LN(2)/2)*AB85+(1-EXP(-LN(2)/2))/(LN(2)/2)*V86*Y86*VLOOKUP('Données projet'!$B$9,Paramètres!$A$1:$I$89,3,0)*0.475*44/12</f>
        <v>0.98826147320459434</v>
      </c>
      <c r="AC86" s="22">
        <f t="shared" si="57"/>
        <v>42.354531606241956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1.1368683772161603E-13</v>
      </c>
      <c r="AJ86" s="13">
        <f>AI86*VLOOKUP('Données projet'!$B$10,Paramètres!$A$1:$I$89,3,0)*VLOOKUP('Données projet'!$B$10,Paramètres!$A$1:$I$89,5,0)</f>
        <v>6.7984728957526396E-14</v>
      </c>
      <c r="AK86" s="13">
        <f t="shared" si="89"/>
        <v>1.0682447123141398E-12</v>
      </c>
      <c r="AL86" s="20">
        <f t="shared" si="58"/>
        <v>1.978932943548152E-12</v>
      </c>
      <c r="AM86" s="59">
        <f t="shared" si="59"/>
        <v>293.3333333333353</v>
      </c>
      <c r="AN86" s="59">
        <f ca="1">AVERAGE(OFFSET($AM$3,0,0,'Données projet'!$E$10+1,1))-AVERAGE(OFFSET($H$3,0,0,'Données projet'!$E$10+1,1))</f>
        <v>302.00825291248458</v>
      </c>
      <c r="AO86" s="59">
        <f t="shared" si="90"/>
        <v>307.35115839449355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88.061471323781774</v>
      </c>
      <c r="AV86" s="21">
        <f>EXP(-LN(2)/25)*AV85+(1-EXP(-LN(2)/25))/(LN(2)/25)*Calculateur!AQ86*Calculateur!AS86*VLOOKUP('Données projet'!$B$10,Paramètres!$A$1:$I$89,3,0)*0.475*44/12</f>
        <v>25.601250585262896</v>
      </c>
      <c r="AW86" s="21">
        <f>EXP(-LN(2)/2)*AW85+(1-EXP(-LN(2)/2))/(LN(2)/2)*AQ86*AT86*VLOOKUP('Données projet'!$B$10,Paramètres!$A$1:$I$89,3,0)*0.475*44/12</f>
        <v>2.0702706460020842E-2</v>
      </c>
      <c r="AX86" s="21">
        <f t="shared" si="60"/>
        <v>113.68342461550469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-2.2737367544323206E-13</v>
      </c>
      <c r="BE86" s="13">
        <f>BD86*VLOOKUP('Données projet'!$B$11,Paramètres!$A$1:$I$89,3,0)*VLOOKUP('Données projet'!$B$11,Paramètres!$A$1:$I$89,5,0)</f>
        <v>-1.3596945791505279E-13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349.71285006949597</v>
      </c>
      <c r="BJ86" s="59">
        <f t="shared" si="92"/>
        <v>258.51550516456842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144.42667680069218</v>
      </c>
      <c r="BQ86" s="21">
        <f>EXP(-LN(2)/25)*BQ85+(1-EXP(-LN(2)/25))/(LN(2)/25)*Calculateur!BL86*Calculateur!BN86*VLOOKUP('Données projet'!$B$11,Paramètres!$A$1:$I$89,3,0)*0.475*44/12</f>
        <v>47.614532819919674</v>
      </c>
      <c r="BR86" s="21">
        <f>EXP(-LN(2)/2)*BR85+(1-EXP(-LN(2)/2))/(LN(2)/2)*BL86*BO86*VLOOKUP('Données projet'!$B$11,Paramètres!$A$1:$I$89,3,0)*0.475*44/12</f>
        <v>25.00210883374076</v>
      </c>
      <c r="BS86" s="22">
        <f t="shared" si="63"/>
        <v>217.0433184543526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6.7444444444444462</v>
      </c>
      <c r="N87" s="13">
        <f>IF('Données projet'!$A$36&gt;35,N86+M87-V86,IF(A87&lt;'Données projet'!$A$36,$K$205^A87,IF(A87='Données projet'!$A$36,'Données projet'!$B$36,N86+M87-V86)))</f>
        <v>215.7811111111111</v>
      </c>
      <c r="O87" s="13">
        <f>N87*VLOOKUP('Données projet'!$B$9,Paramètres!$A$1:$I$89,3,0)*VLOOKUP('Données projet'!$B$9,Paramètres!$A$1:$I$89,5,0)</f>
        <v>245.73152933333333</v>
      </c>
      <c r="P87" s="13">
        <f t="shared" si="87"/>
        <v>59.67099800837255</v>
      </c>
      <c r="Q87" s="20">
        <f t="shared" si="54"/>
        <v>531.90940178680432</v>
      </c>
      <c r="R87" s="59">
        <f t="shared" si="55"/>
        <v>825.2427351201377</v>
      </c>
      <c r="S87" s="59">
        <f ca="1">AVERAGE(OFFSET($R$3,0,0,'Données projet'!$E$9+1,1))-AVERAGE(OFFSET($H$3,0,0,'Données projet'!$E$9+1,1))</f>
        <v>593.28343396240075</v>
      </c>
      <c r="T87" s="59">
        <f t="shared" si="88"/>
        <v>289.66477662068695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40.235107300891855</v>
      </c>
      <c r="AB87" s="21">
        <f>EXP(-LN(2)/2)*AB86+(1-EXP(-LN(2)/2))/(LN(2)/2)*V87*Y87*VLOOKUP('Données projet'!$B$9,Paramètres!$A$1:$I$89,3,0)*0.475*44/12</f>
        <v>0.69880638928837624</v>
      </c>
      <c r="AC87" s="22">
        <f t="shared" si="57"/>
        <v>40.933913690180233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1.1368683772161603E-13</v>
      </c>
      <c r="AJ87" s="13">
        <f>AI87*VLOOKUP('Données projet'!$B$10,Paramètres!$A$1:$I$89,3,0)*VLOOKUP('Données projet'!$B$10,Paramètres!$A$1:$I$89,5,0)</f>
        <v>6.7984728957526396E-14</v>
      </c>
      <c r="AK87" s="13">
        <f t="shared" si="89"/>
        <v>1.0682447123141398E-12</v>
      </c>
      <c r="AL87" s="20">
        <f t="shared" si="58"/>
        <v>1.978932943548152E-12</v>
      </c>
      <c r="AM87" s="59">
        <f t="shared" si="59"/>
        <v>293.3333333333353</v>
      </c>
      <c r="AN87" s="59">
        <f ca="1">AVERAGE(OFFSET($AM$3,0,0,'Données projet'!$E$10+1,1))-AVERAGE(OFFSET($H$3,0,0,'Données projet'!$E$10+1,1))</f>
        <v>302.00825291248458</v>
      </c>
      <c r="AO87" s="59">
        <f t="shared" si="90"/>
        <v>307.35115839449355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86.334639583316289</v>
      </c>
      <c r="AV87" s="21">
        <f>EXP(-LN(2)/25)*AV86+(1-EXP(-LN(2)/25))/(LN(2)/25)*Calculateur!AQ87*Calculateur!AS87*VLOOKUP('Données projet'!$B$10,Paramètres!$A$1:$I$89,3,0)*0.475*44/12</f>
        <v>24.901183041697628</v>
      </c>
      <c r="AW87" s="21">
        <f>EXP(-LN(2)/2)*AW86+(1-EXP(-LN(2)/2))/(LN(2)/2)*AQ87*AT87*VLOOKUP('Données projet'!$B$10,Paramètres!$A$1:$I$89,3,0)*0.475*44/12</f>
        <v>1.4639024126795283E-2</v>
      </c>
      <c r="AX87" s="21">
        <f t="shared" si="60"/>
        <v>111.25046164914072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-2.2737367544323206E-13</v>
      </c>
      <c r="BE87" s="13">
        <f>BD87*VLOOKUP('Données projet'!$B$11,Paramètres!$A$1:$I$89,3,0)*VLOOKUP('Données projet'!$B$11,Paramètres!$A$1:$I$89,5,0)</f>
        <v>-1.3596945791505279E-13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349.71285006949597</v>
      </c>
      <c r="BJ87" s="59">
        <f t="shared" si="92"/>
        <v>258.51550516456842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141.59455776020513</v>
      </c>
      <c r="BQ87" s="21">
        <f>EXP(-LN(2)/25)*BQ86+(1-EXP(-LN(2)/25))/(LN(2)/25)*Calculateur!BL87*Calculateur!BN87*VLOOKUP('Données projet'!$B$11,Paramètres!$A$1:$I$89,3,0)*0.475*44/12</f>
        <v>46.312510916019512</v>
      </c>
      <c r="BR87" s="21">
        <f>EXP(-LN(2)/2)*BR86+(1-EXP(-LN(2)/2))/(LN(2)/2)*BL87*BO87*VLOOKUP('Données projet'!$B$11,Paramètres!$A$1:$I$89,3,0)*0.475*44/12</f>
        <v>17.679160700302177</v>
      </c>
      <c r="BS87" s="22">
        <f t="shared" si="63"/>
        <v>205.58622937652683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6.7444444444444462</v>
      </c>
      <c r="N88" s="13">
        <f>IF('Données projet'!$A$36&gt;35,N87+M88-V87,IF(A88&lt;'Données projet'!$A$36,$K$205^A88,IF(A88='Données projet'!$A$36,'Données projet'!$B$36,N87+M88-V87)))</f>
        <v>222.52555555555554</v>
      </c>
      <c r="O88" s="13">
        <f>N88*VLOOKUP('Données projet'!$B$9,Paramètres!$A$1:$I$89,3,0)*VLOOKUP('Données projet'!$B$9,Paramètres!$A$1:$I$89,5,0)</f>
        <v>253.41210266666667</v>
      </c>
      <c r="P88" s="13">
        <f t="shared" si="87"/>
        <v>61.316013827679889</v>
      </c>
      <c r="Q88" s="20">
        <f t="shared" si="54"/>
        <v>548.15146956098692</v>
      </c>
      <c r="R88" s="59">
        <f t="shared" si="55"/>
        <v>841.48480289432018</v>
      </c>
      <c r="S88" s="59">
        <f ca="1">AVERAGE(OFFSET($R$3,0,0,'Données projet'!$E$9+1,1))-AVERAGE(OFFSET($H$3,0,0,'Données projet'!$E$9+1,1))</f>
        <v>593.28343396240075</v>
      </c>
      <c r="T88" s="59">
        <f t="shared" si="88"/>
        <v>289.66477662068695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39.134876175876634</v>
      </c>
      <c r="AB88" s="21">
        <f>EXP(-LN(2)/2)*AB87+(1-EXP(-LN(2)/2))/(LN(2)/2)*V88*Y88*VLOOKUP('Données projet'!$B$9,Paramètres!$A$1:$I$89,3,0)*0.475*44/12</f>
        <v>0.49413073660229723</v>
      </c>
      <c r="AC88" s="22">
        <f t="shared" si="57"/>
        <v>39.629006912478928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1.1368683772161603E-13</v>
      </c>
      <c r="AJ88" s="13">
        <f>AI88*VLOOKUP('Données projet'!$B$10,Paramètres!$A$1:$I$89,3,0)*VLOOKUP('Données projet'!$B$10,Paramètres!$A$1:$I$89,5,0)</f>
        <v>6.7984728957526396E-14</v>
      </c>
      <c r="AK88" s="13">
        <f t="shared" si="89"/>
        <v>1.0682447123141398E-12</v>
      </c>
      <c r="AL88" s="20">
        <f t="shared" si="58"/>
        <v>1.978932943548152E-12</v>
      </c>
      <c r="AM88" s="59">
        <f t="shared" si="59"/>
        <v>293.3333333333353</v>
      </c>
      <c r="AN88" s="59">
        <f ca="1">AVERAGE(OFFSET($AM$3,0,0,'Données projet'!$E$10+1,1))-AVERAGE(OFFSET($H$3,0,0,'Données projet'!$E$10+1,1))</f>
        <v>302.00825291248458</v>
      </c>
      <c r="AO88" s="59">
        <f t="shared" si="90"/>
        <v>307.35115839449355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84.641669960017964</v>
      </c>
      <c r="AV88" s="21">
        <f>EXP(-LN(2)/25)*AV87+(1-EXP(-LN(2)/25))/(LN(2)/25)*Calculateur!AQ88*Calculateur!AS88*VLOOKUP('Données projet'!$B$10,Paramètres!$A$1:$I$89,3,0)*0.475*44/12</f>
        <v>24.220258881926103</v>
      </c>
      <c r="AW88" s="21">
        <f>EXP(-LN(2)/2)*AW87+(1-EXP(-LN(2)/2))/(LN(2)/2)*AQ88*AT88*VLOOKUP('Données projet'!$B$10,Paramètres!$A$1:$I$89,3,0)*0.475*44/12</f>
        <v>1.0351353230010423E-2</v>
      </c>
      <c r="AX88" s="21">
        <f t="shared" si="60"/>
        <v>108.87228019517407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-2.2737367544323206E-13</v>
      </c>
      <c r="BE88" s="13">
        <f>BD88*VLOOKUP('Données projet'!$B$11,Paramètres!$A$1:$I$89,3,0)*VLOOKUP('Données projet'!$B$11,Paramètres!$A$1:$I$89,5,0)</f>
        <v>-1.3596945791505279E-13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349.71285006949597</v>
      </c>
      <c r="BJ88" s="59">
        <f t="shared" si="92"/>
        <v>258.51550516456842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138.81797484667999</v>
      </c>
      <c r="BQ88" s="21">
        <f>EXP(-LN(2)/25)*BQ87+(1-EXP(-LN(2)/25))/(LN(2)/25)*Calculateur!BL88*Calculateur!BN88*VLOOKUP('Données projet'!$B$11,Paramètres!$A$1:$I$89,3,0)*0.475*44/12</f>
        <v>45.046092869551856</v>
      </c>
      <c r="BR88" s="21">
        <f>EXP(-LN(2)/2)*BR87+(1-EXP(-LN(2)/2))/(LN(2)/2)*BL88*BO88*VLOOKUP('Données projet'!$B$11,Paramètres!$A$1:$I$89,3,0)*0.475*44/12</f>
        <v>12.501054416870382</v>
      </c>
      <c r="BS88" s="22">
        <f t="shared" si="63"/>
        <v>196.3651221331022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>
        <f>VLOOKUP(A89,'Données projet'!$A$35:$I$55,2,0)</f>
        <v>229.27</v>
      </c>
      <c r="L89" s="12">
        <f>VLOOKUP(A89,'Données projet'!$A$35:$I$55,9,0)</f>
        <v>6.7444444444444462</v>
      </c>
      <c r="M89" s="12">
        <f t="array" ref="M89">INDEX(L:L,MIN(IF(ISNUMBER(L89:L285),ROW(L89:L285),"")))</f>
        <v>6.7444444444444462</v>
      </c>
      <c r="N89" s="13">
        <f>IF('Données projet'!$A$36&gt;35,N88+M89-V88,IF(A89&lt;'Données projet'!$A$36,$K$205^A89,IF(A89='Données projet'!$A$36,'Données projet'!$B$36,N88+M89-V88)))</f>
        <v>229.26999999999998</v>
      </c>
      <c r="O89" s="13">
        <f>N89*VLOOKUP('Données projet'!$B$9,Paramètres!$A$1:$I$89,3,0)*VLOOKUP('Données projet'!$B$9,Paramètres!$A$1:$I$89,5,0)</f>
        <v>261.09267599999998</v>
      </c>
      <c r="P89" s="13">
        <f t="shared" si="87"/>
        <v>62.955235443390585</v>
      </c>
      <c r="Q89" s="20">
        <f t="shared" si="54"/>
        <v>564.38344576390512</v>
      </c>
      <c r="R89" s="59">
        <f t="shared" si="55"/>
        <v>857.71677909723849</v>
      </c>
      <c r="S89" s="59">
        <f ca="1">AVERAGE(OFFSET($R$3,0,0,'Données projet'!$E$9+1,1))-AVERAGE(OFFSET($H$3,0,0,'Données projet'!$E$9+1,1))</f>
        <v>593.28343396240075</v>
      </c>
      <c r="T89" s="59">
        <f t="shared" si="88"/>
        <v>289.66477662068695</v>
      </c>
      <c r="U89" s="15">
        <f>IF(ISNA(VLOOKUP(A89,'Données projet'!$A$35:$I$55,3,0)),0,VLOOKUP(A89,'Données projet'!$A$35:$I$55,3,0))</f>
        <v>4</v>
      </c>
      <c r="V89" s="15">
        <f>IF(ISNA(VLOOKUP(A89,'Données projet'!$A$35:$I$55,4,0)),0,VLOOKUP(A89,'Données projet'!$A$35:$I$55,4,0))</f>
        <v>37.54000000000002</v>
      </c>
      <c r="W89" s="16">
        <f>IF(ISNA(VLOOKUP(A89,'Données projet'!$A$35:$I$55,5,0)),0%,VLOOKUP(A89,'Données projet'!$A$35:$I$55,5,0)*VLOOKUP('Données projet'!$B$9,Paramètres!$A$1:$I$89,7,0))</f>
        <v>0.15049999999999999</v>
      </c>
      <c r="X89" s="16">
        <f>IF(ISNA(VLOOKUP(A89,'Données projet'!$A$35:$I$55,6,0)),0%,VLOOKUP(A89,'Données projet'!$A$35:$I$55,6,0)*VLOOKUP('Données projet'!$B$9,Paramètres!$A$1:$I$89,7,0))</f>
        <v>8.6000000000000007E-2</v>
      </c>
      <c r="Y89" s="16">
        <f>IF(ISNA(VLOOKUP(A89,'Données projet'!$A$35:$I$55,7,0)),0%,VLOOKUP(A89,'Données projet'!$A$35:$I$55,7,0))</f>
        <v>0.1</v>
      </c>
      <c r="Z89" s="21">
        <f>EXP(-LN(2)/35)*Z88+(1-EXP(-LN(2)/35))/(LN(2)/35)*V89*W89*VLOOKUP('Données projet'!$B$9,Paramètres!$A$1:$I$89,3,0)*0.475*44/12</f>
        <v>7.1125500761748128</v>
      </c>
      <c r="AA89" s="21">
        <f>EXP(-LN(2)/25)*AA88+(1-EXP(-LN(2)/25))/(LN(2)/25)*Calculateur!V89*Calculateur!X89*VLOOKUP('Données projet'!$B$9,Paramètres!$A$1:$I$89,3,0)*0.475*44/12</f>
        <v>42.113042503936946</v>
      </c>
      <c r="AB89" s="21">
        <f>EXP(-LN(2)/2)*AB88+(1-EXP(-LN(2)/2))/(LN(2)/2)*V89*Y89*VLOOKUP('Données projet'!$B$9,Paramètres!$A$1:$I$89,3,0)*0.475*44/12</f>
        <v>4.383032837267911</v>
      </c>
      <c r="AC89" s="22">
        <f t="shared" si="57"/>
        <v>53.60862541737967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1.1368683772161603E-13</v>
      </c>
      <c r="AJ89" s="13">
        <f>AI89*VLOOKUP('Données projet'!$B$10,Paramètres!$A$1:$I$89,3,0)*VLOOKUP('Données projet'!$B$10,Paramètres!$A$1:$I$89,5,0)</f>
        <v>6.7984728957526396E-14</v>
      </c>
      <c r="AK89" s="13">
        <f t="shared" si="89"/>
        <v>1.0682447123141398E-12</v>
      </c>
      <c r="AL89" s="20">
        <f t="shared" si="58"/>
        <v>1.978932943548152E-12</v>
      </c>
      <c r="AM89" s="59">
        <f t="shared" si="59"/>
        <v>293.3333333333353</v>
      </c>
      <c r="AN89" s="59">
        <f ca="1">AVERAGE(OFFSET($AM$3,0,0,'Données projet'!$E$10+1,1))-AVERAGE(OFFSET($H$3,0,0,'Données projet'!$E$10+1,1))</f>
        <v>302.00825291248458</v>
      </c>
      <c r="AO89" s="59">
        <f t="shared" si="90"/>
        <v>307.35115839449355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82.981898438423016</v>
      </c>
      <c r="AV89" s="21">
        <f>EXP(-LN(2)/25)*AV88+(1-EXP(-LN(2)/25))/(LN(2)/25)*Calculateur!AQ89*Calculateur!AS89*VLOOKUP('Données projet'!$B$10,Paramètres!$A$1:$I$89,3,0)*0.475*44/12</f>
        <v>23.557954629111777</v>
      </c>
      <c r="AW89" s="21">
        <f>EXP(-LN(2)/2)*AW88+(1-EXP(-LN(2)/2))/(LN(2)/2)*AQ89*AT89*VLOOKUP('Données projet'!$B$10,Paramètres!$A$1:$I$89,3,0)*0.475*44/12</f>
        <v>7.3195120633976424E-3</v>
      </c>
      <c r="AX89" s="21">
        <f t="shared" si="60"/>
        <v>106.5471725795982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-2.2737367544323206E-13</v>
      </c>
      <c r="BE89" s="13">
        <f>BD89*VLOOKUP('Données projet'!$B$11,Paramètres!$A$1:$I$89,3,0)*VLOOKUP('Données projet'!$B$11,Paramètres!$A$1:$I$89,5,0)</f>
        <v>-1.3596945791505279E-13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349.71285006949597</v>
      </c>
      <c r="BJ89" s="59">
        <f t="shared" si="92"/>
        <v>258.51550516456842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136.09583903054073</v>
      </c>
      <c r="BQ89" s="21">
        <f>EXP(-LN(2)/25)*BQ88+(1-EXP(-LN(2)/25))/(LN(2)/25)*Calculateur!BL89*Calculateur!BN89*VLOOKUP('Données projet'!$B$11,Paramètres!$A$1:$I$89,3,0)*0.475*44/12</f>
        <v>43.814305091162893</v>
      </c>
      <c r="BR89" s="21">
        <f>EXP(-LN(2)/2)*BR88+(1-EXP(-LN(2)/2))/(LN(2)/2)*BL89*BO89*VLOOKUP('Données projet'!$B$11,Paramètres!$A$1:$I$89,3,0)*0.475*44/12</f>
        <v>8.8395803501510883</v>
      </c>
      <c r="BS89" s="22">
        <f t="shared" si="63"/>
        <v>188.74972447185473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6.7600000000000007</v>
      </c>
      <c r="N90" s="13">
        <f>IF('Données projet'!$A$36&gt;35,N89+M90-V89,IF(A90&lt;'Données projet'!$A$36,$K$205^A90,IF(A90='Données projet'!$A$36,'Données projet'!$B$36,N89+M90-V89)))</f>
        <v>198.48999999999995</v>
      </c>
      <c r="O90" s="13">
        <f>N90*VLOOKUP('Données projet'!$B$9,Paramètres!$A$1:$I$89,3,0)*VLOOKUP('Données projet'!$B$9,Paramètres!$A$1:$I$89,5,0)</f>
        <v>226.04041199999995</v>
      </c>
      <c r="P90" s="13">
        <f t="shared" si="87"/>
        <v>55.425662660889152</v>
      </c>
      <c r="Q90" s="20">
        <f t="shared" si="54"/>
        <v>490.22008003438185</v>
      </c>
      <c r="R90" s="59">
        <f t="shared" si="55"/>
        <v>783.55341336771517</v>
      </c>
      <c r="S90" s="59">
        <f ca="1">AVERAGE(OFFSET($R$3,0,0,'Données projet'!$E$9+1,1))-AVERAGE(OFFSET($H$3,0,0,'Données projet'!$E$9+1,1))</f>
        <v>593.28343396240075</v>
      </c>
      <c r="T90" s="59">
        <f t="shared" si="88"/>
        <v>289.66477662068695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6.9730773074082073</v>
      </c>
      <c r="AA90" s="21">
        <f>EXP(-LN(2)/25)*AA89+(1-EXP(-LN(2)/25))/(LN(2)/25)*Calculateur!V90*Calculateur!X90*VLOOKUP('Données projet'!$B$9,Paramètres!$A$1:$I$89,3,0)*0.475*44/12</f>
        <v>40.961459142038137</v>
      </c>
      <c r="AB90" s="21">
        <f>EXP(-LN(2)/2)*AB89+(1-EXP(-LN(2)/2))/(LN(2)/2)*V90*Y90*VLOOKUP('Données projet'!$B$9,Paramètres!$A$1:$I$89,3,0)*0.475*44/12</f>
        <v>3.0992722413954534</v>
      </c>
      <c r="AC90" s="22">
        <f t="shared" si="57"/>
        <v>51.033808690841795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1.1368683772161603E-13</v>
      </c>
      <c r="AJ90" s="13">
        <f>AI90*VLOOKUP('Données projet'!$B$10,Paramètres!$A$1:$I$89,3,0)*VLOOKUP('Données projet'!$B$10,Paramètres!$A$1:$I$89,5,0)</f>
        <v>6.7984728957526396E-14</v>
      </c>
      <c r="AK90" s="13">
        <f t="shared" si="89"/>
        <v>1.0682447123141398E-12</v>
      </c>
      <c r="AL90" s="20">
        <f t="shared" si="58"/>
        <v>1.978932943548152E-12</v>
      </c>
      <c r="AM90" s="59">
        <f t="shared" si="59"/>
        <v>293.3333333333353</v>
      </c>
      <c r="AN90" s="59">
        <f ca="1">AVERAGE(OFFSET($AM$3,0,0,'Données projet'!$E$10+1,1))-AVERAGE(OFFSET($H$3,0,0,'Données projet'!$E$10+1,1))</f>
        <v>302.00825291248458</v>
      </c>
      <c r="AO90" s="59">
        <f t="shared" si="90"/>
        <v>307.35115839449355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81.354674024005874</v>
      </c>
      <c r="AV90" s="21">
        <f>EXP(-LN(2)/25)*AV89+(1-EXP(-LN(2)/25))/(LN(2)/25)*Calculateur!AQ90*Calculateur!AS90*VLOOKUP('Données projet'!$B$10,Paramètres!$A$1:$I$89,3,0)*0.475*44/12</f>
        <v>22.913761120919723</v>
      </c>
      <c r="AW90" s="21">
        <f>EXP(-LN(2)/2)*AW89+(1-EXP(-LN(2)/2))/(LN(2)/2)*AQ90*AT90*VLOOKUP('Données projet'!$B$10,Paramètres!$A$1:$I$89,3,0)*0.475*44/12</f>
        <v>5.1756766150052123E-3</v>
      </c>
      <c r="AX90" s="21">
        <f t="shared" si="60"/>
        <v>104.27361082154061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-2.2737367544323206E-13</v>
      </c>
      <c r="BE90" s="13">
        <f>BD90*VLOOKUP('Données projet'!$B$11,Paramètres!$A$1:$I$89,3,0)*VLOOKUP('Données projet'!$B$11,Paramètres!$A$1:$I$89,5,0)</f>
        <v>-1.3596945791505279E-13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349.71285006949597</v>
      </c>
      <c r="BJ90" s="59">
        <f t="shared" si="92"/>
        <v>258.51550516456842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133.42708263741704</v>
      </c>
      <c r="BQ90" s="21">
        <f>EXP(-LN(2)/25)*BQ89+(1-EXP(-LN(2)/25))/(LN(2)/25)*Calculateur!BL90*Calculateur!BN90*VLOOKUP('Données projet'!$B$11,Paramètres!$A$1:$I$89,3,0)*0.475*44/12</f>
        <v>42.61620061435088</v>
      </c>
      <c r="BR90" s="21">
        <f>EXP(-LN(2)/2)*BR89+(1-EXP(-LN(2)/2))/(LN(2)/2)*BL90*BO90*VLOOKUP('Données projet'!$B$11,Paramètres!$A$1:$I$89,3,0)*0.475*44/12</f>
        <v>6.2505272084351908</v>
      </c>
      <c r="BS90" s="22">
        <f t="shared" si="63"/>
        <v>182.2938104602031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6.7600000000000007</v>
      </c>
      <c r="N91" s="13">
        <f>IF('Données projet'!$A$36&gt;35,N90+M91-V90,IF(A91&lt;'Données projet'!$A$36,$K$205^A91,IF(A91='Données projet'!$A$36,'Données projet'!$B$36,N90+M91-V90)))</f>
        <v>205.24999999999994</v>
      </c>
      <c r="O91" s="13">
        <f>N91*VLOOKUP('Données projet'!$B$9,Paramètres!$A$1:$I$89,3,0)*VLOOKUP('Données projet'!$B$9,Paramètres!$A$1:$I$89,5,0)</f>
        <v>233.73869999999994</v>
      </c>
      <c r="P91" s="13">
        <f t="shared" si="87"/>
        <v>57.090315684407514</v>
      </c>
      <c r="Q91" s="20">
        <f t="shared" si="54"/>
        <v>506.52720231700965</v>
      </c>
      <c r="R91" s="59">
        <f t="shared" si="55"/>
        <v>799.86053565034297</v>
      </c>
      <c r="S91" s="59">
        <f ca="1">AVERAGE(OFFSET($R$3,0,0,'Données projet'!$E$9+1,1))-AVERAGE(OFFSET($H$3,0,0,'Données projet'!$E$9+1,1))</f>
        <v>593.28343396240075</v>
      </c>
      <c r="T91" s="59">
        <f t="shared" si="88"/>
        <v>289.66477662068695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6.8363395145671255</v>
      </c>
      <c r="AA91" s="21">
        <f>EXP(-LN(2)/25)*AA90+(1-EXP(-LN(2)/25))/(LN(2)/25)*Calculateur!V91*Calculateur!X91*VLOOKUP('Données projet'!$B$9,Paramètres!$A$1:$I$89,3,0)*0.475*44/12</f>
        <v>39.841365887729587</v>
      </c>
      <c r="AB91" s="21">
        <f>EXP(-LN(2)/2)*AB90+(1-EXP(-LN(2)/2))/(LN(2)/2)*V91*Y91*VLOOKUP('Données projet'!$B$9,Paramètres!$A$1:$I$89,3,0)*0.475*44/12</f>
        <v>2.1915164186339555</v>
      </c>
      <c r="AC91" s="22">
        <f t="shared" si="57"/>
        <v>48.869221820930662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1.1368683772161603E-13</v>
      </c>
      <c r="AJ91" s="13">
        <f>AI91*VLOOKUP('Données projet'!$B$10,Paramètres!$A$1:$I$89,3,0)*VLOOKUP('Données projet'!$B$10,Paramètres!$A$1:$I$89,5,0)</f>
        <v>6.7984728957526396E-14</v>
      </c>
      <c r="AK91" s="13">
        <f t="shared" si="89"/>
        <v>1.0682447123141398E-12</v>
      </c>
      <c r="AL91" s="20">
        <f t="shared" si="58"/>
        <v>1.978932943548152E-12</v>
      </c>
      <c r="AM91" s="59">
        <f t="shared" si="59"/>
        <v>293.3333333333353</v>
      </c>
      <c r="AN91" s="59">
        <f ca="1">AVERAGE(OFFSET($AM$3,0,0,'Données projet'!$E$10+1,1))-AVERAGE(OFFSET($H$3,0,0,'Données projet'!$E$10+1,1))</f>
        <v>302.00825291248458</v>
      </c>
      <c r="AO91" s="59">
        <f t="shared" si="90"/>
        <v>307.35115839449355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79.759358487846555</v>
      </c>
      <c r="AV91" s="21">
        <f>EXP(-LN(2)/25)*AV90+(1-EXP(-LN(2)/25))/(LN(2)/25)*Calculateur!AQ91*Calculateur!AS91*VLOOKUP('Données projet'!$B$10,Paramètres!$A$1:$I$89,3,0)*0.475*44/12</f>
        <v>22.287183118085846</v>
      </c>
      <c r="AW91" s="21">
        <f>EXP(-LN(2)/2)*AW90+(1-EXP(-LN(2)/2))/(LN(2)/2)*AQ91*AT91*VLOOKUP('Données projet'!$B$10,Paramètres!$A$1:$I$89,3,0)*0.475*44/12</f>
        <v>3.6597560316988216E-3</v>
      </c>
      <c r="AX91" s="21">
        <f t="shared" si="60"/>
        <v>102.0502013619641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-2.2737367544323206E-13</v>
      </c>
      <c r="BE91" s="13">
        <f>BD91*VLOOKUP('Données projet'!$B$11,Paramètres!$A$1:$I$89,3,0)*VLOOKUP('Données projet'!$B$11,Paramètres!$A$1:$I$89,5,0)</f>
        <v>-1.3596945791505279E-13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349.71285006949597</v>
      </c>
      <c r="BJ91" s="59">
        <f t="shared" si="92"/>
        <v>258.51550516456842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130.81065892938184</v>
      </c>
      <c r="BQ91" s="21">
        <f>EXP(-LN(2)/25)*BQ90+(1-EXP(-LN(2)/25))/(LN(2)/25)*Calculateur!BL91*Calculateur!BN91*VLOOKUP('Données projet'!$B$11,Paramètres!$A$1:$I$89,3,0)*0.475*44/12</f>
        <v>41.450858367462864</v>
      </c>
      <c r="BR91" s="21">
        <f>EXP(-LN(2)/2)*BR90+(1-EXP(-LN(2)/2))/(LN(2)/2)*BL91*BO91*VLOOKUP('Données projet'!$B$11,Paramètres!$A$1:$I$89,3,0)*0.475*44/12</f>
        <v>4.4197901750755442</v>
      </c>
      <c r="BS91" s="22">
        <f t="shared" si="63"/>
        <v>176.68130747192026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6.7600000000000007</v>
      </c>
      <c r="N92" s="13">
        <f>IF('Données projet'!$A$36&gt;35,N91+M92-V91,IF(A92&lt;'Données projet'!$A$36,$K$205^A92,IF(A92='Données projet'!$A$36,'Données projet'!$B$36,N91+M92-V91)))</f>
        <v>212.00999999999993</v>
      </c>
      <c r="O92" s="13">
        <f>N92*VLOOKUP('Données projet'!$B$9,Paramètres!$A$1:$I$89,3,0)*VLOOKUP('Données projet'!$B$9,Paramètres!$A$1:$I$89,5,0)</f>
        <v>241.43698799999993</v>
      </c>
      <c r="P92" s="13">
        <f t="shared" si="87"/>
        <v>58.748597951768716</v>
      </c>
      <c r="Q92" s="20">
        <f t="shared" si="54"/>
        <v>522.82322886599707</v>
      </c>
      <c r="R92" s="59">
        <f t="shared" si="55"/>
        <v>816.15656219933044</v>
      </c>
      <c r="S92" s="59">
        <f ca="1">AVERAGE(OFFSET($R$3,0,0,'Données projet'!$E$9+1,1))-AVERAGE(OFFSET($H$3,0,0,'Données projet'!$E$9+1,1))</f>
        <v>593.28343396240075</v>
      </c>
      <c r="T92" s="59">
        <f t="shared" si="88"/>
        <v>289.66477662068695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6.7022830664418391</v>
      </c>
      <c r="AA92" s="21">
        <f>EXP(-LN(2)/25)*AA91+(1-EXP(-LN(2)/25))/(LN(2)/25)*Calculateur!V92*Calculateur!X92*VLOOKUP('Données projet'!$B$9,Paramètres!$A$1:$I$89,3,0)*0.475*44/12</f>
        <v>38.751901642363251</v>
      </c>
      <c r="AB92" s="21">
        <f>EXP(-LN(2)/2)*AB91+(1-EXP(-LN(2)/2))/(LN(2)/2)*V92*Y92*VLOOKUP('Données projet'!$B$9,Paramètres!$A$1:$I$89,3,0)*0.475*44/12</f>
        <v>1.5496361206977267</v>
      </c>
      <c r="AC92" s="22">
        <f t="shared" si="57"/>
        <v>47.003820829502814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1.1368683772161603E-13</v>
      </c>
      <c r="AJ92" s="13">
        <f>AI92*VLOOKUP('Données projet'!$B$10,Paramètres!$A$1:$I$89,3,0)*VLOOKUP('Données projet'!$B$10,Paramètres!$A$1:$I$89,5,0)</f>
        <v>6.7984728957526396E-14</v>
      </c>
      <c r="AK92" s="13">
        <f t="shared" si="89"/>
        <v>1.0682447123141398E-12</v>
      </c>
      <c r="AL92" s="20">
        <f t="shared" si="58"/>
        <v>1.978932943548152E-12</v>
      </c>
      <c r="AM92" s="59">
        <f t="shared" si="59"/>
        <v>293.3333333333353</v>
      </c>
      <c r="AN92" s="59">
        <f ca="1">AVERAGE(OFFSET($AM$3,0,0,'Données projet'!$E$10+1,1))-AVERAGE(OFFSET($H$3,0,0,'Données projet'!$E$10+1,1))</f>
        <v>302.00825291248458</v>
      </c>
      <c r="AO92" s="59">
        <f t="shared" si="90"/>
        <v>307.35115839449355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78.195326116304926</v>
      </c>
      <c r="AV92" s="21">
        <f>EXP(-LN(2)/25)*AV91+(1-EXP(-LN(2)/25))/(LN(2)/25)*Calculateur!AQ92*Calculateur!AS92*VLOOKUP('Données projet'!$B$10,Paramètres!$A$1:$I$89,3,0)*0.475*44/12</f>
        <v>21.677738923689766</v>
      </c>
      <c r="AW92" s="21">
        <f>EXP(-LN(2)/2)*AW91+(1-EXP(-LN(2)/2))/(LN(2)/2)*AQ92*AT92*VLOOKUP('Données projet'!$B$10,Paramètres!$A$1:$I$89,3,0)*0.475*44/12</f>
        <v>2.5878383075026061E-3</v>
      </c>
      <c r="AX92" s="21">
        <f t="shared" si="60"/>
        <v>99.875652878302191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-2.2737367544323206E-13</v>
      </c>
      <c r="BE92" s="13">
        <f>BD92*VLOOKUP('Données projet'!$B$11,Paramètres!$A$1:$I$89,3,0)*VLOOKUP('Données projet'!$B$11,Paramètres!$A$1:$I$89,5,0)</f>
        <v>-1.3596945791505279E-13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349.71285006949597</v>
      </c>
      <c r="BJ92" s="59">
        <f t="shared" si="92"/>
        <v>258.51550516456842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128.24554169440034</v>
      </c>
      <c r="BQ92" s="21">
        <f>EXP(-LN(2)/25)*BQ91+(1-EXP(-LN(2)/25))/(LN(2)/25)*Calculateur!BL92*Calculateur!BN92*VLOOKUP('Données projet'!$B$11,Paramètres!$A$1:$I$89,3,0)*0.475*44/12</f>
        <v>40.317382465598691</v>
      </c>
      <c r="BR92" s="21">
        <f>EXP(-LN(2)/2)*BR91+(1-EXP(-LN(2)/2))/(LN(2)/2)*BL92*BO92*VLOOKUP('Données projet'!$B$11,Paramètres!$A$1:$I$89,3,0)*0.475*44/12</f>
        <v>3.1252636042175954</v>
      </c>
      <c r="BS92" s="22">
        <f t="shared" si="63"/>
        <v>171.68818776421662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6.7600000000000007</v>
      </c>
      <c r="N93" s="13">
        <f>IF('Données projet'!$A$36&gt;35,N92+M93-V92,IF(A93&lt;'Données projet'!$A$36,$K$205^A93,IF(A93='Données projet'!$A$36,'Données projet'!$B$36,N92+M93-V92)))</f>
        <v>218.76999999999992</v>
      </c>
      <c r="O93" s="13">
        <f>N93*VLOOKUP('Données projet'!$B$9,Paramètres!$A$1:$I$89,3,0)*VLOOKUP('Données projet'!$B$9,Paramètres!$A$1:$I$89,5,0)</f>
        <v>249.13527599999992</v>
      </c>
      <c r="P93" s="13">
        <f t="shared" si="87"/>
        <v>60.4007358986577</v>
      </c>
      <c r="Q93" s="20">
        <f t="shared" si="54"/>
        <v>539.10855405682867</v>
      </c>
      <c r="R93" s="59">
        <f t="shared" si="55"/>
        <v>832.44188739016204</v>
      </c>
      <c r="S93" s="59">
        <f ca="1">AVERAGE(OFFSET($R$3,0,0,'Données projet'!$E$9+1,1))-AVERAGE(OFFSET($H$3,0,0,'Données projet'!$E$9+1,1))</f>
        <v>593.28343396240075</v>
      </c>
      <c r="T93" s="59">
        <f t="shared" si="88"/>
        <v>289.66477662068695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6.5708553834979302</v>
      </c>
      <c r="AA93" s="21">
        <f>EXP(-LN(2)/25)*AA92+(1-EXP(-LN(2)/25))/(LN(2)/25)*Calculateur!V93*Calculateur!X93*VLOOKUP('Données projet'!$B$9,Paramètres!$A$1:$I$89,3,0)*0.475*44/12</f>
        <v>37.692228854078891</v>
      </c>
      <c r="AB93" s="21">
        <f>EXP(-LN(2)/2)*AB92+(1-EXP(-LN(2)/2))/(LN(2)/2)*V93*Y93*VLOOKUP('Données projet'!$B$9,Paramètres!$A$1:$I$89,3,0)*0.475*44/12</f>
        <v>1.0957582093169778</v>
      </c>
      <c r="AC93" s="22">
        <f t="shared" si="57"/>
        <v>45.358842446893796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1.1368683772161603E-13</v>
      </c>
      <c r="AJ93" s="13">
        <f>AI93*VLOOKUP('Données projet'!$B$10,Paramètres!$A$1:$I$89,3,0)*VLOOKUP('Données projet'!$B$10,Paramètres!$A$1:$I$89,5,0)</f>
        <v>6.7984728957526396E-14</v>
      </c>
      <c r="AK93" s="13">
        <f t="shared" si="89"/>
        <v>1.0682447123141398E-12</v>
      </c>
      <c r="AL93" s="20">
        <f t="shared" si="58"/>
        <v>1.978932943548152E-12</v>
      </c>
      <c r="AM93" s="59">
        <f t="shared" si="59"/>
        <v>293.3333333333353</v>
      </c>
      <c r="AN93" s="59">
        <f ca="1">AVERAGE(OFFSET($AM$3,0,0,'Données projet'!$E$10+1,1))-AVERAGE(OFFSET($H$3,0,0,'Données projet'!$E$10+1,1))</f>
        <v>302.00825291248458</v>
      </c>
      <c r="AO93" s="59">
        <f t="shared" si="90"/>
        <v>307.35115839449355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76.661963465603677</v>
      </c>
      <c r="AV93" s="21">
        <f>EXP(-LN(2)/25)*AV92+(1-EXP(-LN(2)/25))/(LN(2)/25)*Calculateur!AQ93*Calculateur!AS93*VLOOKUP('Données projet'!$B$10,Paramètres!$A$1:$I$89,3,0)*0.475*44/12</f>
        <v>21.084960012838724</v>
      </c>
      <c r="AW93" s="21">
        <f>EXP(-LN(2)/2)*AW92+(1-EXP(-LN(2)/2))/(LN(2)/2)*AQ93*AT93*VLOOKUP('Données projet'!$B$10,Paramètres!$A$1:$I$89,3,0)*0.475*44/12</f>
        <v>1.8298780158494108E-3</v>
      </c>
      <c r="AX93" s="21">
        <f t="shared" si="60"/>
        <v>97.748753356458252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-2.2737367544323206E-13</v>
      </c>
      <c r="BE93" s="13">
        <f>BD93*VLOOKUP('Données projet'!$B$11,Paramètres!$A$1:$I$89,3,0)*VLOOKUP('Données projet'!$B$11,Paramètres!$A$1:$I$89,5,0)</f>
        <v>-1.3596945791505279E-13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349.71285006949597</v>
      </c>
      <c r="BJ93" s="59">
        <f t="shared" si="92"/>
        <v>258.51550516456842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125.7307248438298</v>
      </c>
      <c r="BQ93" s="21">
        <f>EXP(-LN(2)/25)*BQ92+(1-EXP(-LN(2)/25))/(LN(2)/25)*Calculateur!BL93*Calculateur!BN93*VLOOKUP('Données projet'!$B$11,Paramètres!$A$1:$I$89,3,0)*0.475*44/12</f>
        <v>39.214901521877898</v>
      </c>
      <c r="BR93" s="21">
        <f>EXP(-LN(2)/2)*BR92+(1-EXP(-LN(2)/2))/(LN(2)/2)*BL93*BO93*VLOOKUP('Données projet'!$B$11,Paramètres!$A$1:$I$89,3,0)*0.475*44/12</f>
        <v>2.2098950875377721</v>
      </c>
      <c r="BS93" s="22">
        <f t="shared" si="63"/>
        <v>167.15552145324548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6.7600000000000007</v>
      </c>
      <c r="N94" s="13">
        <f>IF('Données projet'!$A$36&gt;35,N93+M94-V93,IF(A94&lt;'Données projet'!$A$36,$K$205^A94,IF(A94='Données projet'!$A$36,'Données projet'!$B$36,N93+M94-V93)))</f>
        <v>225.52999999999992</v>
      </c>
      <c r="O94" s="13">
        <f>N94*VLOOKUP('Données projet'!$B$9,Paramètres!$A$1:$I$89,3,0)*VLOOKUP('Données projet'!$B$9,Paramètres!$A$1:$I$89,5,0)</f>
        <v>256.83356399999991</v>
      </c>
      <c r="P94" s="13">
        <f t="shared" si="87"/>
        <v>62.046941172045024</v>
      </c>
      <c r="Q94" s="20">
        <f t="shared" si="54"/>
        <v>555.38354650797817</v>
      </c>
      <c r="R94" s="59">
        <f t="shared" si="55"/>
        <v>848.71687984131154</v>
      </c>
      <c r="S94" s="59">
        <f ca="1">AVERAGE(OFFSET($R$3,0,0,'Données projet'!$E$9+1,1))-AVERAGE(OFFSET($H$3,0,0,'Données projet'!$E$9+1,1))</f>
        <v>593.28343396240075</v>
      </c>
      <c r="T94" s="59">
        <f t="shared" si="88"/>
        <v>289.66477662068695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6.4420049172535796</v>
      </c>
      <c r="AA94" s="21">
        <f>EXP(-LN(2)/25)*AA93+(1-EXP(-LN(2)/25))/(LN(2)/25)*Calculateur!V94*Calculateur!X94*VLOOKUP('Données projet'!$B$9,Paramètres!$A$1:$I$89,3,0)*0.475*44/12</f>
        <v>36.661532873915938</v>
      </c>
      <c r="AB94" s="21">
        <f>EXP(-LN(2)/2)*AB93+(1-EXP(-LN(2)/2))/(LN(2)/2)*V94*Y94*VLOOKUP('Données projet'!$B$9,Paramètres!$A$1:$I$89,3,0)*0.475*44/12</f>
        <v>0.77481806034886336</v>
      </c>
      <c r="AC94" s="22">
        <f t="shared" si="57"/>
        <v>43.878355851518378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1.1368683772161603E-13</v>
      </c>
      <c r="AJ94" s="13">
        <f>AI94*VLOOKUP('Données projet'!$B$10,Paramètres!$A$1:$I$89,3,0)*VLOOKUP('Données projet'!$B$10,Paramètres!$A$1:$I$89,5,0)</f>
        <v>6.7984728957526396E-14</v>
      </c>
      <c r="AK94" s="13">
        <f t="shared" si="89"/>
        <v>1.0682447123141398E-12</v>
      </c>
      <c r="AL94" s="20">
        <f t="shared" si="58"/>
        <v>1.978932943548152E-12</v>
      </c>
      <c r="AM94" s="59">
        <f t="shared" si="59"/>
        <v>293.3333333333353</v>
      </c>
      <c r="AN94" s="59">
        <f ca="1">AVERAGE(OFFSET($AM$3,0,0,'Données projet'!$E$10+1,1))-AVERAGE(OFFSET($H$3,0,0,'Données projet'!$E$10+1,1))</f>
        <v>302.00825291248458</v>
      </c>
      <c r="AO94" s="59">
        <f t="shared" si="90"/>
        <v>307.35115839449355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75.158669121223824</v>
      </c>
      <c r="AV94" s="21">
        <f>EXP(-LN(2)/25)*AV93+(1-EXP(-LN(2)/25))/(LN(2)/25)*Calculateur!AQ94*Calculateur!AS94*VLOOKUP('Données projet'!$B$10,Paramètres!$A$1:$I$89,3,0)*0.475*44/12</f>
        <v>20.508390672477791</v>
      </c>
      <c r="AW94" s="21">
        <f>EXP(-LN(2)/2)*AW93+(1-EXP(-LN(2)/2))/(LN(2)/2)*AQ94*AT94*VLOOKUP('Données projet'!$B$10,Paramètres!$A$1:$I$89,3,0)*0.475*44/12</f>
        <v>1.2939191537513031E-3</v>
      </c>
      <c r="AX94" s="21">
        <f t="shared" si="60"/>
        <v>95.668353712855364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-2.2737367544323206E-13</v>
      </c>
      <c r="BE94" s="13">
        <f>BD94*VLOOKUP('Données projet'!$B$11,Paramètres!$A$1:$I$89,3,0)*VLOOKUP('Données projet'!$B$11,Paramètres!$A$1:$I$89,5,0)</f>
        <v>-1.3596945791505279E-13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349.71285006949597</v>
      </c>
      <c r="BJ94" s="59">
        <f t="shared" si="92"/>
        <v>258.51550516456842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123.26522201781214</v>
      </c>
      <c r="BQ94" s="21">
        <f>EXP(-LN(2)/25)*BQ93+(1-EXP(-LN(2)/25))/(LN(2)/25)*Calculateur!BL94*Calculateur!BN94*VLOOKUP('Données projet'!$B$11,Paramètres!$A$1:$I$89,3,0)*0.475*44/12</f>
        <v>38.142567977540104</v>
      </c>
      <c r="BR94" s="21">
        <f>EXP(-LN(2)/2)*BR93+(1-EXP(-LN(2)/2))/(LN(2)/2)*BL94*BO94*VLOOKUP('Données projet'!$B$11,Paramètres!$A$1:$I$89,3,0)*0.475*44/12</f>
        <v>1.5626318021087977</v>
      </c>
      <c r="BS94" s="22">
        <f t="shared" si="63"/>
        <v>162.97042179746103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6.7600000000000007</v>
      </c>
      <c r="N95" s="13">
        <f>IF('Données projet'!$A$36&gt;35,N94+M95-V94,IF(A95&lt;'Données projet'!$A$36,$K$205^A95,IF(A95='Données projet'!$A$36,'Données projet'!$B$36,N94+M95-V94)))</f>
        <v>232.28999999999991</v>
      </c>
      <c r="O95" s="13">
        <f>N95*VLOOKUP('Données projet'!$B$9,Paramètres!$A$1:$I$89,3,0)*VLOOKUP('Données projet'!$B$9,Paramètres!$A$1:$I$89,5,0)</f>
        <v>264.5318519999999</v>
      </c>
      <c r="P95" s="13">
        <f t="shared" si="87"/>
        <v>63.687412010040255</v>
      </c>
      <c r="Q95" s="20">
        <f t="shared" si="54"/>
        <v>571.64855148415324</v>
      </c>
      <c r="R95" s="59">
        <f t="shared" si="55"/>
        <v>864.98188481748662</v>
      </c>
      <c r="S95" s="59">
        <f ca="1">AVERAGE(OFFSET($R$3,0,0,'Données projet'!$E$9+1,1))-AVERAGE(OFFSET($H$3,0,0,'Données projet'!$E$9+1,1))</f>
        <v>593.28343396240075</v>
      </c>
      <c r="T95" s="59">
        <f t="shared" si="88"/>
        <v>289.66477662068695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6.3156811300612565</v>
      </c>
      <c r="AA95" s="21">
        <f>EXP(-LN(2)/25)*AA94+(1-EXP(-LN(2)/25))/(LN(2)/25)*Calculateur!V95*Calculateur!X95*VLOOKUP('Données projet'!$B$9,Paramètres!$A$1:$I$89,3,0)*0.475*44/12</f>
        <v>35.659021329532486</v>
      </c>
      <c r="AB95" s="21">
        <f>EXP(-LN(2)/2)*AB94+(1-EXP(-LN(2)/2))/(LN(2)/2)*V95*Y95*VLOOKUP('Données projet'!$B$9,Paramètres!$A$1:$I$89,3,0)*0.475*44/12</f>
        <v>0.54787910465848888</v>
      </c>
      <c r="AC95" s="22">
        <f t="shared" si="57"/>
        <v>42.522581564252235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1.1368683772161603E-13</v>
      </c>
      <c r="AJ95" s="13">
        <f>AI95*VLOOKUP('Données projet'!$B$10,Paramètres!$A$1:$I$89,3,0)*VLOOKUP('Données projet'!$B$10,Paramètres!$A$1:$I$89,5,0)</f>
        <v>6.7984728957526396E-14</v>
      </c>
      <c r="AK95" s="13">
        <f t="shared" si="89"/>
        <v>1.0682447123141398E-12</v>
      </c>
      <c r="AL95" s="20">
        <f t="shared" si="58"/>
        <v>1.978932943548152E-12</v>
      </c>
      <c r="AM95" s="59">
        <f t="shared" si="59"/>
        <v>293.3333333333353</v>
      </c>
      <c r="AN95" s="59">
        <f ca="1">AVERAGE(OFFSET($AM$3,0,0,'Données projet'!$E$10+1,1))-AVERAGE(OFFSET($H$3,0,0,'Données projet'!$E$10+1,1))</f>
        <v>302.00825291248458</v>
      </c>
      <c r="AO95" s="59">
        <f t="shared" si="90"/>
        <v>307.35115839449355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73.684853462018239</v>
      </c>
      <c r="AV95" s="21">
        <f>EXP(-LN(2)/25)*AV94+(1-EXP(-LN(2)/25))/(LN(2)/25)*Calculateur!AQ95*Calculateur!AS95*VLOOKUP('Données projet'!$B$10,Paramètres!$A$1:$I$89,3,0)*0.475*44/12</f>
        <v>19.947587651049492</v>
      </c>
      <c r="AW95" s="21">
        <f>EXP(-LN(2)/2)*AW94+(1-EXP(-LN(2)/2))/(LN(2)/2)*AQ95*AT95*VLOOKUP('Données projet'!$B$10,Paramètres!$A$1:$I$89,3,0)*0.475*44/12</f>
        <v>9.1493900792470541E-4</v>
      </c>
      <c r="AX95" s="21">
        <f t="shared" si="60"/>
        <v>93.633356052075655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-2.2737367544323206E-13</v>
      </c>
      <c r="BE95" s="13">
        <f>BD95*VLOOKUP('Données projet'!$B$11,Paramètres!$A$1:$I$89,3,0)*VLOOKUP('Données projet'!$B$11,Paramètres!$A$1:$I$89,5,0)</f>
        <v>-1.3596945791505279E-13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349.71285006949597</v>
      </c>
      <c r="BJ95" s="59">
        <f t="shared" si="92"/>
        <v>258.51550516456842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120.84806619840442</v>
      </c>
      <c r="BQ95" s="21">
        <f>EXP(-LN(2)/25)*BQ94+(1-EXP(-LN(2)/25))/(LN(2)/25)*Calculateur!BL95*Calculateur!BN95*VLOOKUP('Données projet'!$B$11,Paramètres!$A$1:$I$89,3,0)*0.475*44/12</f>
        <v>37.099557450363797</v>
      </c>
      <c r="BR95" s="21">
        <f>EXP(-LN(2)/2)*BR94+(1-EXP(-LN(2)/2))/(LN(2)/2)*BL95*BO95*VLOOKUP('Données projet'!$B$11,Paramètres!$A$1:$I$89,3,0)*0.475*44/12</f>
        <v>1.104947543768886</v>
      </c>
      <c r="BS95" s="22">
        <f t="shared" si="63"/>
        <v>159.0525711925371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6.7600000000000007</v>
      </c>
      <c r="N96" s="13">
        <f>IF('Données projet'!$A$36&gt;35,N95+M96-V95,IF(A96&lt;'Données projet'!$A$36,$K$205^A96,IF(A96='Données projet'!$A$36,'Données projet'!$B$36,N95+M96-V95)))</f>
        <v>239.0499999999999</v>
      </c>
      <c r="O96" s="13">
        <f>N96*VLOOKUP('Données projet'!$B$9,Paramètres!$A$1:$I$89,3,0)*VLOOKUP('Données projet'!$B$9,Paramètres!$A$1:$I$89,5,0)</f>
        <v>272.23013999999989</v>
      </c>
      <c r="P96" s="13">
        <f t="shared" si="87"/>
        <v>65.322334456608132</v>
      </c>
      <c r="Q96" s="20">
        <f t="shared" si="54"/>
        <v>587.90389301192556</v>
      </c>
      <c r="R96" s="59">
        <f t="shared" si="55"/>
        <v>881.23722634525893</v>
      </c>
      <c r="S96" s="59">
        <f ca="1">AVERAGE(OFFSET($R$3,0,0,'Données projet'!$E$9+1,1))-AVERAGE(OFFSET($H$3,0,0,'Données projet'!$E$9+1,1))</f>
        <v>593.28343396240075</v>
      </c>
      <c r="T96" s="59">
        <f t="shared" si="88"/>
        <v>289.66477662068695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6.1918344752858729</v>
      </c>
      <c r="AA96" s="21">
        <f>EXP(-LN(2)/25)*AA95+(1-EXP(-LN(2)/25))/(LN(2)/25)*Calculateur!V96*Calculateur!X96*VLOOKUP('Données projet'!$B$9,Paramètres!$A$1:$I$89,3,0)*0.475*44/12</f>
        <v>34.683923516049987</v>
      </c>
      <c r="AB96" s="21">
        <f>EXP(-LN(2)/2)*AB95+(1-EXP(-LN(2)/2))/(LN(2)/2)*V96*Y96*VLOOKUP('Données projet'!$B$9,Paramètres!$A$1:$I$89,3,0)*0.475*44/12</f>
        <v>0.38740903017443168</v>
      </c>
      <c r="AC96" s="22">
        <f t="shared" si="57"/>
        <v>41.263167021510291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1.1368683772161603E-13</v>
      </c>
      <c r="AJ96" s="13">
        <f>AI96*VLOOKUP('Données projet'!$B$10,Paramètres!$A$1:$I$89,3,0)*VLOOKUP('Données projet'!$B$10,Paramètres!$A$1:$I$89,5,0)</f>
        <v>6.7984728957526396E-14</v>
      </c>
      <c r="AK96" s="13">
        <f t="shared" si="89"/>
        <v>1.0682447123141398E-12</v>
      </c>
      <c r="AL96" s="20">
        <f t="shared" si="58"/>
        <v>1.978932943548152E-12</v>
      </c>
      <c r="AM96" s="59">
        <f t="shared" si="59"/>
        <v>293.3333333333353</v>
      </c>
      <c r="AN96" s="59">
        <f ca="1">AVERAGE(OFFSET($AM$3,0,0,'Données projet'!$E$10+1,1))-AVERAGE(OFFSET($H$3,0,0,'Données projet'!$E$10+1,1))</f>
        <v>302.00825291248458</v>
      </c>
      <c r="AO96" s="59">
        <f t="shared" si="90"/>
        <v>307.35115839449355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72.239938428950893</v>
      </c>
      <c r="AV96" s="21">
        <f>EXP(-LN(2)/25)*AV95+(1-EXP(-LN(2)/25))/(LN(2)/25)*Calculateur!AQ96*Calculateur!AS96*VLOOKUP('Données projet'!$B$10,Paramètres!$A$1:$I$89,3,0)*0.475*44/12</f>
        <v>19.402119817733499</v>
      </c>
      <c r="AW96" s="21">
        <f>EXP(-LN(2)/2)*AW95+(1-EXP(-LN(2)/2))/(LN(2)/2)*AQ96*AT96*VLOOKUP('Données projet'!$B$10,Paramètres!$A$1:$I$89,3,0)*0.475*44/12</f>
        <v>6.4695957687565153E-4</v>
      </c>
      <c r="AX96" s="21">
        <f t="shared" si="60"/>
        <v>91.642705206261269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-2.2737367544323206E-13</v>
      </c>
      <c r="BE96" s="13">
        <f>BD96*VLOOKUP('Données projet'!$B$11,Paramètres!$A$1:$I$89,3,0)*VLOOKUP('Données projet'!$B$11,Paramètres!$A$1:$I$89,5,0)</f>
        <v>-1.3596945791505279E-13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349.71285006949597</v>
      </c>
      <c r="BJ96" s="59">
        <f t="shared" si="92"/>
        <v>258.51550516456842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118.47830933029583</v>
      </c>
      <c r="BQ96" s="21">
        <f>EXP(-LN(2)/25)*BQ95+(1-EXP(-LN(2)/25))/(LN(2)/25)*Calculateur!BL96*Calculateur!BN96*VLOOKUP('Données projet'!$B$11,Paramètres!$A$1:$I$89,3,0)*0.475*44/12</f>
        <v>36.085068100902667</v>
      </c>
      <c r="BR96" s="21">
        <f>EXP(-LN(2)/2)*BR95+(1-EXP(-LN(2)/2))/(LN(2)/2)*BL96*BO96*VLOOKUP('Données projet'!$B$11,Paramètres!$A$1:$I$89,3,0)*0.475*44/12</f>
        <v>0.78131590105439885</v>
      </c>
      <c r="BS96" s="22">
        <f t="shared" si="63"/>
        <v>155.34469333225289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6.7600000000000007</v>
      </c>
      <c r="N97" s="13">
        <f>IF('Données projet'!$A$36&gt;35,N96+M97-V96,IF(A97&lt;'Données projet'!$A$36,$K$205^A97,IF(A97='Données projet'!$A$36,'Données projet'!$B$36,N96+M97-V96)))</f>
        <v>245.80999999999989</v>
      </c>
      <c r="O97" s="13">
        <f>N97*VLOOKUP('Données projet'!$B$9,Paramètres!$A$1:$I$89,3,0)*VLOOKUP('Données projet'!$B$9,Paramètres!$A$1:$I$89,5,0)</f>
        <v>279.92842799999988</v>
      </c>
      <c r="P97" s="13">
        <f t="shared" si="87"/>
        <v>66.951883435020946</v>
      </c>
      <c r="Q97" s="20">
        <f t="shared" si="54"/>
        <v>604.14987574932786</v>
      </c>
      <c r="R97" s="59">
        <f t="shared" si="55"/>
        <v>897.48320908266123</v>
      </c>
      <c r="S97" s="59">
        <f ca="1">AVERAGE(OFFSET($R$3,0,0,'Données projet'!$E$9+1,1))-AVERAGE(OFFSET($H$3,0,0,'Données projet'!$E$9+1,1))</f>
        <v>593.28343396240075</v>
      </c>
      <c r="T97" s="59">
        <f t="shared" si="88"/>
        <v>289.66477662068695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6.0704163778716342</v>
      </c>
      <c r="AA97" s="21">
        <f>EXP(-LN(2)/25)*AA96+(1-EXP(-LN(2)/25))/(LN(2)/25)*Calculateur!V97*Calculateur!X97*VLOOKUP('Données projet'!$B$9,Paramètres!$A$1:$I$89,3,0)*0.475*44/12</f>
        <v>33.735489803555332</v>
      </c>
      <c r="AB97" s="21">
        <f>EXP(-LN(2)/2)*AB96+(1-EXP(-LN(2)/2))/(LN(2)/2)*V97*Y97*VLOOKUP('Données projet'!$B$9,Paramètres!$A$1:$I$89,3,0)*0.475*44/12</f>
        <v>0.27393955232924444</v>
      </c>
      <c r="AC97" s="22">
        <f t="shared" si="57"/>
        <v>40.079845733756208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1.1368683772161603E-13</v>
      </c>
      <c r="AJ97" s="13">
        <f>AI97*VLOOKUP('Données projet'!$B$10,Paramètres!$A$1:$I$89,3,0)*VLOOKUP('Données projet'!$B$10,Paramètres!$A$1:$I$89,5,0)</f>
        <v>6.7984728957526396E-14</v>
      </c>
      <c r="AK97" s="13">
        <f t="shared" si="89"/>
        <v>1.0682447123141398E-12</v>
      </c>
      <c r="AL97" s="20">
        <f t="shared" si="58"/>
        <v>1.978932943548152E-12</v>
      </c>
      <c r="AM97" s="59">
        <f t="shared" si="59"/>
        <v>293.3333333333353</v>
      </c>
      <c r="AN97" s="59">
        <f ca="1">AVERAGE(OFFSET($AM$3,0,0,'Données projet'!$E$10+1,1))-AVERAGE(OFFSET($H$3,0,0,'Données projet'!$E$10+1,1))</f>
        <v>302.00825291248458</v>
      </c>
      <c r="AO97" s="59">
        <f t="shared" si="90"/>
        <v>307.35115839449355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70.823357298370851</v>
      </c>
      <c r="AV97" s="21">
        <f>EXP(-LN(2)/25)*AV96+(1-EXP(-LN(2)/25))/(LN(2)/25)*Calculateur!AQ97*Calculateur!AS97*VLOOKUP('Données projet'!$B$10,Paramètres!$A$1:$I$89,3,0)*0.475*44/12</f>
        <v>18.871567831004441</v>
      </c>
      <c r="AW97" s="21">
        <f>EXP(-LN(2)/2)*AW96+(1-EXP(-LN(2)/2))/(LN(2)/2)*AQ97*AT97*VLOOKUP('Données projet'!$B$10,Paramètres!$A$1:$I$89,3,0)*0.475*44/12</f>
        <v>4.574695039623527E-4</v>
      </c>
      <c r="AX97" s="21">
        <f t="shared" si="60"/>
        <v>89.695382598879249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-2.2737367544323206E-13</v>
      </c>
      <c r="BE97" s="13">
        <f>BD97*VLOOKUP('Données projet'!$B$11,Paramètres!$A$1:$I$89,3,0)*VLOOKUP('Données projet'!$B$11,Paramètres!$A$1:$I$89,5,0)</f>
        <v>-1.3596945791505279E-13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349.71285006949597</v>
      </c>
      <c r="BJ97" s="59">
        <f t="shared" si="92"/>
        <v>258.51550516456842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116.15502194896187</v>
      </c>
      <c r="BQ97" s="21">
        <f>EXP(-LN(2)/25)*BQ96+(1-EXP(-LN(2)/25))/(LN(2)/25)*Calculateur!BL97*Calculateur!BN97*VLOOKUP('Données projet'!$B$11,Paramètres!$A$1:$I$89,3,0)*0.475*44/12</f>
        <v>35.098320016052227</v>
      </c>
      <c r="BR97" s="21">
        <f>EXP(-LN(2)/2)*BR96+(1-EXP(-LN(2)/2))/(LN(2)/2)*BL97*BO97*VLOOKUP('Données projet'!$B$11,Paramètres!$A$1:$I$89,3,0)*0.475*44/12</f>
        <v>0.55247377188444302</v>
      </c>
      <c r="BS97" s="22">
        <f t="shared" si="63"/>
        <v>151.80581573689855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252.57</v>
      </c>
      <c r="L98" s="12">
        <f>VLOOKUP(A98,'Données projet'!$A$35:$I$55,9,0)</f>
        <v>6.7600000000000007</v>
      </c>
      <c r="M98" s="12">
        <f t="array" ref="M98">INDEX(L:L,MIN(IF(ISNUMBER(L98:L294),ROW(L98:L294),"")))</f>
        <v>6.7600000000000007</v>
      </c>
      <c r="N98" s="13">
        <f>IF('Données projet'!$A$36&gt;35,N97+M98-V97,IF(A98&lt;'Données projet'!$A$36,$K$205^A98,IF(A98='Données projet'!$A$36,'Données projet'!$B$36,N97+M98-V97)))</f>
        <v>252.56999999999988</v>
      </c>
      <c r="O98" s="13">
        <f>N98*VLOOKUP('Données projet'!$B$9,Paramètres!$A$1:$I$89,3,0)*VLOOKUP('Données projet'!$B$9,Paramètres!$A$1:$I$89,5,0)</f>
        <v>287.62671599999982</v>
      </c>
      <c r="P98" s="13">
        <f t="shared" si="87"/>
        <v>68.576223699906507</v>
      </c>
      <c r="Q98" s="20">
        <f t="shared" si="54"/>
        <v>620.38678664400345</v>
      </c>
      <c r="R98" s="59">
        <f t="shared" si="55"/>
        <v>913.72011997733671</v>
      </c>
      <c r="S98" s="59">
        <f ca="1">AVERAGE(OFFSET($R$3,0,0,'Données projet'!$E$9+1,1))-AVERAGE(OFFSET($H$3,0,0,'Données projet'!$E$9+1,1))</f>
        <v>593.28343396240075</v>
      </c>
      <c r="T98" s="59">
        <f t="shared" si="88"/>
        <v>289.66477662068695</v>
      </c>
      <c r="U98" s="15">
        <f>IF(ISNA(VLOOKUP(A98,'Données projet'!$A$35:$I$55,3,0)),0,VLOOKUP(A98,'Données projet'!$A$35:$I$55,3,0))</f>
        <v>5</v>
      </c>
      <c r="V98" s="15">
        <f>IF(ISNA(VLOOKUP(A98,'Données projet'!$A$35:$I$55,4,0)),0,VLOOKUP(A98,'Données projet'!$A$35:$I$55,4,0))</f>
        <v>42.199999999999989</v>
      </c>
      <c r="W98" s="16">
        <f>IF(ISNA(VLOOKUP(A98,'Données projet'!$A$35:$I$55,5,0)),0%,VLOOKUP(A98,'Données projet'!$A$35:$I$55,5,0)*VLOOKUP('Données projet'!$B$9,Paramètres!$A$1:$I$89,7,0))</f>
        <v>0.15049999999999999</v>
      </c>
      <c r="X98" s="16">
        <f>IF(ISNA(VLOOKUP(A98,'Données projet'!$A$35:$I$55,6,0)),0%,VLOOKUP(A98,'Données projet'!$A$35:$I$55,6,0)*VLOOKUP('Données projet'!$B$9,Paramètres!$A$1:$I$89,7,0))</f>
        <v>8.6000000000000007E-2</v>
      </c>
      <c r="Y98" s="16">
        <f>IF(ISNA(VLOOKUP(A98,'Données projet'!$A$35:$I$55,7,0)),0%,VLOOKUP(A98,'Données projet'!$A$35:$I$55,7,0))</f>
        <v>0.1</v>
      </c>
      <c r="Z98" s="21">
        <f>EXP(-LN(2)/35)*Z97+(1-EXP(-LN(2)/35))/(LN(2)/35)*V98*W98*VLOOKUP('Données projet'!$B$9,Paramètres!$A$1:$I$89,3,0)*0.475*44/12</f>
        <v>13.946840409071978</v>
      </c>
      <c r="AA98" s="21">
        <f>EXP(-LN(2)/25)*AA97+(1-EXP(-LN(2)/25))/(LN(2)/25)*Calculateur!V98*Calculateur!X98*VLOOKUP('Données projet'!$B$9,Paramètres!$A$1:$I$89,3,0)*0.475*44/12</f>
        <v>37.363836784549115</v>
      </c>
      <c r="AB98" s="21">
        <f>EXP(-LN(2)/2)*AB97+(1-EXP(-LN(2)/2))/(LN(2)/2)*V98*Y98*VLOOKUP('Données projet'!$B$9,Paramètres!$A$1:$I$89,3,0)*0.475*44/12</f>
        <v>4.7280457755752554</v>
      </c>
      <c r="AC98" s="22">
        <f t="shared" si="57"/>
        <v>56.038722969196343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1.1368683772161603E-13</v>
      </c>
      <c r="AJ98" s="13">
        <f>AI98*VLOOKUP('Données projet'!$B$10,Paramètres!$A$1:$I$89,3,0)*VLOOKUP('Données projet'!$B$10,Paramètres!$A$1:$I$89,5,0)</f>
        <v>6.7984728957526396E-14</v>
      </c>
      <c r="AK98" s="13">
        <f t="shared" si="89"/>
        <v>1.0682447123141398E-12</v>
      </c>
      <c r="AL98" s="20">
        <f t="shared" si="58"/>
        <v>1.978932943548152E-12</v>
      </c>
      <c r="AM98" s="59">
        <f t="shared" si="59"/>
        <v>293.3333333333353</v>
      </c>
      <c r="AN98" s="59">
        <f ca="1">AVERAGE(OFFSET($AM$3,0,0,'Données projet'!$E$10+1,1))-AVERAGE(OFFSET($H$3,0,0,'Données projet'!$E$10+1,1))</f>
        <v>302.00825291248458</v>
      </c>
      <c r="AO98" s="59">
        <f t="shared" si="90"/>
        <v>307.35115839449355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69.434554459732311</v>
      </c>
      <c r="AV98" s="21">
        <f>EXP(-LN(2)/25)*AV97+(1-EXP(-LN(2)/25))/(LN(2)/25)*Calculateur!AQ98*Calculateur!AS98*VLOOKUP('Données projet'!$B$10,Paramètres!$A$1:$I$89,3,0)*0.475*44/12</f>
        <v>18.355523816253005</v>
      </c>
      <c r="AW98" s="21">
        <f>EXP(-LN(2)/2)*AW97+(1-EXP(-LN(2)/2))/(LN(2)/2)*AQ98*AT98*VLOOKUP('Données projet'!$B$10,Paramètres!$A$1:$I$89,3,0)*0.475*44/12</f>
        <v>3.2347978843782577E-4</v>
      </c>
      <c r="AX98" s="21">
        <f t="shared" si="60"/>
        <v>87.790401755773743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-2.2737367544323206E-13</v>
      </c>
      <c r="BE98" s="13">
        <f>BD98*VLOOKUP('Données projet'!$B$11,Paramètres!$A$1:$I$89,3,0)*VLOOKUP('Données projet'!$B$11,Paramètres!$A$1:$I$89,5,0)</f>
        <v>-1.3596945791505279E-13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349.71285006949597</v>
      </c>
      <c r="BJ98" s="59">
        <f t="shared" si="92"/>
        <v>258.51550516456842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113.87729281611051</v>
      </c>
      <c r="BQ98" s="21">
        <f>EXP(-LN(2)/25)*BQ97+(1-EXP(-LN(2)/25))/(LN(2)/25)*Calculateur!BL98*Calculateur!BN98*VLOOKUP('Données projet'!$B$11,Paramètres!$A$1:$I$89,3,0)*0.475*44/12</f>
        <v>34.138554609472848</v>
      </c>
      <c r="BR98" s="21">
        <f>EXP(-LN(2)/2)*BR97+(1-EXP(-LN(2)/2))/(LN(2)/2)*BL98*BO98*VLOOKUP('Données projet'!$B$11,Paramètres!$A$1:$I$89,3,0)*0.475*44/12</f>
        <v>0.39065795052719943</v>
      </c>
      <c r="BS98" s="22">
        <f t="shared" si="63"/>
        <v>148.40650537611057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6.7777777777777777</v>
      </c>
      <c r="N99" s="13">
        <f>IF('Données projet'!$A$36&gt;35,N98+M99-V98,IF(A99&lt;'Données projet'!$A$36,$K$205^A99,IF(A99='Données projet'!$A$36,'Données projet'!$B$36,N98+M99-V98)))</f>
        <v>217.14777777777766</v>
      </c>
      <c r="O99" s="13">
        <f>N99*VLOOKUP('Données projet'!$B$9,Paramètres!$A$1:$I$89,3,0)*VLOOKUP('Données projet'!$B$9,Paramètres!$A$1:$I$89,5,0)</f>
        <v>247.28788933333323</v>
      </c>
      <c r="P99" s="13">
        <f t="shared" si="87"/>
        <v>60.004815004836068</v>
      </c>
      <c r="Q99" s="20">
        <f t="shared" ref="Q99:Q130" si="107">(O99+P99)*0.475*44/12</f>
        <v>535.20146005564482</v>
      </c>
      <c r="R99" s="59">
        <f t="shared" si="55"/>
        <v>828.53479338897819</v>
      </c>
      <c r="S99" s="59">
        <f ca="1">AVERAGE(OFFSET($R$3,0,0,'Données projet'!$E$9+1,1))-AVERAGE(OFFSET($H$3,0,0,'Données projet'!$E$9+1,1))</f>
        <v>593.28343396240075</v>
      </c>
      <c r="T99" s="59">
        <f t="shared" si="88"/>
        <v>289.66477662068695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13.673351375382756</v>
      </c>
      <c r="AA99" s="21">
        <f>EXP(-LN(2)/25)*AA98+(1-EXP(-LN(2)/25))/(LN(2)/25)*Calculateur!V99*Calculateur!X99*VLOOKUP('Données projet'!$B$9,Paramètres!$A$1:$I$89,3,0)*0.475*44/12</f>
        <v>36.342120702796841</v>
      </c>
      <c r="AB99" s="21">
        <f>EXP(-LN(2)/2)*AB98+(1-EXP(-LN(2)/2))/(LN(2)/2)*V99*Y99*VLOOKUP('Données projet'!$B$9,Paramètres!$A$1:$I$89,3,0)*0.475*44/12</f>
        <v>3.3432332296696727</v>
      </c>
      <c r="AC99" s="22">
        <f t="shared" si="57"/>
        <v>53.35870530784927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1.1368683772161603E-13</v>
      </c>
      <c r="AJ99" s="13">
        <f>AI99*VLOOKUP('Données projet'!$B$10,Paramètres!$A$1:$I$89,3,0)*VLOOKUP('Données projet'!$B$10,Paramètres!$A$1:$I$89,5,0)</f>
        <v>6.7984728957526396E-14</v>
      </c>
      <c r="AK99" s="13">
        <f t="shared" si="89"/>
        <v>1.0682447123141398E-12</v>
      </c>
      <c r="AL99" s="20">
        <f t="shared" si="58"/>
        <v>1.978932943548152E-12</v>
      </c>
      <c r="AM99" s="59">
        <f t="shared" si="59"/>
        <v>293.3333333333353</v>
      </c>
      <c r="AN99" s="59">
        <f ca="1">AVERAGE(OFFSET($AM$3,0,0,'Données projet'!$E$10+1,1))-AVERAGE(OFFSET($H$3,0,0,'Données projet'!$E$10+1,1))</f>
        <v>302.00825291248458</v>
      </c>
      <c r="AO99" s="59">
        <f t="shared" si="90"/>
        <v>307.35115839449355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68.072985197673376</v>
      </c>
      <c r="AV99" s="21">
        <f>EXP(-LN(2)/25)*AV98+(1-EXP(-LN(2)/25))/(LN(2)/25)*Calculateur!AQ99*Calculateur!AS99*VLOOKUP('Données projet'!$B$10,Paramètres!$A$1:$I$89,3,0)*0.475*44/12</f>
        <v>17.853591052222519</v>
      </c>
      <c r="AW99" s="21">
        <f>EXP(-LN(2)/2)*AW98+(1-EXP(-LN(2)/2))/(LN(2)/2)*AQ99*AT99*VLOOKUP('Données projet'!$B$10,Paramètres!$A$1:$I$89,3,0)*0.475*44/12</f>
        <v>2.2873475198117635E-4</v>
      </c>
      <c r="AX99" s="21">
        <f t="shared" si="60"/>
        <v>85.926804984647887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-2.2737367544323206E-13</v>
      </c>
      <c r="BE99" s="13">
        <f>BD99*VLOOKUP('Données projet'!$B$11,Paramètres!$A$1:$I$89,3,0)*VLOOKUP('Données projet'!$B$11,Paramètres!$A$1:$I$89,5,0)</f>
        <v>-1.3596945791505279E-13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349.71285006949597</v>
      </c>
      <c r="BJ99" s="59">
        <f t="shared" si="92"/>
        <v>258.51550516456842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111.64422856227677</v>
      </c>
      <c r="BQ99" s="21">
        <f>EXP(-LN(2)/25)*BQ98+(1-EXP(-LN(2)/25))/(LN(2)/25)*Calculateur!BL99*Calculateur!BN99*VLOOKUP('Données projet'!$B$11,Paramètres!$A$1:$I$89,3,0)*0.475*44/12</f>
        <v>33.20503403840825</v>
      </c>
      <c r="BR99" s="21">
        <f>EXP(-LN(2)/2)*BR98+(1-EXP(-LN(2)/2))/(LN(2)/2)*BL99*BO99*VLOOKUP('Données projet'!$B$11,Paramètres!$A$1:$I$89,3,0)*0.475*44/12</f>
        <v>0.27623688594222151</v>
      </c>
      <c r="BS99" s="22">
        <f t="shared" si="63"/>
        <v>145.12549948662723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6.7777777777777777</v>
      </c>
      <c r="N100" s="13">
        <f>IF('Données projet'!$A$36&gt;35,N99+M100-V99,IF(A100&lt;'Données projet'!$A$36,$K$205^A100,IF(A100='Données projet'!$A$36,'Données projet'!$B$36,N99+M100-V99)))</f>
        <v>223.92555555555543</v>
      </c>
      <c r="O100" s="13">
        <f>N100*VLOOKUP('Données projet'!$B$9,Paramètres!$A$1:$I$89,3,0)*VLOOKUP('Données projet'!$B$9,Paramètres!$A$1:$I$89,5,0)</f>
        <v>255.00642266666651</v>
      </c>
      <c r="P100" s="13">
        <f t="shared" si="87"/>
        <v>61.656750661172069</v>
      </c>
      <c r="Q100" s="20">
        <f t="shared" si="107"/>
        <v>551.5216935459855</v>
      </c>
      <c r="R100" s="59">
        <f t="shared" si="55"/>
        <v>844.85502687931876</v>
      </c>
      <c r="S100" s="59">
        <f ca="1">AVERAGE(OFFSET($R$3,0,0,'Données projet'!$E$9+1,1))-AVERAGE(OFFSET($H$3,0,0,'Données projet'!$E$9+1,1))</f>
        <v>593.28343396240075</v>
      </c>
      <c r="T100" s="59">
        <f t="shared" si="88"/>
        <v>289.66477662068695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13.405225294832341</v>
      </c>
      <c r="AA100" s="21">
        <f>EXP(-LN(2)/25)*AA99+(1-EXP(-LN(2)/25))/(LN(2)/25)*Calculateur!V100*Calculateur!X100*VLOOKUP('Données projet'!$B$9,Paramètres!$A$1:$I$89,3,0)*0.475*44/12</f>
        <v>35.348343501029795</v>
      </c>
      <c r="AB100" s="21">
        <f>EXP(-LN(2)/2)*AB99+(1-EXP(-LN(2)/2))/(LN(2)/2)*V100*Y100*VLOOKUP('Données projet'!$B$9,Paramètres!$A$1:$I$89,3,0)*0.475*44/12</f>
        <v>2.3640228877876281</v>
      </c>
      <c r="AC100" s="22">
        <f t="shared" si="57"/>
        <v>51.117591683649763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1.1368683772161603E-13</v>
      </c>
      <c r="AJ100" s="13">
        <f>AI100*VLOOKUP('Données projet'!$B$10,Paramètres!$A$1:$I$89,3,0)*VLOOKUP('Données projet'!$B$10,Paramètres!$A$1:$I$89,5,0)</f>
        <v>6.7984728957526396E-14</v>
      </c>
      <c r="AK100" s="13">
        <f t="shared" si="89"/>
        <v>1.0682447123141398E-12</v>
      </c>
      <c r="AL100" s="20">
        <f t="shared" si="58"/>
        <v>1.978932943548152E-12</v>
      </c>
      <c r="AM100" s="59">
        <f t="shared" si="59"/>
        <v>293.3333333333353</v>
      </c>
      <c r="AN100" s="59">
        <f ca="1">AVERAGE(OFFSET($AM$3,0,0,'Données projet'!$E$10+1,1))-AVERAGE(OFFSET($H$3,0,0,'Données projet'!$E$10+1,1))</f>
        <v>302.00825291248458</v>
      </c>
      <c r="AO100" s="59">
        <f t="shared" si="90"/>
        <v>307.35115839449355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66.738115478368172</v>
      </c>
      <c r="AV100" s="21">
        <f>EXP(-LN(2)/25)*AV99+(1-EXP(-LN(2)/25))/(LN(2)/25)*Calculateur!AQ100*Calculateur!AS100*VLOOKUP('Données projet'!$B$10,Paramètres!$A$1:$I$89,3,0)*0.475*44/12</f>
        <v>17.365383666019945</v>
      </c>
      <c r="AW100" s="21">
        <f>EXP(-LN(2)/2)*AW99+(1-EXP(-LN(2)/2))/(LN(2)/2)*AQ100*AT100*VLOOKUP('Données projet'!$B$10,Paramètres!$A$1:$I$89,3,0)*0.475*44/12</f>
        <v>1.6173989421891288E-4</v>
      </c>
      <c r="AX100" s="21">
        <f t="shared" si="60"/>
        <v>84.103660884282334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-2.2737367544323206E-13</v>
      </c>
      <c r="BE100" s="13">
        <f>BD100*VLOOKUP('Données projet'!$B$11,Paramètres!$A$1:$I$89,3,0)*VLOOKUP('Données projet'!$B$11,Paramètres!$A$1:$I$89,5,0)</f>
        <v>-1.3596945791505279E-13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349.71285006949597</v>
      </c>
      <c r="BJ100" s="59">
        <f t="shared" si="92"/>
        <v>258.51550516456842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109.454953336426</v>
      </c>
      <c r="BQ100" s="21">
        <f>EXP(-LN(2)/25)*BQ99+(1-EXP(-LN(2)/25))/(LN(2)/25)*Calculateur!BL100*Calculateur!BN100*VLOOKUP('Données projet'!$B$11,Paramètres!$A$1:$I$89,3,0)*0.475*44/12</f>
        <v>32.297040636451129</v>
      </c>
      <c r="BR100" s="21">
        <f>EXP(-LN(2)/2)*BR99+(1-EXP(-LN(2)/2))/(LN(2)/2)*BL100*BO100*VLOOKUP('Données projet'!$B$11,Paramètres!$A$1:$I$89,3,0)*0.475*44/12</f>
        <v>0.19532897526359971</v>
      </c>
      <c r="BS100" s="22">
        <f t="shared" si="63"/>
        <v>141.94732294814074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6.7777777777777777</v>
      </c>
      <c r="N101" s="13">
        <f>IF('Données projet'!$A$36&gt;35,N100+M101-V100,IF(A101&lt;'Données projet'!$A$36,$K$205^A101,IF(A101='Données projet'!$A$36,'Données projet'!$B$36,N100+M101-V100)))</f>
        <v>230.70333333333321</v>
      </c>
      <c r="O101" s="13">
        <f>N101*VLOOKUP('Données projet'!$B$9,Paramètres!$A$1:$I$89,3,0)*VLOOKUP('Données projet'!$B$9,Paramètres!$A$1:$I$89,5,0)</f>
        <v>262.72495599999985</v>
      </c>
      <c r="P101" s="13">
        <f t="shared" si="87"/>
        <v>63.302875529710846</v>
      </c>
      <c r="Q101" s="20">
        <f t="shared" si="107"/>
        <v>567.83180658091271</v>
      </c>
      <c r="R101" s="59">
        <f t="shared" si="55"/>
        <v>861.16513991424608</v>
      </c>
      <c r="S101" s="59">
        <f ca="1">AVERAGE(OFFSET($R$3,0,0,'Données projet'!$E$9+1,1))-AVERAGE(OFFSET($H$3,0,0,'Données projet'!$E$9+1,1))</f>
        <v>593.28343396240075</v>
      </c>
      <c r="T101" s="59">
        <f t="shared" si="88"/>
        <v>289.66477662068695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13.142357003180759</v>
      </c>
      <c r="AA101" s="21">
        <f>EXP(-LN(2)/25)*AA100+(1-EXP(-LN(2)/25))/(LN(2)/25)*Calculateur!V101*Calculateur!X101*VLOOKUP('Données projet'!$B$9,Paramètres!$A$1:$I$89,3,0)*0.475*44/12</f>
        <v>34.38174118910554</v>
      </c>
      <c r="AB101" s="21">
        <f>EXP(-LN(2)/2)*AB100+(1-EXP(-LN(2)/2))/(LN(2)/2)*V101*Y101*VLOOKUP('Données projet'!$B$9,Paramètres!$A$1:$I$89,3,0)*0.475*44/12</f>
        <v>1.6716166148348366</v>
      </c>
      <c r="AC101" s="22">
        <f t="shared" si="57"/>
        <v>49.195714807121142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1.1368683772161603E-13</v>
      </c>
      <c r="AJ101" s="13">
        <f>AI101*VLOOKUP('Données projet'!$B$10,Paramètres!$A$1:$I$89,3,0)*VLOOKUP('Données projet'!$B$10,Paramètres!$A$1:$I$89,5,0)</f>
        <v>6.7984728957526396E-14</v>
      </c>
      <c r="AK101" s="13">
        <f t="shared" si="89"/>
        <v>1.0682447123141398E-12</v>
      </c>
      <c r="AL101" s="20">
        <f t="shared" si="58"/>
        <v>1.978932943548152E-12</v>
      </c>
      <c r="AM101" s="59">
        <f t="shared" si="59"/>
        <v>293.3333333333353</v>
      </c>
      <c r="AN101" s="59">
        <f ca="1">AVERAGE(OFFSET($AM$3,0,0,'Données projet'!$E$10+1,1))-AVERAGE(OFFSET($H$3,0,0,'Données projet'!$E$10+1,1))</f>
        <v>302.00825291248458</v>
      </c>
      <c r="AO101" s="59">
        <f t="shared" si="90"/>
        <v>307.35115839449355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65.429421740068406</v>
      </c>
      <c r="AV101" s="21">
        <f>EXP(-LN(2)/25)*AV100+(1-EXP(-LN(2)/25))/(LN(2)/25)*Calculateur!AQ101*Calculateur!AS101*VLOOKUP('Données projet'!$B$10,Paramètres!$A$1:$I$89,3,0)*0.475*44/12</f>
        <v>16.890526336466792</v>
      </c>
      <c r="AW101" s="21">
        <f>EXP(-LN(2)/2)*AW100+(1-EXP(-LN(2)/2))/(LN(2)/2)*AQ101*AT101*VLOOKUP('Données projet'!$B$10,Paramètres!$A$1:$I$89,3,0)*0.475*44/12</f>
        <v>1.1436737599058818E-4</v>
      </c>
      <c r="AX101" s="21">
        <f t="shared" si="60"/>
        <v>82.320062443911183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-2.2737367544323206E-13</v>
      </c>
      <c r="BE101" s="13">
        <f>BD101*VLOOKUP('Données projet'!$B$11,Paramètres!$A$1:$I$89,3,0)*VLOOKUP('Données projet'!$B$11,Paramètres!$A$1:$I$89,5,0)</f>
        <v>-1.3596945791505279E-13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349.71285006949597</v>
      </c>
      <c r="BJ101" s="59">
        <f t="shared" si="92"/>
        <v>258.51550516456842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107.30860846242813</v>
      </c>
      <c r="BQ101" s="21">
        <f>EXP(-LN(2)/25)*BQ100+(1-EXP(-LN(2)/25))/(LN(2)/25)*Calculateur!BL101*Calculateur!BN101*VLOOKUP('Données projet'!$B$11,Paramètres!$A$1:$I$89,3,0)*0.475*44/12</f>
        <v>31.41387636181982</v>
      </c>
      <c r="BR101" s="21">
        <f>EXP(-LN(2)/2)*BR100+(1-EXP(-LN(2)/2))/(LN(2)/2)*BL101*BO101*VLOOKUP('Données projet'!$B$11,Paramètres!$A$1:$I$89,3,0)*0.475*44/12</f>
        <v>0.13811844297111076</v>
      </c>
      <c r="BS101" s="22">
        <f t="shared" si="63"/>
        <v>138.86060326721906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6.7777777777777777</v>
      </c>
      <c r="N102" s="13">
        <f>IF('Données projet'!$A$36&gt;35,N101+M102-V101,IF(A102&lt;'Données projet'!$A$36,$K$205^A102,IF(A102='Données projet'!$A$36,'Données projet'!$B$36,N101+M102-V101)))</f>
        <v>237.48111111111098</v>
      </c>
      <c r="O102" s="13">
        <f>N102*VLOOKUP('Données projet'!$B$9,Paramètres!$A$1:$I$89,3,0)*VLOOKUP('Données projet'!$B$9,Paramètres!$A$1:$I$89,5,0)</f>
        <v>270.44348933333316</v>
      </c>
      <c r="P102" s="13">
        <f t="shared" si="87"/>
        <v>64.943379925271046</v>
      </c>
      <c r="Q102" s="20">
        <f t="shared" si="107"/>
        <v>584.13213062540228</v>
      </c>
      <c r="R102" s="59">
        <f t="shared" si="55"/>
        <v>877.46546395873565</v>
      </c>
      <c r="S102" s="59">
        <f ca="1">AVERAGE(OFFSET($R$3,0,0,'Données projet'!$E$9+1,1))-AVERAGE(OFFSET($H$3,0,0,'Données projet'!$E$9+1,1))</f>
        <v>593.28343396240075</v>
      </c>
      <c r="T102" s="59">
        <f t="shared" si="88"/>
        <v>289.66477662068695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12.884643398394637</v>
      </c>
      <c r="AA102" s="21">
        <f>EXP(-LN(2)/25)*AA101+(1-EXP(-LN(2)/25))/(LN(2)/25)*Calculateur!V102*Calculateur!X102*VLOOKUP('Données projet'!$B$9,Paramètres!$A$1:$I$89,3,0)*0.475*44/12</f>
        <v>33.441570668232259</v>
      </c>
      <c r="AB102" s="21">
        <f>EXP(-LN(2)/2)*AB101+(1-EXP(-LN(2)/2))/(LN(2)/2)*V102*Y102*VLOOKUP('Données projet'!$B$9,Paramètres!$A$1:$I$89,3,0)*0.475*44/12</f>
        <v>1.1820114438938141</v>
      </c>
      <c r="AC102" s="22">
        <f t="shared" si="57"/>
        <v>47.50822551052071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1.1368683772161603E-13</v>
      </c>
      <c r="AJ102" s="13">
        <f>AI102*VLOOKUP('Données projet'!$B$10,Paramètres!$A$1:$I$89,3,0)*VLOOKUP('Données projet'!$B$10,Paramètres!$A$1:$I$89,5,0)</f>
        <v>6.7984728957526396E-14</v>
      </c>
      <c r="AK102" s="13">
        <f t="shared" si="89"/>
        <v>1.0682447123141398E-12</v>
      </c>
      <c r="AL102" s="20">
        <f t="shared" si="58"/>
        <v>1.978932943548152E-12</v>
      </c>
      <c r="AM102" s="59">
        <f t="shared" si="59"/>
        <v>293.3333333333353</v>
      </c>
      <c r="AN102" s="59">
        <f ca="1">AVERAGE(OFFSET($AM$3,0,0,'Données projet'!$E$10+1,1))-AVERAGE(OFFSET($H$3,0,0,'Données projet'!$E$10+1,1))</f>
        <v>302.00825291248458</v>
      </c>
      <c r="AO102" s="59">
        <f t="shared" si="90"/>
        <v>307.35115839449355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64.146390687752344</v>
      </c>
      <c r="AV102" s="21">
        <f>EXP(-LN(2)/25)*AV101+(1-EXP(-LN(2)/25))/(LN(2)/25)*Calculateur!AQ102*Calculateur!AS102*VLOOKUP('Données projet'!$B$10,Paramètres!$A$1:$I$89,3,0)*0.475*44/12</f>
        <v>16.428654005561931</v>
      </c>
      <c r="AW102" s="21">
        <f>EXP(-LN(2)/2)*AW101+(1-EXP(-LN(2)/2))/(LN(2)/2)*AQ102*AT102*VLOOKUP('Données projet'!$B$10,Paramètres!$A$1:$I$89,3,0)*0.475*44/12</f>
        <v>8.0869947109456442E-5</v>
      </c>
      <c r="AX102" s="21">
        <f t="shared" si="60"/>
        <v>80.575125563261395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-2.2737367544323206E-13</v>
      </c>
      <c r="BE102" s="13">
        <f>BD102*VLOOKUP('Données projet'!$B$11,Paramètres!$A$1:$I$89,3,0)*VLOOKUP('Données projet'!$B$11,Paramètres!$A$1:$I$89,5,0)</f>
        <v>-1.3596945791505279E-13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349.71285006949597</v>
      </c>
      <c r="BJ102" s="59">
        <f t="shared" si="92"/>
        <v>258.51550516456842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105.20435210226825</v>
      </c>
      <c r="BQ102" s="21">
        <f>EXP(-LN(2)/25)*BQ101+(1-EXP(-LN(2)/25))/(LN(2)/25)*Calculateur!BL102*Calculateur!BN102*VLOOKUP('Données projet'!$B$11,Paramètres!$A$1:$I$89,3,0)*0.475*44/12</f>
        <v>30.554862260721897</v>
      </c>
      <c r="BR102" s="21">
        <f>EXP(-LN(2)/2)*BR101+(1-EXP(-LN(2)/2))/(LN(2)/2)*BL102*BO102*VLOOKUP('Données projet'!$B$11,Paramètres!$A$1:$I$89,3,0)*0.475*44/12</f>
        <v>9.7664487631799857E-2</v>
      </c>
      <c r="BS102" s="22">
        <f t="shared" si="63"/>
        <v>135.85687885062194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6.7777777777777777</v>
      </c>
      <c r="N103" s="13">
        <f>IF('Données projet'!$A$36&gt;35,N102+M103-V102,IF(A103&lt;'Données projet'!$A$36,$K$205^A103,IF(A103='Données projet'!$A$36,'Données projet'!$B$36,N102+M103-V102)))</f>
        <v>244.25888888888875</v>
      </c>
      <c r="O103" s="13">
        <f>N103*VLOOKUP('Données projet'!$B$9,Paramètres!$A$1:$I$89,3,0)*VLOOKUP('Données projet'!$B$9,Paramètres!$A$1:$I$89,5,0)</f>
        <v>278.16202266666653</v>
      </c>
      <c r="P103" s="13">
        <f t="shared" si="87"/>
        <v>66.578442681509159</v>
      </c>
      <c r="Q103" s="20">
        <f t="shared" si="107"/>
        <v>600.42297714807262</v>
      </c>
      <c r="R103" s="59">
        <f t="shared" si="55"/>
        <v>893.75631048140599</v>
      </c>
      <c r="S103" s="59">
        <f ca="1">AVERAGE(OFFSET($R$3,0,0,'Données projet'!$E$9+1,1))-AVERAGE(OFFSET($H$3,0,0,'Données projet'!$E$9+1,1))</f>
        <v>593.28343396240075</v>
      </c>
      <c r="T103" s="59">
        <f t="shared" si="88"/>
        <v>289.66477662068695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12.631983400208593</v>
      </c>
      <c r="AA103" s="21">
        <f>EXP(-LN(2)/25)*AA102+(1-EXP(-LN(2)/25))/(LN(2)/25)*Calculateur!V103*Calculateur!X103*VLOOKUP('Données projet'!$B$9,Paramètres!$A$1:$I$89,3,0)*0.475*44/12</f>
        <v>32.52710915969368</v>
      </c>
      <c r="AB103" s="21">
        <f>EXP(-LN(2)/2)*AB102+(1-EXP(-LN(2)/2))/(LN(2)/2)*V103*Y103*VLOOKUP('Données projet'!$B$9,Paramètres!$A$1:$I$89,3,0)*0.475*44/12</f>
        <v>0.83580830741741829</v>
      </c>
      <c r="AC103" s="22">
        <f t="shared" si="57"/>
        <v>45.994900867319693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1.1368683772161603E-13</v>
      </c>
      <c r="AJ103" s="13">
        <f>AI103*VLOOKUP('Données projet'!$B$10,Paramètres!$A$1:$I$89,3,0)*VLOOKUP('Données projet'!$B$10,Paramètres!$A$1:$I$89,5,0)</f>
        <v>6.7984728957526396E-14</v>
      </c>
      <c r="AK103" s="13">
        <f t="shared" si="89"/>
        <v>1.0682447123141398E-12</v>
      </c>
      <c r="AL103" s="20">
        <f t="shared" si="58"/>
        <v>1.978932943548152E-12</v>
      </c>
      <c r="AM103" s="59">
        <f t="shared" si="59"/>
        <v>293.3333333333353</v>
      </c>
      <c r="AN103" s="59">
        <f ca="1">AVERAGE(OFFSET($AM$3,0,0,'Données projet'!$E$10+1,1))-AVERAGE(OFFSET($H$3,0,0,'Données projet'!$E$10+1,1))</f>
        <v>302.00825291248458</v>
      </c>
      <c r="AO103" s="59">
        <f t="shared" si="90"/>
        <v>307.35115839449355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62.888519091800525</v>
      </c>
      <c r="AV103" s="21">
        <f>EXP(-LN(2)/25)*AV102+(1-EXP(-LN(2)/25))/(LN(2)/25)*Calculateur!AQ103*Calculateur!AS103*VLOOKUP('Données projet'!$B$10,Paramètres!$A$1:$I$89,3,0)*0.475*44/12</f>
        <v>15.979411597834474</v>
      </c>
      <c r="AW103" s="21">
        <f>EXP(-LN(2)/2)*AW102+(1-EXP(-LN(2)/2))/(LN(2)/2)*AQ103*AT103*VLOOKUP('Données projet'!$B$10,Paramètres!$A$1:$I$89,3,0)*0.475*44/12</f>
        <v>5.7183687995294088E-5</v>
      </c>
      <c r="AX103" s="21">
        <f t="shared" si="60"/>
        <v>78.867987873323003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-2.2737367544323206E-13</v>
      </c>
      <c r="BE103" s="13">
        <f>BD103*VLOOKUP('Données projet'!$B$11,Paramètres!$A$1:$I$89,3,0)*VLOOKUP('Données projet'!$B$11,Paramètres!$A$1:$I$89,5,0)</f>
        <v>-1.3596945791505279E-13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349.71285006949597</v>
      </c>
      <c r="BJ103" s="59">
        <f t="shared" si="92"/>
        <v>258.51550516456842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103.14135892586145</v>
      </c>
      <c r="BQ103" s="21">
        <f>EXP(-LN(2)/25)*BQ102+(1-EXP(-LN(2)/25))/(LN(2)/25)*Calculateur!BL103*Calculateur!BN103*VLOOKUP('Données projet'!$B$11,Paramètres!$A$1:$I$89,3,0)*0.475*44/12</f>
        <v>29.719337945392084</v>
      </c>
      <c r="BR103" s="21">
        <f>EXP(-LN(2)/2)*BR102+(1-EXP(-LN(2)/2))/(LN(2)/2)*BL103*BO103*VLOOKUP('Données projet'!$B$11,Paramètres!$A$1:$I$89,3,0)*0.475*44/12</f>
        <v>6.9059221485555378E-2</v>
      </c>
      <c r="BS103" s="22">
        <f t="shared" si="63"/>
        <v>132.9297560927391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6.7777777777777777</v>
      </c>
      <c r="N104" s="13">
        <f>IF('Données projet'!$A$36&gt;35,N103+M104-V103,IF(A104&lt;'Données projet'!$A$36,$K$205^A104,IF(A104='Données projet'!$A$36,'Données projet'!$B$36,N103+M104-V103)))</f>
        <v>251.03666666666652</v>
      </c>
      <c r="O104" s="13">
        <f>N104*VLOOKUP('Données projet'!$B$9,Paramètres!$A$1:$I$89,3,0)*VLOOKUP('Données projet'!$B$9,Paramètres!$A$1:$I$89,5,0)</f>
        <v>285.88055599999984</v>
      </c>
      <c r="P104" s="13">
        <f t="shared" si="87"/>
        <v>68.208232142665835</v>
      </c>
      <c r="Q104" s="20">
        <f t="shared" si="107"/>
        <v>616.70463934847601</v>
      </c>
      <c r="R104" s="59">
        <f t="shared" si="55"/>
        <v>910.03797268180938</v>
      </c>
      <c r="S104" s="59">
        <f ca="1">AVERAGE(OFFSET($R$3,0,0,'Données projet'!$E$9+1,1))-AVERAGE(OFFSET($H$3,0,0,'Données projet'!$E$9+1,1))</f>
        <v>593.28343396240075</v>
      </c>
      <c r="T104" s="59">
        <f t="shared" si="88"/>
        <v>289.66477662068695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12.384277910479597</v>
      </c>
      <c r="AA104" s="21">
        <f>EXP(-LN(2)/25)*AA103+(1-EXP(-LN(2)/25))/(LN(2)/25)*Calculateur!V104*Calculateur!X104*VLOOKUP('Données projet'!$B$9,Paramètres!$A$1:$I$89,3,0)*0.475*44/12</f>
        <v>31.637653649195528</v>
      </c>
      <c r="AB104" s="21">
        <f>EXP(-LN(2)/2)*AB103+(1-EXP(-LN(2)/2))/(LN(2)/2)*V104*Y104*VLOOKUP('Données projet'!$B$9,Paramètres!$A$1:$I$89,3,0)*0.475*44/12</f>
        <v>0.59100572194690704</v>
      </c>
      <c r="AC104" s="22">
        <f t="shared" si="57"/>
        <v>44.612937281622031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1.1368683772161603E-13</v>
      </c>
      <c r="AJ104" s="13">
        <f>AI104*VLOOKUP('Données projet'!$B$10,Paramètres!$A$1:$I$89,3,0)*VLOOKUP('Données projet'!$B$10,Paramètres!$A$1:$I$89,5,0)</f>
        <v>6.7984728957526396E-14</v>
      </c>
      <c r="AK104" s="13">
        <f t="shared" si="89"/>
        <v>1.0682447123141398E-12</v>
      </c>
      <c r="AL104" s="20">
        <f t="shared" si="58"/>
        <v>1.978932943548152E-12</v>
      </c>
      <c r="AM104" s="59">
        <f t="shared" si="59"/>
        <v>293.3333333333353</v>
      </c>
      <c r="AN104" s="59">
        <f ca="1">AVERAGE(OFFSET($AM$3,0,0,'Données projet'!$E$10+1,1))-AVERAGE(OFFSET($H$3,0,0,'Données projet'!$E$10+1,1))</f>
        <v>302.00825291248458</v>
      </c>
      <c r="AO104" s="59">
        <f t="shared" si="90"/>
        <v>307.35115839449355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61.655313590619407</v>
      </c>
      <c r="AV104" s="21">
        <f>EXP(-LN(2)/25)*AV103+(1-EXP(-LN(2)/25))/(LN(2)/25)*Calculateur!AQ104*Calculateur!AS104*VLOOKUP('Données projet'!$B$10,Paramètres!$A$1:$I$89,3,0)*0.475*44/12</f>
        <v>15.542453747370956</v>
      </c>
      <c r="AW104" s="21">
        <f>EXP(-LN(2)/2)*AW103+(1-EXP(-LN(2)/2))/(LN(2)/2)*AQ104*AT104*VLOOKUP('Données projet'!$B$10,Paramètres!$A$1:$I$89,3,0)*0.475*44/12</f>
        <v>4.0434973554728221E-5</v>
      </c>
      <c r="AX104" s="21">
        <f t="shared" si="60"/>
        <v>77.197807772963927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-2.2737367544323206E-13</v>
      </c>
      <c r="BE104" s="13">
        <f>BD104*VLOOKUP('Données projet'!$B$11,Paramètres!$A$1:$I$89,3,0)*VLOOKUP('Données projet'!$B$11,Paramètres!$A$1:$I$89,5,0)</f>
        <v>-1.3596945791505279E-13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349.71285006949597</v>
      </c>
      <c r="BJ104" s="59">
        <f t="shared" si="92"/>
        <v>258.51550516456842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101.1188197873424</v>
      </c>
      <c r="BQ104" s="21">
        <f>EXP(-LN(2)/25)*BQ103+(1-EXP(-LN(2)/25))/(LN(2)/25)*Calculateur!BL104*Calculateur!BN104*VLOOKUP('Données projet'!$B$11,Paramètres!$A$1:$I$89,3,0)*0.475*44/12</f>
        <v>28.906661086403279</v>
      </c>
      <c r="BR104" s="21">
        <f>EXP(-LN(2)/2)*BR103+(1-EXP(-LN(2)/2))/(LN(2)/2)*BL104*BO104*VLOOKUP('Données projet'!$B$11,Paramètres!$A$1:$I$89,3,0)*0.475*44/12</f>
        <v>4.8832243815899928E-2</v>
      </c>
      <c r="BS104" s="22">
        <f t="shared" si="63"/>
        <v>130.07431311756159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6.7777777777777777</v>
      </c>
      <c r="N105" s="13">
        <f>IF('Données projet'!$A$36&gt;35,N104+M105-V104,IF(A105&lt;'Données projet'!$A$36,$K$205^A105,IF(A105='Données projet'!$A$36,'Données projet'!$B$36,N104+M105-V104)))</f>
        <v>257.81444444444429</v>
      </c>
      <c r="O105" s="13">
        <f>N105*VLOOKUP('Données projet'!$B$9,Paramètres!$A$1:$I$89,3,0)*VLOOKUP('Données projet'!$B$9,Paramètres!$A$1:$I$89,5,0)</f>
        <v>293.59908933333315</v>
      </c>
      <c r="P105" s="13">
        <f t="shared" si="87"/>
        <v>69.832907045194901</v>
      </c>
      <c r="Q105" s="20">
        <f t="shared" si="107"/>
        <v>632.97739369260296</v>
      </c>
      <c r="R105" s="59">
        <f t="shared" si="55"/>
        <v>926.31072702593633</v>
      </c>
      <c r="S105" s="59">
        <f ca="1">AVERAGE(OFFSET($R$3,0,0,'Données projet'!$E$9+1,1))-AVERAGE(OFFSET($H$3,0,0,'Données projet'!$E$9+1,1))</f>
        <v>593.28343396240075</v>
      </c>
      <c r="T105" s="59">
        <f t="shared" si="88"/>
        <v>289.66477662068695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12.141429774318755</v>
      </c>
      <c r="AA105" s="21">
        <f>EXP(-LN(2)/25)*AA104+(1-EXP(-LN(2)/25))/(LN(2)/25)*Calculateur!V105*Calculateur!X105*VLOOKUP('Données projet'!$B$9,Paramètres!$A$1:$I$89,3,0)*0.475*44/12</f>
        <v>30.772520346406381</v>
      </c>
      <c r="AB105" s="21">
        <f>EXP(-LN(2)/2)*AB104+(1-EXP(-LN(2)/2))/(LN(2)/2)*V105*Y105*VLOOKUP('Données projet'!$B$9,Paramètres!$A$1:$I$89,3,0)*0.475*44/12</f>
        <v>0.41790415370870915</v>
      </c>
      <c r="AC105" s="22">
        <f t="shared" si="57"/>
        <v>43.331854274433844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1.1368683772161603E-13</v>
      </c>
      <c r="AJ105" s="13">
        <f>AI105*VLOOKUP('Données projet'!$B$10,Paramètres!$A$1:$I$89,3,0)*VLOOKUP('Données projet'!$B$10,Paramètres!$A$1:$I$89,5,0)</f>
        <v>6.7984728957526396E-14</v>
      </c>
      <c r="AK105" s="13">
        <f t="shared" si="89"/>
        <v>1.0682447123141398E-12</v>
      </c>
      <c r="AL105" s="20">
        <f t="shared" si="58"/>
        <v>1.978932943548152E-12</v>
      </c>
      <c r="AM105" s="59">
        <f t="shared" si="59"/>
        <v>293.3333333333353</v>
      </c>
      <c r="AN105" s="59">
        <f ca="1">AVERAGE(OFFSET($AM$3,0,0,'Données projet'!$E$10+1,1))-AVERAGE(OFFSET($H$3,0,0,'Données projet'!$E$10+1,1))</f>
        <v>302.00825291248458</v>
      </c>
      <c r="AO105" s="59">
        <f t="shared" si="90"/>
        <v>307.35115839449355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60.446290497135365</v>
      </c>
      <c r="AV105" s="21">
        <f>EXP(-LN(2)/25)*AV104+(1-EXP(-LN(2)/25))/(LN(2)/25)*Calculateur!AQ105*Calculateur!AS105*VLOOKUP('Données projet'!$B$10,Paramètres!$A$1:$I$89,3,0)*0.475*44/12</f>
        <v>15.117444532306978</v>
      </c>
      <c r="AW105" s="21">
        <f>EXP(-LN(2)/2)*AW104+(1-EXP(-LN(2)/2))/(LN(2)/2)*AQ105*AT105*VLOOKUP('Données projet'!$B$10,Paramètres!$A$1:$I$89,3,0)*0.475*44/12</f>
        <v>2.8591843997647044E-5</v>
      </c>
      <c r="AX105" s="21">
        <f t="shared" si="60"/>
        <v>75.563763621286341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-2.2737367544323206E-13</v>
      </c>
      <c r="BE105" s="13">
        <f>BD105*VLOOKUP('Données projet'!$B$11,Paramètres!$A$1:$I$89,3,0)*VLOOKUP('Données projet'!$B$11,Paramètres!$A$1:$I$89,5,0)</f>
        <v>-1.3596945791505279E-13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349.71285006949597</v>
      </c>
      <c r="BJ105" s="59">
        <f t="shared" si="92"/>
        <v>258.51550516456842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99.135941407702646</v>
      </c>
      <c r="BQ105" s="21">
        <f>EXP(-LN(2)/25)*BQ104+(1-EXP(-LN(2)/25))/(LN(2)/25)*Calculateur!BL105*Calculateur!BN105*VLOOKUP('Données projet'!$B$11,Paramètres!$A$1:$I$89,3,0)*0.475*44/12</f>
        <v>28.116206918860343</v>
      </c>
      <c r="BR105" s="21">
        <f>EXP(-LN(2)/2)*BR104+(1-EXP(-LN(2)/2))/(LN(2)/2)*BL105*BO105*VLOOKUP('Données projet'!$B$11,Paramètres!$A$1:$I$89,3,0)*0.475*44/12</f>
        <v>3.4529610742777689E-2</v>
      </c>
      <c r="BS105" s="22">
        <f t="shared" si="63"/>
        <v>127.28667793730577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6.7777777777777777</v>
      </c>
      <c r="N106" s="13">
        <f>IF('Données projet'!$A$36&gt;35,N105+M106-V105,IF(A106&lt;'Données projet'!$A$36,$K$205^A106,IF(A106='Données projet'!$A$36,'Données projet'!$B$36,N105+M106-V105)))</f>
        <v>264.59222222222206</v>
      </c>
      <c r="O106" s="13">
        <f>N106*VLOOKUP('Données projet'!$B$9,Paramètres!$A$1:$I$89,3,0)*VLOOKUP('Données projet'!$B$9,Paramètres!$A$1:$I$89,5,0)</f>
        <v>301.31762266666647</v>
      </c>
      <c r="P106" s="13">
        <f t="shared" si="87"/>
        <v>71.452617304074849</v>
      </c>
      <c r="Q106" s="20">
        <f t="shared" si="107"/>
        <v>649.24150128237454</v>
      </c>
      <c r="R106" s="59">
        <f t="shared" si="55"/>
        <v>942.57483461570791</v>
      </c>
      <c r="S106" s="59">
        <f ca="1">AVERAGE(OFFSET($R$3,0,0,'Données projet'!$E$9+1,1))-AVERAGE(OFFSET($H$3,0,0,'Données projet'!$E$9+1,1))</f>
        <v>593.28343396240075</v>
      </c>
      <c r="T106" s="59">
        <f t="shared" si="88"/>
        <v>289.66477662068695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11.903343741985291</v>
      </c>
      <c r="AA106" s="21">
        <f>EXP(-LN(2)/25)*AA105+(1-EXP(-LN(2)/25))/(LN(2)/25)*Calculateur!V106*Calculateur!X106*VLOOKUP('Données projet'!$B$9,Paramètres!$A$1:$I$89,3,0)*0.475*44/12</f>
        <v>29.931044159277384</v>
      </c>
      <c r="AB106" s="21">
        <f>EXP(-LN(2)/2)*AB105+(1-EXP(-LN(2)/2))/(LN(2)/2)*V106*Y106*VLOOKUP('Données projet'!$B$9,Paramètres!$A$1:$I$89,3,0)*0.475*44/12</f>
        <v>0.29550286097345352</v>
      </c>
      <c r="AC106" s="22">
        <f t="shared" si="57"/>
        <v>42.12989076223613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1.1368683772161603E-13</v>
      </c>
      <c r="AJ106" s="13">
        <f>AI106*VLOOKUP('Données projet'!$B$10,Paramètres!$A$1:$I$89,3,0)*VLOOKUP('Données projet'!$B$10,Paramètres!$A$1:$I$89,5,0)</f>
        <v>6.7984728957526396E-14</v>
      </c>
      <c r="AK106" s="13">
        <f t="shared" si="89"/>
        <v>1.0682447123141398E-12</v>
      </c>
      <c r="AL106" s="20">
        <f t="shared" si="58"/>
        <v>1.978932943548152E-12</v>
      </c>
      <c r="AM106" s="59">
        <f t="shared" si="59"/>
        <v>293.3333333333353</v>
      </c>
      <c r="AN106" s="59">
        <f ca="1">AVERAGE(OFFSET($AM$3,0,0,'Données projet'!$E$10+1,1))-AVERAGE(OFFSET($H$3,0,0,'Données projet'!$E$10+1,1))</f>
        <v>302.00825291248458</v>
      </c>
      <c r="AO106" s="59">
        <f t="shared" si="90"/>
        <v>307.35115839449355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59.260975609083275</v>
      </c>
      <c r="AV106" s="21">
        <f>EXP(-LN(2)/25)*AV105+(1-EXP(-LN(2)/25))/(LN(2)/25)*Calculateur!AQ106*Calculateur!AS106*VLOOKUP('Données projet'!$B$10,Paramètres!$A$1:$I$89,3,0)*0.475*44/12</f>
        <v>14.704057216579187</v>
      </c>
      <c r="AW106" s="21">
        <f>EXP(-LN(2)/2)*AW105+(1-EXP(-LN(2)/2))/(LN(2)/2)*AQ106*AT106*VLOOKUP('Données projet'!$B$10,Paramètres!$A$1:$I$89,3,0)*0.475*44/12</f>
        <v>2.021748677736411E-5</v>
      </c>
      <c r="AX106" s="21">
        <f t="shared" si="60"/>
        <v>73.96505304314924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-2.2737367544323206E-13</v>
      </c>
      <c r="BE106" s="13">
        <f>BD106*VLOOKUP('Données projet'!$B$11,Paramètres!$A$1:$I$89,3,0)*VLOOKUP('Données projet'!$B$11,Paramètres!$A$1:$I$89,5,0)</f>
        <v>-1.3596945791505279E-13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349.71285006949597</v>
      </c>
      <c r="BJ106" s="59">
        <f t="shared" si="92"/>
        <v>258.51550516456842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97.191946063651244</v>
      </c>
      <c r="BQ106" s="21">
        <f>EXP(-LN(2)/25)*BQ105+(1-EXP(-LN(2)/25))/(LN(2)/25)*Calculateur!BL106*Calculateur!BN106*VLOOKUP('Données projet'!$B$11,Paramètres!$A$1:$I$89,3,0)*0.475*44/12</f>
        <v>27.347367762097043</v>
      </c>
      <c r="BR106" s="21">
        <f>EXP(-LN(2)/2)*BR105+(1-EXP(-LN(2)/2))/(LN(2)/2)*BL106*BO106*VLOOKUP('Données projet'!$B$11,Paramètres!$A$1:$I$89,3,0)*0.475*44/12</f>
        <v>2.4416121907949964E-2</v>
      </c>
      <c r="BS106" s="22">
        <f t="shared" si="63"/>
        <v>124.56372994765623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>
        <f>VLOOKUP(A107,'Données projet'!$A$35:$I$55,2,0)</f>
        <v>271.37</v>
      </c>
      <c r="L107" s="12">
        <f>VLOOKUP(A107,'Données projet'!$A$35:$I$55,9,0)</f>
        <v>6.7777777777777777</v>
      </c>
      <c r="M107" s="12">
        <f t="array" ref="M107">INDEX(L:L,MIN(IF(ISNUMBER(L107:L303),ROW(L107:L303),"")))</f>
        <v>6.7777777777777777</v>
      </c>
      <c r="N107" s="13">
        <f>IF('Données projet'!$A$36&gt;35,N106+M107-V106,IF(A107&lt;'Données projet'!$A$36,$K$205^A107,IF(A107='Données projet'!$A$36,'Données projet'!$B$36,N106+M107-V106)))</f>
        <v>271.36999999999983</v>
      </c>
      <c r="O107" s="13">
        <f>N107*VLOOKUP('Données projet'!$B$9,Paramètres!$A$1:$I$89,3,0)*VLOOKUP('Données projet'!$B$9,Paramètres!$A$1:$I$89,5,0)</f>
        <v>309.03615599999983</v>
      </c>
      <c r="P107" s="13">
        <f t="shared" si="87"/>
        <v>73.067504716284731</v>
      </c>
      <c r="Q107" s="20">
        <f t="shared" si="107"/>
        <v>665.49720908086226</v>
      </c>
      <c r="R107" s="59">
        <f t="shared" si="55"/>
        <v>958.83054241419563</v>
      </c>
      <c r="S107" s="59">
        <f ca="1">AVERAGE(OFFSET($R$3,0,0,'Données projet'!$E$9+1,1))-AVERAGE(OFFSET($H$3,0,0,'Données projet'!$E$9+1,1))</f>
        <v>593.28343396240075</v>
      </c>
      <c r="T107" s="59">
        <f t="shared" si="88"/>
        <v>289.66477662068695</v>
      </c>
      <c r="U107" s="15">
        <f>IF(ISNA(VLOOKUP(A107,'Données projet'!$A$35:$I$55,3,0)),0,VLOOKUP(A107,'Données projet'!$A$35:$I$55,3,0))</f>
        <v>6</v>
      </c>
      <c r="V107" s="15">
        <f>IF(ISNA(VLOOKUP(A107,'Données projet'!$A$35:$I$55,4,0)),0,VLOOKUP(A107,'Données projet'!$A$35:$I$55,4,0))</f>
        <v>39.400000000000006</v>
      </c>
      <c r="W107" s="16">
        <f>IF(ISNA(VLOOKUP(A107,'Données projet'!$A$35:$I$55,5,0)),0%,VLOOKUP(A107,'Données projet'!$A$35:$I$55,5,0)*VLOOKUP('Données projet'!$B$9,Paramètres!$A$1:$I$89,7,0))</f>
        <v>0.15049999999999999</v>
      </c>
      <c r="X107" s="16">
        <f>IF(ISNA(VLOOKUP(A107,'Données projet'!$A$35:$I$55,6,0)),0%,VLOOKUP(A107,'Données projet'!$A$35:$I$55,6,0)*VLOOKUP('Données projet'!$B$9,Paramètres!$A$1:$I$89,7,0))</f>
        <v>8.6000000000000007E-2</v>
      </c>
      <c r="Y107" s="16">
        <f>IF(ISNA(VLOOKUP(A107,'Données projet'!$A$35:$I$55,7,0)),0%,VLOOKUP(A107,'Données projet'!$A$35:$I$55,7,0))</f>
        <v>0.1</v>
      </c>
      <c r="Z107" s="21">
        <f>EXP(-LN(2)/35)*Z106+(1-EXP(-LN(2)/35))/(LN(2)/35)*V107*W107*VLOOKUP('Données projet'!$B$9,Paramètres!$A$1:$I$89,3,0)*0.475*44/12</f>
        <v>19.134883091125175</v>
      </c>
      <c r="AA107" s="21">
        <f>EXP(-LN(2)/25)*AA106+(1-EXP(-LN(2)/25))/(LN(2)/25)*Calculateur!V107*Calculateur!X107*VLOOKUP('Données projet'!$B$9,Paramètres!$A$1:$I$89,3,0)*0.475*44/12</f>
        <v>33.361472057512231</v>
      </c>
      <c r="AB107" s="21">
        <f>EXP(-LN(2)/2)*AB106+(1-EXP(-LN(2)/2))/(LN(2)/2)*V107*Y107*VLOOKUP('Données projet'!$B$9,Paramètres!$A$1:$I$89,3,0)*0.475*44/12</f>
        <v>4.4424365712436629</v>
      </c>
      <c r="AC107" s="22">
        <f t="shared" si="57"/>
        <v>56.938791719881067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1.1368683772161603E-13</v>
      </c>
      <c r="AJ107" s="13">
        <f>AI107*VLOOKUP('Données projet'!$B$10,Paramètres!$A$1:$I$89,3,0)*VLOOKUP('Données projet'!$B$10,Paramètres!$A$1:$I$89,5,0)</f>
        <v>6.7984728957526396E-14</v>
      </c>
      <c r="AK107" s="13">
        <f t="shared" si="89"/>
        <v>1.0682447123141398E-12</v>
      </c>
      <c r="AL107" s="20">
        <f t="shared" si="58"/>
        <v>1.978932943548152E-12</v>
      </c>
      <c r="AM107" s="59">
        <f t="shared" si="59"/>
        <v>293.3333333333353</v>
      </c>
      <c r="AN107" s="59">
        <f ca="1">AVERAGE(OFFSET($AM$3,0,0,'Données projet'!$E$10+1,1))-AVERAGE(OFFSET($H$3,0,0,'Données projet'!$E$10+1,1))</f>
        <v>302.00825291248458</v>
      </c>
      <c r="AO107" s="59">
        <f t="shared" si="90"/>
        <v>307.35115839449355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58.098904023015187</v>
      </c>
      <c r="AV107" s="21">
        <f>EXP(-LN(2)/25)*AV106+(1-EXP(-LN(2)/25))/(LN(2)/25)*Calculateur!AQ107*Calculateur!AS107*VLOOKUP('Données projet'!$B$10,Paramètres!$A$1:$I$89,3,0)*0.475*44/12</f>
        <v>14.301973998739067</v>
      </c>
      <c r="AW107" s="21">
        <f>EXP(-LN(2)/2)*AW106+(1-EXP(-LN(2)/2))/(LN(2)/2)*AQ107*AT107*VLOOKUP('Données projet'!$B$10,Paramètres!$A$1:$I$89,3,0)*0.475*44/12</f>
        <v>1.4295921998823522E-5</v>
      </c>
      <c r="AX107" s="21">
        <f t="shared" si="60"/>
        <v>72.400892317676252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-2.2737367544323206E-13</v>
      </c>
      <c r="BE107" s="13">
        <f>BD107*VLOOKUP('Données projet'!$B$11,Paramètres!$A$1:$I$89,3,0)*VLOOKUP('Données projet'!$B$11,Paramètres!$A$1:$I$89,5,0)</f>
        <v>-1.3596945791505279E-13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349.71285006949597</v>
      </c>
      <c r="BJ107" s="59">
        <f t="shared" si="92"/>
        <v>258.51550516456842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95.2860712825766</v>
      </c>
      <c r="BQ107" s="21">
        <f>EXP(-LN(2)/25)*BQ106+(1-EXP(-LN(2)/25))/(LN(2)/25)*Calculateur!BL107*Calculateur!BN107*VLOOKUP('Données projet'!$B$11,Paramètres!$A$1:$I$89,3,0)*0.475*44/12</f>
        <v>26.599552552506932</v>
      </c>
      <c r="BR107" s="21">
        <f>EXP(-LN(2)/2)*BR106+(1-EXP(-LN(2)/2))/(LN(2)/2)*BL107*BO107*VLOOKUP('Données projet'!$B$11,Paramètres!$A$1:$I$89,3,0)*0.475*44/12</f>
        <v>1.7264805371388844E-2</v>
      </c>
      <c r="BS107" s="22">
        <f t="shared" si="63"/>
        <v>121.90288864045492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6.8811111111111085</v>
      </c>
      <c r="N108" s="13">
        <f>IF('Données projet'!$A$36&gt;35,N107+M108-V107,IF(A108&lt;'Données projet'!$A$36,$K$205^A108,IF(A108='Données projet'!$A$36,'Données projet'!$B$36,N107+M108-V107)))</f>
        <v>238.85111111111095</v>
      </c>
      <c r="O108" s="13">
        <f>N108*VLOOKUP('Données projet'!$B$9,Paramètres!$A$1:$I$89,3,0)*VLOOKUP('Données projet'!$B$9,Paramètres!$A$1:$I$89,5,0)</f>
        <v>272.00364533333311</v>
      </c>
      <c r="P108" s="13">
        <f t="shared" si="87"/>
        <v>65.274310248407801</v>
      </c>
      <c r="Q108" s="20">
        <f t="shared" si="107"/>
        <v>587.42577263819874</v>
      </c>
      <c r="R108" s="59">
        <f t="shared" si="55"/>
        <v>880.75910597153211</v>
      </c>
      <c r="S108" s="59">
        <f ca="1">AVERAGE(OFFSET($R$3,0,0,'Données projet'!$E$9+1,1))-AVERAGE(OFFSET($H$3,0,0,'Données projet'!$E$9+1,1))</f>
        <v>593.28343396240075</v>
      </c>
      <c r="T108" s="59">
        <f t="shared" si="88"/>
        <v>289.66477662068695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18.759659704834469</v>
      </c>
      <c r="AA108" s="21">
        <f>EXP(-LN(2)/25)*AA107+(1-EXP(-LN(2)/25))/(LN(2)/25)*Calculateur!V108*Calculateur!X108*VLOOKUP('Données projet'!$B$9,Paramètres!$A$1:$I$89,3,0)*0.475*44/12</f>
        <v>32.449200849695991</v>
      </c>
      <c r="AB108" s="21">
        <f>EXP(-LN(2)/2)*AB107+(1-EXP(-LN(2)/2))/(LN(2)/2)*V108*Y108*VLOOKUP('Données projet'!$B$9,Paramètres!$A$1:$I$89,3,0)*0.475*44/12</f>
        <v>3.1412770245175095</v>
      </c>
      <c r="AC108" s="22">
        <f t="shared" si="57"/>
        <v>54.350137579047967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1.1368683772161603E-13</v>
      </c>
      <c r="AJ108" s="13">
        <f>AI108*VLOOKUP('Données projet'!$B$10,Paramètres!$A$1:$I$89,3,0)*VLOOKUP('Données projet'!$B$10,Paramètres!$A$1:$I$89,5,0)</f>
        <v>6.7984728957526396E-14</v>
      </c>
      <c r="AK108" s="13">
        <f t="shared" si="89"/>
        <v>1.0682447123141398E-12</v>
      </c>
      <c r="AL108" s="20">
        <f t="shared" si="58"/>
        <v>1.978932943548152E-12</v>
      </c>
      <c r="AM108" s="59">
        <f t="shared" si="59"/>
        <v>293.3333333333353</v>
      </c>
      <c r="AN108" s="59">
        <f ca="1">AVERAGE(OFFSET($AM$3,0,0,'Données projet'!$E$10+1,1))-AVERAGE(OFFSET($H$3,0,0,'Données projet'!$E$10+1,1))</f>
        <v>302.00825291248458</v>
      </c>
      <c r="AO108" s="59">
        <f t="shared" si="90"/>
        <v>307.35115839449355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56.959619951956213</v>
      </c>
      <c r="AV108" s="21">
        <f>EXP(-LN(2)/25)*AV107+(1-EXP(-LN(2)/25))/(LN(2)/25)*Calculateur!AQ108*Calculateur!AS108*VLOOKUP('Données projet'!$B$10,Paramètres!$A$1:$I$89,3,0)*0.475*44/12</f>
        <v>13.910885767635422</v>
      </c>
      <c r="AW108" s="21">
        <f>EXP(-LN(2)/2)*AW107+(1-EXP(-LN(2)/2))/(LN(2)/2)*AQ108*AT108*VLOOKUP('Données projet'!$B$10,Paramètres!$A$1:$I$89,3,0)*0.475*44/12</f>
        <v>1.0108743388682055E-5</v>
      </c>
      <c r="AX108" s="21">
        <f t="shared" si="60"/>
        <v>70.870515828335016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-2.2737367544323206E-13</v>
      </c>
      <c r="BE108" s="13">
        <f>BD108*VLOOKUP('Données projet'!$B$11,Paramètres!$A$1:$I$89,3,0)*VLOOKUP('Données projet'!$B$11,Paramètres!$A$1:$I$89,5,0)</f>
        <v>-1.3596945791505279E-13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349.71285006949597</v>
      </c>
      <c r="BJ108" s="59">
        <f t="shared" si="92"/>
        <v>258.51550516456842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93.417569543490004</v>
      </c>
      <c r="BQ108" s="21">
        <f>EXP(-LN(2)/25)*BQ107+(1-EXP(-LN(2)/25))/(LN(2)/25)*Calculateur!BL108*Calculateur!BN108*VLOOKUP('Données projet'!$B$11,Paramètres!$A$1:$I$89,3,0)*0.475*44/12</f>
        <v>25.872186389148954</v>
      </c>
      <c r="BR108" s="21">
        <f>EXP(-LN(2)/2)*BR107+(1-EXP(-LN(2)/2))/(LN(2)/2)*BL108*BO108*VLOOKUP('Données projet'!$B$11,Paramètres!$A$1:$I$89,3,0)*0.475*44/12</f>
        <v>1.2208060953974982E-2</v>
      </c>
      <c r="BS108" s="22">
        <f t="shared" si="63"/>
        <v>119.30196399359293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6.8811111111111085</v>
      </c>
      <c r="N109" s="13">
        <f>IF('Données projet'!$A$36&gt;35,N108+M109-V108,IF(A109&lt;'Données projet'!$A$36,$K$205^A109,IF(A109='Données projet'!$A$36,'Données projet'!$B$36,N108+M109-V108)))</f>
        <v>245.73222222222205</v>
      </c>
      <c r="O109" s="13">
        <f>N109*VLOOKUP('Données projet'!$B$9,Paramètres!$A$1:$I$89,3,0)*VLOOKUP('Données projet'!$B$9,Paramètres!$A$1:$I$89,5,0)</f>
        <v>279.8398546666665</v>
      </c>
      <c r="P109" s="13">
        <f t="shared" si="87"/>
        <v>66.933164441747081</v>
      </c>
      <c r="Q109" s="20">
        <f t="shared" si="107"/>
        <v>603.96300828048697</v>
      </c>
      <c r="R109" s="59">
        <f t="shared" si="55"/>
        <v>897.29634161382023</v>
      </c>
      <c r="S109" s="59">
        <f ca="1">AVERAGE(OFFSET($R$3,0,0,'Données projet'!$E$9+1,1))-AVERAGE(OFFSET($H$3,0,0,'Données projet'!$E$9+1,1))</f>
        <v>593.28343396240075</v>
      </c>
      <c r="T109" s="59">
        <f t="shared" si="88"/>
        <v>289.66477662068695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18.391794220285256</v>
      </c>
      <c r="AA109" s="21">
        <f>EXP(-LN(2)/25)*AA108+(1-EXP(-LN(2)/25))/(LN(2)/25)*Calculateur!V109*Calculateur!X109*VLOOKUP('Données projet'!$B$9,Paramètres!$A$1:$I$89,3,0)*0.475*44/12</f>
        <v>31.561875746031745</v>
      </c>
      <c r="AB109" s="21">
        <f>EXP(-LN(2)/2)*AB108+(1-EXP(-LN(2)/2))/(LN(2)/2)*V109*Y109*VLOOKUP('Données projet'!$B$9,Paramètres!$A$1:$I$89,3,0)*0.475*44/12</f>
        <v>2.2212182856218319</v>
      </c>
      <c r="AC109" s="22">
        <f t="shared" si="57"/>
        <v>52.174888251938832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1.1368683772161603E-13</v>
      </c>
      <c r="AJ109" s="13">
        <f>AI109*VLOOKUP('Données projet'!$B$10,Paramètres!$A$1:$I$89,3,0)*VLOOKUP('Données projet'!$B$10,Paramètres!$A$1:$I$89,5,0)</f>
        <v>6.7984728957526396E-14</v>
      </c>
      <c r="AK109" s="13">
        <f t="shared" si="89"/>
        <v>1.0682447123141398E-12</v>
      </c>
      <c r="AL109" s="20">
        <f t="shared" si="58"/>
        <v>1.978932943548152E-12</v>
      </c>
      <c r="AM109" s="59">
        <f t="shared" si="59"/>
        <v>293.3333333333353</v>
      </c>
      <c r="AN109" s="59">
        <f ca="1">AVERAGE(OFFSET($AM$3,0,0,'Données projet'!$E$10+1,1))-AVERAGE(OFFSET($H$3,0,0,'Données projet'!$E$10+1,1))</f>
        <v>302.00825291248458</v>
      </c>
      <c r="AO109" s="59">
        <f t="shared" si="90"/>
        <v>307.35115839449355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55.842676546636042</v>
      </c>
      <c r="AV109" s="21">
        <f>EXP(-LN(2)/25)*AV108+(1-EXP(-LN(2)/25))/(LN(2)/25)*Calculateur!AQ109*Calculateur!AS109*VLOOKUP('Données projet'!$B$10,Paramètres!$A$1:$I$89,3,0)*0.475*44/12</f>
        <v>13.530491864777742</v>
      </c>
      <c r="AW109" s="21">
        <f>EXP(-LN(2)/2)*AW108+(1-EXP(-LN(2)/2))/(LN(2)/2)*AQ109*AT109*VLOOKUP('Données projet'!$B$10,Paramètres!$A$1:$I$89,3,0)*0.475*44/12</f>
        <v>7.147960999411761E-6</v>
      </c>
      <c r="AX109" s="21">
        <f t="shared" si="60"/>
        <v>69.373175559374786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-2.2737367544323206E-13</v>
      </c>
      <c r="BE109" s="13">
        <f>BD109*VLOOKUP('Données projet'!$B$11,Paramètres!$A$1:$I$89,3,0)*VLOOKUP('Données projet'!$B$11,Paramètres!$A$1:$I$89,5,0)</f>
        <v>-1.3596945791505279E-13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349.71285006949597</v>
      </c>
      <c r="BJ109" s="59">
        <f t="shared" si="92"/>
        <v>258.51550516456842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91.585707983833373</v>
      </c>
      <c r="BQ109" s="21">
        <f>EXP(-LN(2)/25)*BQ108+(1-EXP(-LN(2)/25))/(LN(2)/25)*Calculateur!BL109*Calculateur!BN109*VLOOKUP('Données projet'!$B$11,Paramètres!$A$1:$I$89,3,0)*0.475*44/12</f>
        <v>25.164710091778524</v>
      </c>
      <c r="BR109" s="21">
        <f>EXP(-LN(2)/2)*BR108+(1-EXP(-LN(2)/2))/(LN(2)/2)*BL109*BO109*VLOOKUP('Données projet'!$B$11,Paramètres!$A$1:$I$89,3,0)*0.475*44/12</f>
        <v>8.6324026856944222E-3</v>
      </c>
      <c r="BS109" s="22">
        <f t="shared" si="63"/>
        <v>116.75905047829758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6.8811111111111085</v>
      </c>
      <c r="N110" s="13">
        <f>IF('Données projet'!$A$36&gt;35,N109+M110-V109,IF(A110&lt;'Données projet'!$A$36,$K$205^A110,IF(A110='Données projet'!$A$36,'Données projet'!$B$36,N109+M110-V109)))</f>
        <v>252.61333333333314</v>
      </c>
      <c r="O110" s="13">
        <f>N110*VLOOKUP('Données projet'!$B$9,Paramètres!$A$1:$I$89,3,0)*VLOOKUP('Données projet'!$B$9,Paramètres!$A$1:$I$89,5,0)</f>
        <v>287.67606399999983</v>
      </c>
      <c r="P110" s="13">
        <f t="shared" si="87"/>
        <v>68.586619675955717</v>
      </c>
      <c r="Q110" s="20">
        <f t="shared" si="107"/>
        <v>620.49084073562256</v>
      </c>
      <c r="R110" s="59">
        <f t="shared" si="55"/>
        <v>913.82417406895593</v>
      </c>
      <c r="S110" s="59">
        <f ca="1">AVERAGE(OFFSET($R$3,0,0,'Données projet'!$E$9+1,1))-AVERAGE(OFFSET($H$3,0,0,'Données projet'!$E$9+1,1))</f>
        <v>593.28343396240075</v>
      </c>
      <c r="T110" s="59">
        <f t="shared" si="88"/>
        <v>289.66477662068695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18.031142353512262</v>
      </c>
      <c r="AA110" s="21">
        <f>EXP(-LN(2)/25)*AA109+(1-EXP(-LN(2)/25))/(LN(2)/25)*Calculateur!V110*Calculateur!X110*VLOOKUP('Données projet'!$B$9,Paramètres!$A$1:$I$89,3,0)*0.475*44/12</f>
        <v>30.698814593989596</v>
      </c>
      <c r="AB110" s="21">
        <f>EXP(-LN(2)/2)*AB109+(1-EXP(-LN(2)/2))/(LN(2)/2)*V110*Y110*VLOOKUP('Données projet'!$B$9,Paramètres!$A$1:$I$89,3,0)*0.475*44/12</f>
        <v>1.5706385122587549</v>
      </c>
      <c r="AC110" s="22">
        <f t="shared" si="57"/>
        <v>50.300595459760615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1.1368683772161603E-13</v>
      </c>
      <c r="AJ110" s="13">
        <f>AI110*VLOOKUP('Données projet'!$B$10,Paramètres!$A$1:$I$89,3,0)*VLOOKUP('Données projet'!$B$10,Paramètres!$A$1:$I$89,5,0)</f>
        <v>6.7984728957526396E-14</v>
      </c>
      <c r="AK110" s="13">
        <f t="shared" si="89"/>
        <v>1.0682447123141398E-12</v>
      </c>
      <c r="AL110" s="20">
        <f t="shared" si="58"/>
        <v>1.978932943548152E-12</v>
      </c>
      <c r="AM110" s="59">
        <f t="shared" si="59"/>
        <v>293.3333333333353</v>
      </c>
      <c r="AN110" s="59">
        <f ca="1">AVERAGE(OFFSET($AM$3,0,0,'Données projet'!$E$10+1,1))-AVERAGE(OFFSET($H$3,0,0,'Données projet'!$E$10+1,1))</f>
        <v>302.00825291248458</v>
      </c>
      <c r="AO110" s="59">
        <f t="shared" si="90"/>
        <v>307.35115839449355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54.747635720225993</v>
      </c>
      <c r="AV110" s="21">
        <f>EXP(-LN(2)/25)*AV109+(1-EXP(-LN(2)/25))/(LN(2)/25)*Calculateur!AQ110*Calculateur!AS110*VLOOKUP('Données projet'!$B$10,Paramètres!$A$1:$I$89,3,0)*0.475*44/12</f>
        <v>13.160499853197752</v>
      </c>
      <c r="AW110" s="21">
        <f>EXP(-LN(2)/2)*AW109+(1-EXP(-LN(2)/2))/(LN(2)/2)*AQ110*AT110*VLOOKUP('Données projet'!$B$10,Paramètres!$A$1:$I$89,3,0)*0.475*44/12</f>
        <v>5.0543716943410276E-6</v>
      </c>
      <c r="AX110" s="21">
        <f t="shared" si="60"/>
        <v>67.908140627795447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-2.2737367544323206E-13</v>
      </c>
      <c r="BE110" s="13">
        <f>BD110*VLOOKUP('Données projet'!$B$11,Paramètres!$A$1:$I$89,3,0)*VLOOKUP('Données projet'!$B$11,Paramètres!$A$1:$I$89,5,0)</f>
        <v>-1.3596945791505279E-13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349.71285006949597</v>
      </c>
      <c r="BJ110" s="59">
        <f t="shared" si="92"/>
        <v>258.51550516456842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89.789768112036384</v>
      </c>
      <c r="BQ110" s="21">
        <f>EXP(-LN(2)/25)*BQ109+(1-EXP(-LN(2)/25))/(LN(2)/25)*Calculateur!BL110*Calculateur!BN110*VLOOKUP('Données projet'!$B$11,Paramètres!$A$1:$I$89,3,0)*0.475*44/12</f>
        <v>24.47657977096425</v>
      </c>
      <c r="BR110" s="21">
        <f>EXP(-LN(2)/2)*BR109+(1-EXP(-LN(2)/2))/(LN(2)/2)*BL110*BO110*VLOOKUP('Données projet'!$B$11,Paramètres!$A$1:$I$89,3,0)*0.475*44/12</f>
        <v>6.104030476987491E-3</v>
      </c>
      <c r="BS110" s="22">
        <f t="shared" si="63"/>
        <v>114.27245191347762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6.8811111111111085</v>
      </c>
      <c r="N111" s="13">
        <f>IF('Données projet'!$A$36&gt;35,N110+M111-V110,IF(A111&lt;'Données projet'!$A$36,$K$205^A111,IF(A111='Données projet'!$A$36,'Données projet'!$B$36,N110+M111-V110)))</f>
        <v>259.49444444444424</v>
      </c>
      <c r="O111" s="13">
        <f>N111*VLOOKUP('Données projet'!$B$9,Paramètres!$A$1:$I$89,3,0)*VLOOKUP('Données projet'!$B$9,Paramètres!$A$1:$I$89,5,0)</f>
        <v>295.5122733333331</v>
      </c>
      <c r="P111" s="13">
        <f t="shared" si="87"/>
        <v>70.234839916588783</v>
      </c>
      <c r="Q111" s="20">
        <f t="shared" si="107"/>
        <v>637.00955557694726</v>
      </c>
      <c r="R111" s="59">
        <f t="shared" si="55"/>
        <v>930.34288891028064</v>
      </c>
      <c r="S111" s="59">
        <f ca="1">AVERAGE(OFFSET($R$3,0,0,'Données projet'!$E$9+1,1))-AVERAGE(OFFSET($H$3,0,0,'Données projet'!$E$9+1,1))</f>
        <v>593.28343396240075</v>
      </c>
      <c r="T111" s="59">
        <f t="shared" si="88"/>
        <v>289.66477662068695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17.677562649870769</v>
      </c>
      <c r="AA111" s="21">
        <f>EXP(-LN(2)/25)*AA110+(1-EXP(-LN(2)/25))/(LN(2)/25)*Calculateur!V111*Calculateur!X111*VLOOKUP('Données projet'!$B$9,Paramètres!$A$1:$I$89,3,0)*0.475*44/12</f>
        <v>29.859353894536454</v>
      </c>
      <c r="AB111" s="21">
        <f>EXP(-LN(2)/2)*AB110+(1-EXP(-LN(2)/2))/(LN(2)/2)*V111*Y111*VLOOKUP('Données projet'!$B$9,Paramètres!$A$1:$I$89,3,0)*0.475*44/12</f>
        <v>1.1106091428109162</v>
      </c>
      <c r="AC111" s="22">
        <f t="shared" si="57"/>
        <v>48.647525687218135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1.1368683772161603E-13</v>
      </c>
      <c r="AJ111" s="13">
        <f>AI111*VLOOKUP('Données projet'!$B$10,Paramètres!$A$1:$I$89,3,0)*VLOOKUP('Données projet'!$B$10,Paramètres!$A$1:$I$89,5,0)</f>
        <v>6.7984728957526396E-14</v>
      </c>
      <c r="AK111" s="13">
        <f t="shared" si="89"/>
        <v>1.0682447123141398E-12</v>
      </c>
      <c r="AL111" s="20">
        <f t="shared" si="58"/>
        <v>1.978932943548152E-12</v>
      </c>
      <c r="AM111" s="59">
        <f t="shared" si="59"/>
        <v>293.3333333333353</v>
      </c>
      <c r="AN111" s="59">
        <f ca="1">AVERAGE(OFFSET($AM$3,0,0,'Données projet'!$E$10+1,1))-AVERAGE(OFFSET($H$3,0,0,'Données projet'!$E$10+1,1))</f>
        <v>302.00825291248458</v>
      </c>
      <c r="AO111" s="59">
        <f t="shared" si="90"/>
        <v>307.35115839449355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53.674067976512887</v>
      </c>
      <c r="AV111" s="21">
        <f>EXP(-LN(2)/25)*AV110+(1-EXP(-LN(2)/25))/(LN(2)/25)*Calculateur!AQ111*Calculateur!AS111*VLOOKUP('Données projet'!$B$10,Paramètres!$A$1:$I$89,3,0)*0.475*44/12</f>
        <v>12.800625292631452</v>
      </c>
      <c r="AW111" s="21">
        <f>EXP(-LN(2)/2)*AW110+(1-EXP(-LN(2)/2))/(LN(2)/2)*AQ111*AT111*VLOOKUP('Données projet'!$B$10,Paramètres!$A$1:$I$89,3,0)*0.475*44/12</f>
        <v>3.5739804997058805E-6</v>
      </c>
      <c r="AX111" s="21">
        <f t="shared" si="60"/>
        <v>66.474696843124832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-2.2737367544323206E-13</v>
      </c>
      <c r="BE111" s="13">
        <f>BD111*VLOOKUP('Données projet'!$B$11,Paramètres!$A$1:$I$89,3,0)*VLOOKUP('Données projet'!$B$11,Paramètres!$A$1:$I$89,5,0)</f>
        <v>-1.3596945791505279E-13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349.71285006949597</v>
      </c>
      <c r="BJ111" s="59">
        <f t="shared" si="92"/>
        <v>258.51550516456842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88.029045525710174</v>
      </c>
      <c r="BQ111" s="21">
        <f>EXP(-LN(2)/25)*BQ110+(1-EXP(-LN(2)/25))/(LN(2)/25)*Calculateur!BL111*Calculateur!BN111*VLOOKUP('Données projet'!$B$11,Paramètres!$A$1:$I$89,3,0)*0.475*44/12</f>
        <v>23.807266409959844</v>
      </c>
      <c r="BR111" s="21">
        <f>EXP(-LN(2)/2)*BR110+(1-EXP(-LN(2)/2))/(LN(2)/2)*BL111*BO111*VLOOKUP('Données projet'!$B$11,Paramètres!$A$1:$I$89,3,0)*0.475*44/12</f>
        <v>4.3162013428472111E-3</v>
      </c>
      <c r="BS111" s="22">
        <f t="shared" si="63"/>
        <v>111.84062813701286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6.8811111111111085</v>
      </c>
      <c r="N112" s="13">
        <f>IF('Données projet'!$A$36&gt;35,N111+M112-V111,IF(A112&lt;'Données projet'!$A$36,$K$205^A112,IF(A112='Données projet'!$A$36,'Données projet'!$B$36,N111+M112-V111)))</f>
        <v>266.37555555555537</v>
      </c>
      <c r="O112" s="13">
        <f>N112*VLOOKUP('Données projet'!$B$9,Paramètres!$A$1:$I$89,3,0)*VLOOKUP('Données projet'!$B$9,Paramètres!$A$1:$I$89,5,0)</f>
        <v>303.34848266666648</v>
      </c>
      <c r="P112" s="13">
        <f t="shared" si="87"/>
        <v>71.877979938164458</v>
      </c>
      <c r="Q112" s="20">
        <f t="shared" si="107"/>
        <v>653.51942237008052</v>
      </c>
      <c r="R112" s="59">
        <f t="shared" si="55"/>
        <v>946.85275570341378</v>
      </c>
      <c r="S112" s="59">
        <f ca="1">AVERAGE(OFFSET($R$3,0,0,'Données projet'!$E$9+1,1))-AVERAGE(OFFSET($H$3,0,0,'Données projet'!$E$9+1,1))</f>
        <v>593.28343396240075</v>
      </c>
      <c r="T112" s="59">
        <f t="shared" si="88"/>
        <v>289.66477662068695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17.330916428555362</v>
      </c>
      <c r="AA112" s="21">
        <f>EXP(-LN(2)/25)*AA111+(1-EXP(-LN(2)/25))/(LN(2)/25)*Calculateur!V112*Calculateur!X112*VLOOKUP('Données projet'!$B$9,Paramètres!$A$1:$I$89,3,0)*0.475*44/12</f>
        <v>29.042848292055179</v>
      </c>
      <c r="AB112" s="21">
        <f>EXP(-LN(2)/2)*AB111+(1-EXP(-LN(2)/2))/(LN(2)/2)*V112*Y112*VLOOKUP('Données projet'!$B$9,Paramètres!$A$1:$I$89,3,0)*0.475*44/12</f>
        <v>0.7853192561293777</v>
      </c>
      <c r="AC112" s="22">
        <f t="shared" si="57"/>
        <v>47.159083976739915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1.1368683772161603E-13</v>
      </c>
      <c r="AJ112" s="13">
        <f>AI112*VLOOKUP('Données projet'!$B$10,Paramètres!$A$1:$I$89,3,0)*VLOOKUP('Données projet'!$B$10,Paramètres!$A$1:$I$89,5,0)</f>
        <v>6.7984728957526396E-14</v>
      </c>
      <c r="AK112" s="13">
        <f t="shared" si="89"/>
        <v>1.0682447123141398E-12</v>
      </c>
      <c r="AL112" s="20">
        <f t="shared" si="58"/>
        <v>1.978932943548152E-12</v>
      </c>
      <c r="AM112" s="59">
        <f t="shared" si="59"/>
        <v>293.3333333333353</v>
      </c>
      <c r="AN112" s="59">
        <f ca="1">AVERAGE(OFFSET($AM$3,0,0,'Données projet'!$E$10+1,1))-AVERAGE(OFFSET($H$3,0,0,'Données projet'!$E$10+1,1))</f>
        <v>302.00825291248458</v>
      </c>
      <c r="AO112" s="59">
        <f t="shared" si="90"/>
        <v>307.35115839449355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52.62155224144233</v>
      </c>
      <c r="AV112" s="21">
        <f>EXP(-LN(2)/25)*AV111+(1-EXP(-LN(2)/25))/(LN(2)/25)*Calculateur!AQ112*Calculateur!AS112*VLOOKUP('Données projet'!$B$10,Paramètres!$A$1:$I$89,3,0)*0.475*44/12</f>
        <v>12.450591520848816</v>
      </c>
      <c r="AW112" s="21">
        <f>EXP(-LN(2)/2)*AW111+(1-EXP(-LN(2)/2))/(LN(2)/2)*AQ112*AT112*VLOOKUP('Données projet'!$B$10,Paramètres!$A$1:$I$89,3,0)*0.475*44/12</f>
        <v>2.5271858471705138E-6</v>
      </c>
      <c r="AX112" s="21">
        <f t="shared" si="60"/>
        <v>65.07214628947699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-2.2737367544323206E-13</v>
      </c>
      <c r="BE112" s="13">
        <f>BD112*VLOOKUP('Données projet'!$B$11,Paramètres!$A$1:$I$89,3,0)*VLOOKUP('Données projet'!$B$11,Paramètres!$A$1:$I$89,5,0)</f>
        <v>-1.3596945791505279E-13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349.71285006949597</v>
      </c>
      <c r="BJ112" s="59">
        <f t="shared" si="92"/>
        <v>258.51550516456842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86.302849635367082</v>
      </c>
      <c r="BQ112" s="21">
        <f>EXP(-LN(2)/25)*BQ111+(1-EXP(-LN(2)/25))/(LN(2)/25)*Calculateur!BL112*Calculateur!BN112*VLOOKUP('Données projet'!$B$11,Paramètres!$A$1:$I$89,3,0)*0.475*44/12</f>
        <v>23.156255458009763</v>
      </c>
      <c r="BR112" s="21">
        <f>EXP(-LN(2)/2)*BR111+(1-EXP(-LN(2)/2))/(LN(2)/2)*BL112*BO112*VLOOKUP('Données projet'!$B$11,Paramètres!$A$1:$I$89,3,0)*0.475*44/12</f>
        <v>3.0520152384937455E-3</v>
      </c>
      <c r="BS112" s="22">
        <f t="shared" si="63"/>
        <v>109.46215710861534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6.8811111111111085</v>
      </c>
      <c r="N113" s="13">
        <f>IF('Données projet'!$A$36&gt;35,N112+M113-V112,IF(A113&lt;'Données projet'!$A$36,$K$205^A113,IF(A113='Données projet'!$A$36,'Données projet'!$B$36,N112+M113-V112)))</f>
        <v>273.25666666666649</v>
      </c>
      <c r="O113" s="13">
        <f>N113*VLOOKUP('Données projet'!$B$9,Paramètres!$A$1:$I$89,3,0)*VLOOKUP('Données projet'!$B$9,Paramètres!$A$1:$I$89,5,0)</f>
        <v>311.18469199999981</v>
      </c>
      <c r="P113" s="13">
        <f t="shared" si="87"/>
        <v>73.51618606329977</v>
      </c>
      <c r="Q113" s="20">
        <f t="shared" si="107"/>
        <v>670.02069596024683</v>
      </c>
      <c r="R113" s="59">
        <f t="shared" si="55"/>
        <v>963.3540292935802</v>
      </c>
      <c r="S113" s="59">
        <f ca="1">AVERAGE(OFFSET($R$3,0,0,'Données projet'!$E$9+1,1))-AVERAGE(OFFSET($H$3,0,0,'Données projet'!$E$9+1,1))</f>
        <v>593.28343396240075</v>
      </c>
      <c r="T113" s="59">
        <f t="shared" si="88"/>
        <v>289.66477662068695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16.99106772820663</v>
      </c>
      <c r="AA113" s="21">
        <f>EXP(-LN(2)/25)*AA112+(1-EXP(-LN(2)/25))/(LN(2)/25)*Calculateur!V113*Calculateur!X113*VLOOKUP('Données projet'!$B$9,Paramètres!$A$1:$I$89,3,0)*0.475*44/12</f>
        <v>28.248670078211916</v>
      </c>
      <c r="AB113" s="21">
        <f>EXP(-LN(2)/2)*AB112+(1-EXP(-LN(2)/2))/(LN(2)/2)*V113*Y113*VLOOKUP('Données projet'!$B$9,Paramètres!$A$1:$I$89,3,0)*0.475*44/12</f>
        <v>0.55530457140545819</v>
      </c>
      <c r="AC113" s="22">
        <f t="shared" si="57"/>
        <v>45.795042377824004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1.1368683772161603E-13</v>
      </c>
      <c r="AJ113" s="13">
        <f>AI113*VLOOKUP('Données projet'!$B$10,Paramètres!$A$1:$I$89,3,0)*VLOOKUP('Données projet'!$B$10,Paramètres!$A$1:$I$89,5,0)</f>
        <v>6.7984728957526396E-14</v>
      </c>
      <c r="AK113" s="13">
        <f t="shared" si="89"/>
        <v>1.0682447123141398E-12</v>
      </c>
      <c r="AL113" s="20">
        <f t="shared" si="58"/>
        <v>1.978932943548152E-12</v>
      </c>
      <c r="AM113" s="59">
        <f t="shared" si="59"/>
        <v>293.3333333333353</v>
      </c>
      <c r="AN113" s="59">
        <f ca="1">AVERAGE(OFFSET($AM$3,0,0,'Données projet'!$E$10+1,1))-AVERAGE(OFFSET($H$3,0,0,'Données projet'!$E$10+1,1))</f>
        <v>302.00825291248458</v>
      </c>
      <c r="AO113" s="59">
        <f t="shared" si="90"/>
        <v>307.35115839449355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51.589675697965298</v>
      </c>
      <c r="AV113" s="21">
        <f>EXP(-LN(2)/25)*AV112+(1-EXP(-LN(2)/25))/(LN(2)/25)*Calculateur!AQ113*Calculateur!AS113*VLOOKUP('Données projet'!$B$10,Paramètres!$A$1:$I$89,3,0)*0.475*44/12</f>
        <v>12.110129440963053</v>
      </c>
      <c r="AW113" s="21">
        <f>EXP(-LN(2)/2)*AW112+(1-EXP(-LN(2)/2))/(LN(2)/2)*AQ113*AT113*VLOOKUP('Données projet'!$B$10,Paramètres!$A$1:$I$89,3,0)*0.475*44/12</f>
        <v>1.7869902498529403E-6</v>
      </c>
      <c r="AX113" s="21">
        <f t="shared" si="60"/>
        <v>63.699806925918601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-2.2737367544323206E-13</v>
      </c>
      <c r="BE113" s="13">
        <f>BD113*VLOOKUP('Données projet'!$B$11,Paramètres!$A$1:$I$89,3,0)*VLOOKUP('Données projet'!$B$11,Paramètres!$A$1:$I$89,5,0)</f>
        <v>-1.3596945791505279E-13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349.71285006949597</v>
      </c>
      <c r="BJ113" s="59">
        <f t="shared" si="92"/>
        <v>258.51550516456842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84.610503393558091</v>
      </c>
      <c r="BQ113" s="21">
        <f>EXP(-LN(2)/25)*BQ112+(1-EXP(-LN(2)/25))/(LN(2)/25)*Calculateur!BL113*Calculateur!BN113*VLOOKUP('Données projet'!$B$11,Paramètres!$A$1:$I$89,3,0)*0.475*44/12</f>
        <v>22.523046434775935</v>
      </c>
      <c r="BR113" s="21">
        <f>EXP(-LN(2)/2)*BR112+(1-EXP(-LN(2)/2))/(LN(2)/2)*BL113*BO113*VLOOKUP('Données projet'!$B$11,Paramètres!$A$1:$I$89,3,0)*0.475*44/12</f>
        <v>2.1581006714236056E-3</v>
      </c>
      <c r="BS113" s="22">
        <f t="shared" si="63"/>
        <v>107.13570792900545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6.8811111111111085</v>
      </c>
      <c r="N114" s="13">
        <f>IF('Données projet'!$A$36&gt;35,N113+M114-V113,IF(A114&lt;'Données projet'!$A$36,$K$205^A114,IF(A114='Données projet'!$A$36,'Données projet'!$B$36,N113+M114-V113)))</f>
        <v>280.13777777777761</v>
      </c>
      <c r="O114" s="13">
        <f>N114*VLOOKUP('Données projet'!$B$9,Paramètres!$A$1:$I$89,3,0)*VLOOKUP('Données projet'!$B$9,Paramètres!$A$1:$I$89,5,0)</f>
        <v>319.02090133333314</v>
      </c>
      <c r="P114" s="13">
        <f t="shared" si="87"/>
        <v>75.149596825299852</v>
      </c>
      <c r="Q114" s="20">
        <f t="shared" si="107"/>
        <v>686.51361762628574</v>
      </c>
      <c r="R114" s="59">
        <f t="shared" si="55"/>
        <v>979.84695095961911</v>
      </c>
      <c r="S114" s="59">
        <f ca="1">AVERAGE(OFFSET($R$3,0,0,'Données projet'!$E$9+1,1))-AVERAGE(OFFSET($H$3,0,0,'Données projet'!$E$9+1,1))</f>
        <v>593.28343396240075</v>
      </c>
      <c r="T114" s="59">
        <f t="shared" si="88"/>
        <v>289.66477662068695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16.657883253584497</v>
      </c>
      <c r="AA114" s="21">
        <f>EXP(-LN(2)/25)*AA113+(1-EXP(-LN(2)/25))/(LN(2)/25)*Calculateur!V114*Calculateur!X114*VLOOKUP('Données projet'!$B$9,Paramètres!$A$1:$I$89,3,0)*0.475*44/12</f>
        <v>27.476208709390214</v>
      </c>
      <c r="AB114" s="21">
        <f>EXP(-LN(2)/2)*AB113+(1-EXP(-LN(2)/2))/(LN(2)/2)*V114*Y114*VLOOKUP('Données projet'!$B$9,Paramètres!$A$1:$I$89,3,0)*0.475*44/12</f>
        <v>0.3926596280646889</v>
      </c>
      <c r="AC114" s="22">
        <f t="shared" si="57"/>
        <v>44.5267515910394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1.1368683772161603E-13</v>
      </c>
      <c r="AJ114" s="13">
        <f>AI114*VLOOKUP('Données projet'!$B$10,Paramètres!$A$1:$I$89,3,0)*VLOOKUP('Données projet'!$B$10,Paramètres!$A$1:$I$89,5,0)</f>
        <v>6.7984728957526396E-14</v>
      </c>
      <c r="AK114" s="13">
        <f t="shared" si="89"/>
        <v>1.0682447123141398E-12</v>
      </c>
      <c r="AL114" s="20">
        <f t="shared" si="58"/>
        <v>1.978932943548152E-12</v>
      </c>
      <c r="AM114" s="59">
        <f t="shared" si="59"/>
        <v>293.3333333333353</v>
      </c>
      <c r="AN114" s="59">
        <f ca="1">AVERAGE(OFFSET($AM$3,0,0,'Données projet'!$E$10+1,1))-AVERAGE(OFFSET($H$3,0,0,'Données projet'!$E$10+1,1))</f>
        <v>302.00825291248458</v>
      </c>
      <c r="AO114" s="59">
        <f t="shared" si="90"/>
        <v>307.35115839449355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50.578033624123307</v>
      </c>
      <c r="AV114" s="21">
        <f>EXP(-LN(2)/25)*AV113+(1-EXP(-LN(2)/25))/(LN(2)/25)*Calculateur!AQ114*Calculateur!AS114*VLOOKUP('Données projet'!$B$10,Paramètres!$A$1:$I$89,3,0)*0.475*44/12</f>
        <v>11.77897731455589</v>
      </c>
      <c r="AW114" s="21">
        <f>EXP(-LN(2)/2)*AW113+(1-EXP(-LN(2)/2))/(LN(2)/2)*AQ114*AT114*VLOOKUP('Données projet'!$B$10,Paramètres!$A$1:$I$89,3,0)*0.475*44/12</f>
        <v>1.2635929235852569E-6</v>
      </c>
      <c r="AX114" s="21">
        <f t="shared" si="60"/>
        <v>62.357012202272116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-2.2737367544323206E-13</v>
      </c>
      <c r="BE114" s="13">
        <f>BD114*VLOOKUP('Données projet'!$B$11,Paramètres!$A$1:$I$89,3,0)*VLOOKUP('Données projet'!$B$11,Paramètres!$A$1:$I$89,5,0)</f>
        <v>-1.3596945791505279E-13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349.71285006949597</v>
      </c>
      <c r="BJ114" s="59">
        <f t="shared" si="92"/>
        <v>258.51550516456842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82.951343029321691</v>
      </c>
      <c r="BQ114" s="21">
        <f>EXP(-LN(2)/25)*BQ113+(1-EXP(-LN(2)/25))/(LN(2)/25)*Calculateur!BL114*Calculateur!BN114*VLOOKUP('Données projet'!$B$11,Paramètres!$A$1:$I$89,3,0)*0.475*44/12</f>
        <v>21.907152545581454</v>
      </c>
      <c r="BR114" s="21">
        <f>EXP(-LN(2)/2)*BR113+(1-EXP(-LN(2)/2))/(LN(2)/2)*BL114*BO114*VLOOKUP('Données projet'!$B$11,Paramètres!$A$1:$I$89,3,0)*0.475*44/12</f>
        <v>1.5260076192468728E-3</v>
      </c>
      <c r="BS114" s="22">
        <f t="shared" si="63"/>
        <v>104.86002158252239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6.8811111111111085</v>
      </c>
      <c r="N115" s="13">
        <f>IF('Données projet'!$A$36&gt;35,N114+M115-V114,IF(A115&lt;'Données projet'!$A$36,$K$205^A115,IF(A115='Données projet'!$A$36,'Données projet'!$B$36,N114+M115-V114)))</f>
        <v>287.01888888888874</v>
      </c>
      <c r="O115" s="13">
        <f>N115*VLOOKUP('Données projet'!$B$9,Paramètres!$A$1:$I$89,3,0)*VLOOKUP('Données projet'!$B$9,Paramètres!$A$1:$I$89,5,0)</f>
        <v>326.85711066666653</v>
      </c>
      <c r="P115" s="13">
        <f t="shared" si="87"/>
        <v>76.778343563812527</v>
      </c>
      <c r="Q115" s="20">
        <f t="shared" si="107"/>
        <v>702.99841611808426</v>
      </c>
      <c r="R115" s="59">
        <f t="shared" si="55"/>
        <v>996.33174945141764</v>
      </c>
      <c r="S115" s="59">
        <f ca="1">AVERAGE(OFFSET($R$3,0,0,'Données projet'!$E$9+1,1))-AVERAGE(OFFSET($H$3,0,0,'Données projet'!$E$9+1,1))</f>
        <v>593.28343396240075</v>
      </c>
      <c r="T115" s="59">
        <f t="shared" si="88"/>
        <v>289.66477662068695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16.331232323287242</v>
      </c>
      <c r="AA115" s="21">
        <f>EXP(-LN(2)/25)*AA114+(1-EXP(-LN(2)/25))/(LN(2)/25)*Calculateur!V115*Calculateur!X115*VLOOKUP('Données projet'!$B$9,Paramètres!$A$1:$I$89,3,0)*0.475*44/12</f>
        <v>26.724870337320919</v>
      </c>
      <c r="AB115" s="21">
        <f>EXP(-LN(2)/2)*AB114+(1-EXP(-LN(2)/2))/(LN(2)/2)*V115*Y115*VLOOKUP('Données projet'!$B$9,Paramètres!$A$1:$I$89,3,0)*0.475*44/12</f>
        <v>0.27765228570272915</v>
      </c>
      <c r="AC115" s="22">
        <f t="shared" si="57"/>
        <v>43.33375494631089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1.1368683772161603E-13</v>
      </c>
      <c r="AJ115" s="13">
        <f>AI115*VLOOKUP('Données projet'!$B$10,Paramètres!$A$1:$I$89,3,0)*VLOOKUP('Données projet'!$B$10,Paramètres!$A$1:$I$89,5,0)</f>
        <v>6.7984728957526396E-14</v>
      </c>
      <c r="AK115" s="13">
        <f t="shared" si="89"/>
        <v>1.0682447123141398E-12</v>
      </c>
      <c r="AL115" s="20">
        <f t="shared" si="58"/>
        <v>1.978932943548152E-12</v>
      </c>
      <c r="AM115" s="59">
        <f t="shared" si="59"/>
        <v>293.3333333333353</v>
      </c>
      <c r="AN115" s="59">
        <f ca="1">AVERAGE(OFFSET($AM$3,0,0,'Données projet'!$E$10+1,1))-AVERAGE(OFFSET($H$3,0,0,'Données projet'!$E$10+1,1))</f>
        <v>302.00825291248458</v>
      </c>
      <c r="AO115" s="59">
        <f t="shared" si="90"/>
        <v>307.35115839449355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49.586229234308618</v>
      </c>
      <c r="AV115" s="21">
        <f>EXP(-LN(2)/25)*AV114+(1-EXP(-LN(2)/25))/(LN(2)/25)*Calculateur!AQ115*Calculateur!AS115*VLOOKUP('Données projet'!$B$10,Paramètres!$A$1:$I$89,3,0)*0.475*44/12</f>
        <v>11.456880560459863</v>
      </c>
      <c r="AW115" s="21">
        <f>EXP(-LN(2)/2)*AW114+(1-EXP(-LN(2)/2))/(LN(2)/2)*AQ115*AT115*VLOOKUP('Données projet'!$B$10,Paramètres!$A$1:$I$89,3,0)*0.475*44/12</f>
        <v>8.9349512492647013E-7</v>
      </c>
      <c r="AX115" s="21">
        <f t="shared" si="60"/>
        <v>61.04311068826361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-2.2737367544323206E-13</v>
      </c>
      <c r="BE115" s="13">
        <f>BD115*VLOOKUP('Données projet'!$B$11,Paramètres!$A$1:$I$89,3,0)*VLOOKUP('Données projet'!$B$11,Paramètres!$A$1:$I$89,5,0)</f>
        <v>-1.3596945791505279E-13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349.71285006949597</v>
      </c>
      <c r="BJ115" s="59">
        <f t="shared" si="92"/>
        <v>258.51550516456842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81.324717787840072</v>
      </c>
      <c r="BQ115" s="21">
        <f>EXP(-LN(2)/25)*BQ114+(1-EXP(-LN(2)/25))/(LN(2)/25)*Calculateur!BL115*Calculateur!BN115*VLOOKUP('Données projet'!$B$11,Paramètres!$A$1:$I$89,3,0)*0.475*44/12</f>
        <v>21.308100307175447</v>
      </c>
      <c r="BR115" s="21">
        <f>EXP(-LN(2)/2)*BR114+(1-EXP(-LN(2)/2))/(LN(2)/2)*BL115*BO115*VLOOKUP('Données projet'!$B$11,Paramètres!$A$1:$I$89,3,0)*0.475*44/12</f>
        <v>1.0790503357118028E-3</v>
      </c>
      <c r="BS115" s="22">
        <f t="shared" si="63"/>
        <v>102.63389714535124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>
        <f>VLOOKUP(A116,'Données projet'!$A$35:$I$55,2,0)</f>
        <v>293.89999999999998</v>
      </c>
      <c r="L116" s="12">
        <f>VLOOKUP(A116,'Données projet'!$A$35:$I$55,9,0)</f>
        <v>6.8811111111111085</v>
      </c>
      <c r="M116" s="12">
        <f t="array" ref="M116">INDEX(L:L,MIN(IF(ISNUMBER(L116:L312),ROW(L116:L312),"")))</f>
        <v>6.8811111111111085</v>
      </c>
      <c r="N116" s="13">
        <f>IF('Données projet'!$A$36&gt;35,N115+M116-V115,IF(A116&lt;'Données projet'!$A$36,$K$205^A116,IF(A116='Données projet'!$A$36,'Données projet'!$B$36,N115+M116-V115)))</f>
        <v>293.89999999999986</v>
      </c>
      <c r="O116" s="13">
        <f>N116*VLOOKUP('Données projet'!$B$9,Paramètres!$A$1:$I$89,3,0)*VLOOKUP('Données projet'!$B$9,Paramètres!$A$1:$I$89,5,0)</f>
        <v>334.69331999999986</v>
      </c>
      <c r="P116" s="13">
        <f t="shared" si="87"/>
        <v>78.402550961752141</v>
      </c>
      <c r="Q116" s="20">
        <f t="shared" si="107"/>
        <v>719.47530859171786</v>
      </c>
      <c r="R116" s="59">
        <f t="shared" si="55"/>
        <v>1012.8086419250512</v>
      </c>
      <c r="S116" s="59">
        <f ca="1">AVERAGE(OFFSET($R$3,0,0,'Données projet'!$E$9+1,1))-AVERAGE(OFFSET($H$3,0,0,'Données projet'!$E$9+1,1))</f>
        <v>593.28343396240075</v>
      </c>
      <c r="T116" s="59">
        <f t="shared" si="88"/>
        <v>289.66477662068695</v>
      </c>
      <c r="U116" s="15">
        <f>IF(ISNA(VLOOKUP(A116,'Données projet'!$A$35:$I$55,3,0)),0,VLOOKUP(A116,'Données projet'!$A$35:$I$55,3,0))</f>
        <v>7</v>
      </c>
      <c r="V116" s="15">
        <f>IF(ISNA(VLOOKUP(A116,'Données projet'!$A$35:$I$55,4,0)),0,VLOOKUP(A116,'Données projet'!$A$35:$I$55,4,0))</f>
        <v>41.639999999999986</v>
      </c>
      <c r="W116" s="16">
        <f>IF(ISNA(VLOOKUP(A116,'Données projet'!$A$35:$I$55,5,0)),0%,VLOOKUP(A116,'Données projet'!$A$35:$I$55,5,0)*VLOOKUP('Données projet'!$B$9,Paramètres!$A$1:$I$89,7,0))</f>
        <v>0.15049999999999999</v>
      </c>
      <c r="X116" s="16">
        <f>IF(ISNA(VLOOKUP(A116,'Données projet'!$A$35:$I$55,6,0)),0%,VLOOKUP(A116,'Données projet'!$A$35:$I$55,6,0)*VLOOKUP('Données projet'!$B$9,Paramètres!$A$1:$I$89,7,0))</f>
        <v>8.6000000000000007E-2</v>
      </c>
      <c r="Y116" s="16">
        <f>IF(ISNA(VLOOKUP(A116,'Données projet'!$A$35:$I$55,7,0)),0%,VLOOKUP(A116,'Données projet'!$A$35:$I$55,7,0))</f>
        <v>0.1</v>
      </c>
      <c r="Z116" s="21">
        <f>EXP(-LN(2)/35)*Z115+(1-EXP(-LN(2)/35))/(LN(2)/35)*V116*W116*VLOOKUP('Données projet'!$B$9,Paramètres!$A$1:$I$89,3,0)*0.475*44/12</f>
        <v>23.900347105440822</v>
      </c>
      <c r="AA116" s="21">
        <f>EXP(-LN(2)/25)*AA115+(1-EXP(-LN(2)/25))/(LN(2)/25)*Calculateur!V116*Calculateur!X116*VLOOKUP('Données projet'!$B$9,Paramètres!$A$1:$I$89,3,0)*0.475*44/12</f>
        <v>30.484532706497571</v>
      </c>
      <c r="AB116" s="21">
        <f>EXP(-LN(2)/2)*AB115+(1-EXP(-LN(2)/2))/(LN(2)/2)*V116*Y116*VLOOKUP('Données projet'!$B$9,Paramètres!$A$1:$I$89,3,0)*0.475*44/12</f>
        <v>4.6704997213006356</v>
      </c>
      <c r="AC116" s="22">
        <f t="shared" si="57"/>
        <v>59.055379533239027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1.1368683772161603E-13</v>
      </c>
      <c r="AJ116" s="13">
        <f>AI116*VLOOKUP('Données projet'!$B$10,Paramètres!$A$1:$I$89,3,0)*VLOOKUP('Données projet'!$B$10,Paramètres!$A$1:$I$89,5,0)</f>
        <v>6.7984728957526396E-14</v>
      </c>
      <c r="AK116" s="13">
        <f t="shared" si="89"/>
        <v>1.0682447123141398E-12</v>
      </c>
      <c r="AL116" s="20">
        <f t="shared" si="58"/>
        <v>1.978932943548152E-12</v>
      </c>
      <c r="AM116" s="59">
        <f t="shared" si="59"/>
        <v>293.3333333333353</v>
      </c>
      <c r="AN116" s="59">
        <f ca="1">AVERAGE(OFFSET($AM$3,0,0,'Données projet'!$E$10+1,1))-AVERAGE(OFFSET($H$3,0,0,'Données projet'!$E$10+1,1))</f>
        <v>302.00825291248458</v>
      </c>
      <c r="AO116" s="59">
        <f t="shared" si="90"/>
        <v>307.35115839449355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48.613873523637253</v>
      </c>
      <c r="AV116" s="21">
        <f>EXP(-LN(2)/25)*AV115+(1-EXP(-LN(2)/25))/(LN(2)/25)*Calculateur!AQ116*Calculateur!AS116*VLOOKUP('Données projet'!$B$10,Paramètres!$A$1:$I$89,3,0)*0.475*44/12</f>
        <v>11.143591559042925</v>
      </c>
      <c r="AW116" s="21">
        <f>EXP(-LN(2)/2)*AW115+(1-EXP(-LN(2)/2))/(LN(2)/2)*AQ116*AT116*VLOOKUP('Données projet'!$B$10,Paramètres!$A$1:$I$89,3,0)*0.475*44/12</f>
        <v>6.3179646179262845E-7</v>
      </c>
      <c r="AX116" s="21">
        <f t="shared" si="60"/>
        <v>59.757465714476638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-2.2737367544323206E-13</v>
      </c>
      <c r="BE116" s="13">
        <f>BD116*VLOOKUP('Données projet'!$B$11,Paramètres!$A$1:$I$89,3,0)*VLOOKUP('Données projet'!$B$11,Paramètres!$A$1:$I$89,5,0)</f>
        <v>-1.3596945791505279E-13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349.71285006949597</v>
      </c>
      <c r="BJ116" s="59">
        <f t="shared" si="92"/>
        <v>258.51550516456842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79.729989675200471</v>
      </c>
      <c r="BQ116" s="21">
        <f>EXP(-LN(2)/25)*BQ115+(1-EXP(-LN(2)/25))/(LN(2)/25)*Calculateur!BL116*Calculateur!BN116*VLOOKUP('Données projet'!$B$11,Paramètres!$A$1:$I$89,3,0)*0.475*44/12</f>
        <v>20.725429183731439</v>
      </c>
      <c r="BR116" s="21">
        <f>EXP(-LN(2)/2)*BR115+(1-EXP(-LN(2)/2))/(LN(2)/2)*BL116*BO116*VLOOKUP('Données projet'!$B$11,Paramètres!$A$1:$I$89,3,0)*0.475*44/12</f>
        <v>7.6300380962343638E-4</v>
      </c>
      <c r="BS116" s="22">
        <f t="shared" si="63"/>
        <v>100.45618186274153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7.0011111111111104</v>
      </c>
      <c r="N117" s="13">
        <f>IF('Données projet'!$A$36&gt;35,N116+M117-V116,IF(A117&lt;'Données projet'!$A$36,$K$205^A117,IF(A117='Données projet'!$A$36,'Données projet'!$B$36,N116+M117-V116)))</f>
        <v>259.26111111111101</v>
      </c>
      <c r="O117" s="13">
        <f>N117*VLOOKUP('Données projet'!$B$9,Paramètres!$A$1:$I$89,3,0)*VLOOKUP('Données projet'!$B$9,Paramètres!$A$1:$I$89,5,0)</f>
        <v>295.24655333333322</v>
      </c>
      <c r="P117" s="13">
        <f t="shared" si="87"/>
        <v>70.179034062439342</v>
      </c>
      <c r="Q117" s="20">
        <f t="shared" si="107"/>
        <v>636.44956471430385</v>
      </c>
      <c r="R117" s="59">
        <f t="shared" si="55"/>
        <v>929.78289804763722</v>
      </c>
      <c r="S117" s="59">
        <f ca="1">AVERAGE(OFFSET($R$3,0,0,'Données projet'!$E$9+1,1))-AVERAGE(OFFSET($H$3,0,0,'Données projet'!$E$9+1,1))</f>
        <v>593.28343396240075</v>
      </c>
      <c r="T117" s="59">
        <f t="shared" si="88"/>
        <v>289.66477662068695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23.431675876475428</v>
      </c>
      <c r="AA117" s="21">
        <f>EXP(-LN(2)/25)*AA116+(1-EXP(-LN(2)/25))/(LN(2)/25)*Calculateur!V117*Calculateur!X117*VLOOKUP('Données projet'!$B$9,Paramètres!$A$1:$I$89,3,0)*0.475*44/12</f>
        <v>29.650931556526494</v>
      </c>
      <c r="AB117" s="21">
        <f>EXP(-LN(2)/2)*AB116+(1-EXP(-LN(2)/2))/(LN(2)/2)*V117*Y117*VLOOKUP('Données projet'!$B$9,Paramètres!$A$1:$I$89,3,0)*0.475*44/12</f>
        <v>3.3025420244615598</v>
      </c>
      <c r="AC117" s="22">
        <f t="shared" si="57"/>
        <v>56.385149457463484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1.1368683772161603E-13</v>
      </c>
      <c r="AJ117" s="13">
        <f>AI117*VLOOKUP('Données projet'!$B$10,Paramètres!$A$1:$I$89,3,0)*VLOOKUP('Données projet'!$B$10,Paramètres!$A$1:$I$89,5,0)</f>
        <v>6.7984728957526396E-14</v>
      </c>
      <c r="AK117" s="13">
        <f t="shared" si="89"/>
        <v>1.0682447123141398E-12</v>
      </c>
      <c r="AL117" s="20">
        <f t="shared" si="58"/>
        <v>1.978932943548152E-12</v>
      </c>
      <c r="AM117" s="59">
        <f t="shared" si="59"/>
        <v>293.3333333333353</v>
      </c>
      <c r="AN117" s="59">
        <f ca="1">AVERAGE(OFFSET($AM$3,0,0,'Données projet'!$E$10+1,1))-AVERAGE(OFFSET($H$3,0,0,'Données projet'!$E$10+1,1))</f>
        <v>302.00825291248458</v>
      </c>
      <c r="AO117" s="59">
        <f t="shared" si="90"/>
        <v>307.35115839449355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47.660585115373728</v>
      </c>
      <c r="AV117" s="21">
        <f>EXP(-LN(2)/25)*AV116+(1-EXP(-LN(2)/25))/(LN(2)/25)*Calculateur!AQ117*Calculateur!AS117*VLOOKUP('Données projet'!$B$10,Paramètres!$A$1:$I$89,3,0)*0.475*44/12</f>
        <v>10.838869461844885</v>
      </c>
      <c r="AW117" s="21">
        <f>EXP(-LN(2)/2)*AW116+(1-EXP(-LN(2)/2))/(LN(2)/2)*AQ117*AT117*VLOOKUP('Données projet'!$B$10,Paramètres!$A$1:$I$89,3,0)*0.475*44/12</f>
        <v>4.4674756246323506E-7</v>
      </c>
      <c r="AX117" s="21">
        <f t="shared" si="60"/>
        <v>58.499455023966178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-2.2737367544323206E-13</v>
      </c>
      <c r="BE117" s="13">
        <f>BD117*VLOOKUP('Données projet'!$B$11,Paramètres!$A$1:$I$89,3,0)*VLOOKUP('Données projet'!$B$11,Paramètres!$A$1:$I$89,5,0)</f>
        <v>-1.3596945791505279E-13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349.71285006949597</v>
      </c>
      <c r="BJ117" s="59">
        <f t="shared" si="92"/>
        <v>258.51550516456842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78.166533208161624</v>
      </c>
      <c r="BQ117" s="21">
        <f>EXP(-LN(2)/25)*BQ116+(1-EXP(-LN(2)/25))/(LN(2)/25)*Calculateur!BL117*Calculateur!BN117*VLOOKUP('Données projet'!$B$11,Paramètres!$A$1:$I$89,3,0)*0.475*44/12</f>
        <v>20.158691232799352</v>
      </c>
      <c r="BR117" s="21">
        <f>EXP(-LN(2)/2)*BR116+(1-EXP(-LN(2)/2))/(LN(2)/2)*BL117*BO117*VLOOKUP('Données projet'!$B$11,Paramètres!$A$1:$I$89,3,0)*0.475*44/12</f>
        <v>5.3952516785590139E-4</v>
      </c>
      <c r="BS117" s="22">
        <f t="shared" si="63"/>
        <v>98.325763966128832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7.0011111111111104</v>
      </c>
      <c r="N118" s="13">
        <f>IF('Données projet'!$A$36&gt;35,N117+M118-V117,IF(A118&lt;'Données projet'!$A$36,$K$205^A118,IF(A118='Données projet'!$A$36,'Données projet'!$B$36,N117+M118-V117)))</f>
        <v>266.26222222222214</v>
      </c>
      <c r="O118" s="13">
        <f>N118*VLOOKUP('Données projet'!$B$9,Paramètres!$A$1:$I$89,3,0)*VLOOKUP('Données projet'!$B$9,Paramètres!$A$1:$I$89,5,0)</f>
        <v>303.21941866666657</v>
      </c>
      <c r="P118" s="13">
        <f t="shared" si="87"/>
        <v>71.850957432298372</v>
      </c>
      <c r="Q118" s="20">
        <f t="shared" si="107"/>
        <v>653.24757170569728</v>
      </c>
      <c r="R118" s="59">
        <f t="shared" si="55"/>
        <v>946.58090503903054</v>
      </c>
      <c r="S118" s="59">
        <f ca="1">AVERAGE(OFFSET($R$3,0,0,'Données projet'!$E$9+1,1))-AVERAGE(OFFSET($H$3,0,0,'Données projet'!$E$9+1,1))</f>
        <v>593.28343396240075</v>
      </c>
      <c r="T118" s="59">
        <f t="shared" si="88"/>
        <v>289.66477662068695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22.972195004448821</v>
      </c>
      <c r="AA118" s="21">
        <f>EXP(-LN(2)/25)*AA117+(1-EXP(-LN(2)/25))/(LN(2)/25)*Calculateur!V118*Calculateur!X118*VLOOKUP('Données projet'!$B$9,Paramètres!$A$1:$I$89,3,0)*0.475*44/12</f>
        <v>28.840125273838556</v>
      </c>
      <c r="AB118" s="21">
        <f>EXP(-LN(2)/2)*AB117+(1-EXP(-LN(2)/2))/(LN(2)/2)*V118*Y118*VLOOKUP('Données projet'!$B$9,Paramètres!$A$1:$I$89,3,0)*0.475*44/12</f>
        <v>2.3352498606503178</v>
      </c>
      <c r="AC118" s="22">
        <f t="shared" si="57"/>
        <v>54.147570138937688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1.1368683772161603E-13</v>
      </c>
      <c r="AJ118" s="13">
        <f>AI118*VLOOKUP('Données projet'!$B$10,Paramètres!$A$1:$I$89,3,0)*VLOOKUP('Données projet'!$B$10,Paramètres!$A$1:$I$89,5,0)</f>
        <v>6.7984728957526396E-14</v>
      </c>
      <c r="AK118" s="13">
        <f t="shared" si="89"/>
        <v>1.0682447123141398E-12</v>
      </c>
      <c r="AL118" s="20">
        <f t="shared" si="58"/>
        <v>1.978932943548152E-12</v>
      </c>
      <c r="AM118" s="59">
        <f t="shared" si="59"/>
        <v>293.3333333333353</v>
      </c>
      <c r="AN118" s="59">
        <f ca="1">AVERAGE(OFFSET($AM$3,0,0,'Données projet'!$E$10+1,1))-AVERAGE(OFFSET($H$3,0,0,'Données projet'!$E$10+1,1))</f>
        <v>302.00825291248458</v>
      </c>
      <c r="AO118" s="59">
        <f t="shared" si="90"/>
        <v>307.35115839449355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46.725990111347734</v>
      </c>
      <c r="AV118" s="21">
        <f>EXP(-LN(2)/25)*AV117+(1-EXP(-LN(2)/25))/(LN(2)/25)*Calculateur!AQ118*Calculateur!AS118*VLOOKUP('Données projet'!$B$10,Paramètres!$A$1:$I$89,3,0)*0.475*44/12</f>
        <v>10.542480006419364</v>
      </c>
      <c r="AW118" s="21">
        <f>EXP(-LN(2)/2)*AW117+(1-EXP(-LN(2)/2))/(LN(2)/2)*AQ118*AT118*VLOOKUP('Données projet'!$B$10,Paramètres!$A$1:$I$89,3,0)*0.475*44/12</f>
        <v>3.1589823089631423E-7</v>
      </c>
      <c r="AX118" s="21">
        <f t="shared" si="60"/>
        <v>57.268470433665328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-2.2737367544323206E-13</v>
      </c>
      <c r="BE118" s="13">
        <f>BD118*VLOOKUP('Données projet'!$B$11,Paramètres!$A$1:$I$89,3,0)*VLOOKUP('Données projet'!$B$11,Paramètres!$A$1:$I$89,5,0)</f>
        <v>-1.3596945791505279E-13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349.71285006949597</v>
      </c>
      <c r="BJ118" s="59">
        <f t="shared" si="92"/>
        <v>258.51550516456842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76.63373516882713</v>
      </c>
      <c r="BQ118" s="21">
        <f>EXP(-LN(2)/25)*BQ117+(1-EXP(-LN(2)/25))/(LN(2)/25)*Calculateur!BL118*Calculateur!BN118*VLOOKUP('Données projet'!$B$11,Paramètres!$A$1:$I$89,3,0)*0.475*44/12</f>
        <v>19.607450760938956</v>
      </c>
      <c r="BR118" s="21">
        <f>EXP(-LN(2)/2)*BR117+(1-EXP(-LN(2)/2))/(LN(2)/2)*BL118*BO118*VLOOKUP('Données projet'!$B$11,Paramètres!$A$1:$I$89,3,0)*0.475*44/12</f>
        <v>3.8150190481171819E-4</v>
      </c>
      <c r="BS118" s="22">
        <f t="shared" si="63"/>
        <v>96.241567431670902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7.0011111111111104</v>
      </c>
      <c r="N119" s="13">
        <f>IF('Données projet'!$A$36&gt;35,N118+M119-V118,IF(A119&lt;'Données projet'!$A$36,$K$205^A119,IF(A119='Données projet'!$A$36,'Données projet'!$B$36,N118+M119-V118)))</f>
        <v>273.26333333333326</v>
      </c>
      <c r="O119" s="13">
        <f>N119*VLOOKUP('Données projet'!$B$9,Paramètres!$A$1:$I$89,3,0)*VLOOKUP('Données projet'!$B$9,Paramètres!$A$1:$I$89,5,0)</f>
        <v>311.19228399999992</v>
      </c>
      <c r="P119" s="13">
        <f t="shared" si="87"/>
        <v>73.517770869032404</v>
      </c>
      <c r="Q119" s="20">
        <f t="shared" si="107"/>
        <v>670.0366788968978</v>
      </c>
      <c r="R119" s="59">
        <f t="shared" si="55"/>
        <v>963.37001223023117</v>
      </c>
      <c r="S119" s="59">
        <f ca="1">AVERAGE(OFFSET($R$3,0,0,'Données projet'!$E$9+1,1))-AVERAGE(OFFSET($H$3,0,0,'Données projet'!$E$9+1,1))</f>
        <v>593.28343396240075</v>
      </c>
      <c r="T119" s="59">
        <f t="shared" si="88"/>
        <v>289.66477662068695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22.521724272066997</v>
      </c>
      <c r="AA119" s="21">
        <f>EXP(-LN(2)/25)*AA118+(1-EXP(-LN(2)/25))/(LN(2)/25)*Calculateur!V119*Calculateur!X119*VLOOKUP('Données projet'!$B$9,Paramètres!$A$1:$I$89,3,0)*0.475*44/12</f>
        <v>28.051490531589167</v>
      </c>
      <c r="AB119" s="21">
        <f>EXP(-LN(2)/2)*AB118+(1-EXP(-LN(2)/2))/(LN(2)/2)*V119*Y119*VLOOKUP('Données projet'!$B$9,Paramètres!$A$1:$I$89,3,0)*0.475*44/12</f>
        <v>1.6512710122307799</v>
      </c>
      <c r="AC119" s="22">
        <f t="shared" si="57"/>
        <v>52.224485815886943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1.1368683772161603E-13</v>
      </c>
      <c r="AJ119" s="13">
        <f>AI119*VLOOKUP('Données projet'!$B$10,Paramètres!$A$1:$I$89,3,0)*VLOOKUP('Données projet'!$B$10,Paramètres!$A$1:$I$89,5,0)</f>
        <v>6.7984728957526396E-14</v>
      </c>
      <c r="AK119" s="13">
        <f t="shared" si="89"/>
        <v>1.0682447123141398E-12</v>
      </c>
      <c r="AL119" s="20">
        <f t="shared" si="58"/>
        <v>1.978932943548152E-12</v>
      </c>
      <c r="AM119" s="59">
        <f t="shared" si="59"/>
        <v>293.3333333333353</v>
      </c>
      <c r="AN119" s="59">
        <f ca="1">AVERAGE(OFFSET($AM$3,0,0,'Données projet'!$E$10+1,1))-AVERAGE(OFFSET($H$3,0,0,'Données projet'!$E$10+1,1))</f>
        <v>302.00825291248458</v>
      </c>
      <c r="AO119" s="59">
        <f t="shared" si="90"/>
        <v>307.35115839449355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45.809721945304027</v>
      </c>
      <c r="AV119" s="21">
        <f>EXP(-LN(2)/25)*AV118+(1-EXP(-LN(2)/25))/(LN(2)/25)*Calculateur!AQ119*Calculateur!AS119*VLOOKUP('Données projet'!$B$10,Paramètres!$A$1:$I$89,3,0)*0.475*44/12</f>
        <v>10.254195336238897</v>
      </c>
      <c r="AW119" s="21">
        <f>EXP(-LN(2)/2)*AW118+(1-EXP(-LN(2)/2))/(LN(2)/2)*AQ119*AT119*VLOOKUP('Données projet'!$B$10,Paramètres!$A$1:$I$89,3,0)*0.475*44/12</f>
        <v>2.2337378123161753E-7</v>
      </c>
      <c r="AX119" s="21">
        <f t="shared" si="60"/>
        <v>56.063917504916709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-2.2737367544323206E-13</v>
      </c>
      <c r="BE119" s="13">
        <f>BD119*VLOOKUP('Données projet'!$B$11,Paramètres!$A$1:$I$89,3,0)*VLOOKUP('Données projet'!$B$11,Paramètres!$A$1:$I$89,5,0)</f>
        <v>-1.3596945791505279E-13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349.71285006949597</v>
      </c>
      <c r="BJ119" s="59">
        <f t="shared" si="92"/>
        <v>258.51550516456842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75.130994364129492</v>
      </c>
      <c r="BQ119" s="21">
        <f>EXP(-LN(2)/25)*BQ118+(1-EXP(-LN(2)/25))/(LN(2)/25)*Calculateur!BL119*Calculateur!BN119*VLOOKUP('Données projet'!$B$11,Paramètres!$A$1:$I$89,3,0)*0.475*44/12</f>
        <v>19.071283988770059</v>
      </c>
      <c r="BR119" s="21">
        <f>EXP(-LN(2)/2)*BR118+(1-EXP(-LN(2)/2))/(LN(2)/2)*BL119*BO119*VLOOKUP('Données projet'!$B$11,Paramètres!$A$1:$I$89,3,0)*0.475*44/12</f>
        <v>2.6976258392795069E-4</v>
      </c>
      <c r="BS119" s="22">
        <f t="shared" si="63"/>
        <v>94.202548115483481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7.0011111111111104</v>
      </c>
      <c r="N120" s="13">
        <f>IF('Données projet'!$A$36&gt;35,N119+M120-V119,IF(A120&lt;'Données projet'!$A$36,$K$205^A120,IF(A120='Données projet'!$A$36,'Données projet'!$B$36,N119+M120-V119)))</f>
        <v>280.26444444444439</v>
      </c>
      <c r="O120" s="13">
        <f>N120*VLOOKUP('Données projet'!$B$9,Paramètres!$A$1:$I$89,3,0)*VLOOKUP('Données projet'!$B$9,Paramètres!$A$1:$I$89,5,0)</f>
        <v>319.16514933333332</v>
      </c>
      <c r="P120" s="13">
        <f t="shared" si="87"/>
        <v>75.179620344585189</v>
      </c>
      <c r="Q120" s="20">
        <f t="shared" si="107"/>
        <v>686.81714052237476</v>
      </c>
      <c r="R120" s="59">
        <f t="shared" si="55"/>
        <v>980.15047385570801</v>
      </c>
      <c r="S120" s="59">
        <f ca="1">AVERAGE(OFFSET($R$3,0,0,'Données projet'!$E$9+1,1))-AVERAGE(OFFSET($H$3,0,0,'Données projet'!$E$9+1,1))</f>
        <v>593.28343396240075</v>
      </c>
      <c r="T120" s="59">
        <f t="shared" si="88"/>
        <v>289.66477662068695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22.080086995987163</v>
      </c>
      <c r="AA120" s="21">
        <f>EXP(-LN(2)/25)*AA119+(1-EXP(-LN(2)/25))/(LN(2)/25)*Calculateur!V120*Calculateur!X120*VLOOKUP('Données projet'!$B$9,Paramètres!$A$1:$I$89,3,0)*0.475*44/12</f>
        <v>27.284421047839086</v>
      </c>
      <c r="AB120" s="21">
        <f>EXP(-LN(2)/2)*AB119+(1-EXP(-LN(2)/2))/(LN(2)/2)*V120*Y120*VLOOKUP('Données projet'!$B$9,Paramètres!$A$1:$I$89,3,0)*0.475*44/12</f>
        <v>1.1676249303251589</v>
      </c>
      <c r="AC120" s="22">
        <f t="shared" si="57"/>
        <v>50.532132974151409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1.1368683772161603E-13</v>
      </c>
      <c r="AJ120" s="13">
        <f>AI120*VLOOKUP('Données projet'!$B$10,Paramètres!$A$1:$I$89,3,0)*VLOOKUP('Données projet'!$B$10,Paramètres!$A$1:$I$89,5,0)</f>
        <v>6.7984728957526396E-14</v>
      </c>
      <c r="AK120" s="13">
        <f t="shared" si="89"/>
        <v>1.0682447123141398E-12</v>
      </c>
      <c r="AL120" s="20">
        <f t="shared" si="58"/>
        <v>1.978932943548152E-12</v>
      </c>
      <c r="AM120" s="59">
        <f t="shared" si="59"/>
        <v>293.3333333333353</v>
      </c>
      <c r="AN120" s="59">
        <f ca="1">AVERAGE(OFFSET($AM$3,0,0,'Données projet'!$E$10+1,1))-AVERAGE(OFFSET($H$3,0,0,'Données projet'!$E$10+1,1))</f>
        <v>302.00825291248458</v>
      </c>
      <c r="AO120" s="59">
        <f t="shared" si="90"/>
        <v>307.35115839449355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44.911421239128039</v>
      </c>
      <c r="AV120" s="21">
        <f>EXP(-LN(2)/25)*AV119+(1-EXP(-LN(2)/25))/(LN(2)/25)*Calculateur!AQ120*Calculateur!AS120*VLOOKUP('Données projet'!$B$10,Paramètres!$A$1:$I$89,3,0)*0.475*44/12</f>
        <v>9.9737938255247478</v>
      </c>
      <c r="AW120" s="21">
        <f>EXP(-LN(2)/2)*AW119+(1-EXP(-LN(2)/2))/(LN(2)/2)*AQ120*AT120*VLOOKUP('Données projet'!$B$10,Paramètres!$A$1:$I$89,3,0)*0.475*44/12</f>
        <v>1.5794911544815711E-7</v>
      </c>
      <c r="AX120" s="21">
        <f t="shared" si="60"/>
        <v>54.8852152226019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-2.2737367544323206E-13</v>
      </c>
      <c r="BE120" s="13">
        <f>BD120*VLOOKUP('Données projet'!$B$11,Paramètres!$A$1:$I$89,3,0)*VLOOKUP('Données projet'!$B$11,Paramètres!$A$1:$I$89,5,0)</f>
        <v>-1.3596945791505279E-13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349.71285006949597</v>
      </c>
      <c r="BJ120" s="59">
        <f t="shared" si="92"/>
        <v>258.51550516456842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73.657721390030588</v>
      </c>
      <c r="BQ120" s="21">
        <f>EXP(-LN(2)/25)*BQ119+(1-EXP(-LN(2)/25))/(LN(2)/25)*Calculateur!BL120*Calculateur!BN120*VLOOKUP('Données projet'!$B$11,Paramètres!$A$1:$I$89,3,0)*0.475*44/12</f>
        <v>18.549778725181906</v>
      </c>
      <c r="BR120" s="21">
        <f>EXP(-LN(2)/2)*BR119+(1-EXP(-LN(2)/2))/(LN(2)/2)*BL120*BO120*VLOOKUP('Données projet'!$B$11,Paramètres!$A$1:$I$89,3,0)*0.475*44/12</f>
        <v>1.907509524058591E-4</v>
      </c>
      <c r="BS120" s="22">
        <f t="shared" si="63"/>
        <v>92.207690866164896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7.0011111111111104</v>
      </c>
      <c r="N121" s="13">
        <f>IF('Données projet'!$A$36&gt;35,N120+M121-V120,IF(A121&lt;'Données projet'!$A$36,$K$205^A121,IF(A121='Données projet'!$A$36,'Données projet'!$B$36,N120+M121-V120)))</f>
        <v>287.26555555555552</v>
      </c>
      <c r="O121" s="13">
        <f>N121*VLOOKUP('Données projet'!$B$9,Paramètres!$A$1:$I$89,3,0)*VLOOKUP('Données projet'!$B$9,Paramètres!$A$1:$I$89,5,0)</f>
        <v>327.13801466666661</v>
      </c>
      <c r="P121" s="13">
        <f t="shared" si="87"/>
        <v>76.836644122379781</v>
      </c>
      <c r="Q121" s="20">
        <f t="shared" si="107"/>
        <v>703.58919739092244</v>
      </c>
      <c r="R121" s="59">
        <f t="shared" si="55"/>
        <v>996.92253072425569</v>
      </c>
      <c r="S121" s="59">
        <f ca="1">AVERAGE(OFFSET($R$3,0,0,'Données projet'!$E$9+1,1))-AVERAGE(OFFSET($H$3,0,0,'Données projet'!$E$9+1,1))</f>
        <v>593.28343396240075</v>
      </c>
      <c r="T121" s="59">
        <f t="shared" si="88"/>
        <v>289.66477662068695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21.647109957519113</v>
      </c>
      <c r="AA121" s="21">
        <f>EXP(-LN(2)/25)*AA120+(1-EXP(-LN(2)/25))/(LN(2)/25)*Calculateur!V121*Calculateur!X121*VLOOKUP('Données projet'!$B$9,Paramètres!$A$1:$I$89,3,0)*0.475*44/12</f>
        <v>26.538327119460583</v>
      </c>
      <c r="AB121" s="21">
        <f>EXP(-LN(2)/2)*AB120+(1-EXP(-LN(2)/2))/(LN(2)/2)*V121*Y121*VLOOKUP('Données projet'!$B$9,Paramètres!$A$1:$I$89,3,0)*0.475*44/12</f>
        <v>0.82563550611538994</v>
      </c>
      <c r="AC121" s="22">
        <f t="shared" si="57"/>
        <v>49.011072583095086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1.1368683772161603E-13</v>
      </c>
      <c r="AJ121" s="13">
        <f>AI121*VLOOKUP('Données projet'!$B$10,Paramètres!$A$1:$I$89,3,0)*VLOOKUP('Données projet'!$B$10,Paramètres!$A$1:$I$89,5,0)</f>
        <v>6.7984728957526396E-14</v>
      </c>
      <c r="AK121" s="13">
        <f t="shared" si="89"/>
        <v>1.0682447123141398E-12</v>
      </c>
      <c r="AL121" s="20">
        <f t="shared" si="58"/>
        <v>1.978932943548152E-12</v>
      </c>
      <c r="AM121" s="59">
        <f t="shared" si="59"/>
        <v>293.3333333333353</v>
      </c>
      <c r="AN121" s="59">
        <f ca="1">AVERAGE(OFFSET($AM$3,0,0,'Données projet'!$E$10+1,1))-AVERAGE(OFFSET($H$3,0,0,'Données projet'!$E$10+1,1))</f>
        <v>302.00825291248458</v>
      </c>
      <c r="AO121" s="59">
        <f t="shared" si="90"/>
        <v>307.35115839449355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44.030735661890837</v>
      </c>
      <c r="AV121" s="21">
        <f>EXP(-LN(2)/25)*AV120+(1-EXP(-LN(2)/25))/(LN(2)/25)*Calculateur!AQ121*Calculateur!AS121*VLOOKUP('Données projet'!$B$10,Paramètres!$A$1:$I$89,3,0)*0.475*44/12</f>
        <v>9.7010599088667515</v>
      </c>
      <c r="AW121" s="21">
        <f>EXP(-LN(2)/2)*AW120+(1-EXP(-LN(2)/2))/(LN(2)/2)*AQ121*AT121*VLOOKUP('Données projet'!$B$10,Paramètres!$A$1:$I$89,3,0)*0.475*44/12</f>
        <v>1.1168689061580877E-7</v>
      </c>
      <c r="AX121" s="21">
        <f t="shared" si="60"/>
        <v>53.731795682444478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-2.2737367544323206E-13</v>
      </c>
      <c r="BE121" s="13">
        <f>BD121*VLOOKUP('Données projet'!$B$11,Paramètres!$A$1:$I$89,3,0)*VLOOKUP('Données projet'!$B$11,Paramètres!$A$1:$I$89,5,0)</f>
        <v>-1.3596945791505279E-13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349.71285006949597</v>
      </c>
      <c r="BJ121" s="59">
        <f t="shared" si="92"/>
        <v>258.51550516456842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72.213338400345989</v>
      </c>
      <c r="BQ121" s="21">
        <f>EXP(-LN(2)/25)*BQ120+(1-EXP(-LN(2)/25))/(LN(2)/25)*Calculateur!BL121*Calculateur!BN121*VLOOKUP('Données projet'!$B$11,Paramètres!$A$1:$I$89,3,0)*0.475*44/12</f>
        <v>18.042534050451341</v>
      </c>
      <c r="BR121" s="21">
        <f>EXP(-LN(2)/2)*BR120+(1-EXP(-LN(2)/2))/(LN(2)/2)*BL121*BO121*VLOOKUP('Données projet'!$B$11,Paramètres!$A$1:$I$89,3,0)*0.475*44/12</f>
        <v>1.3488129196397535E-4</v>
      </c>
      <c r="BS121" s="22">
        <f t="shared" si="63"/>
        <v>90.256007332089297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7.0011111111111104</v>
      </c>
      <c r="N122" s="13">
        <f>IF('Données projet'!$A$36&gt;35,N121+M122-V121,IF(A122&lt;'Données projet'!$A$36,$K$205^A122,IF(A122='Données projet'!$A$36,'Données projet'!$B$36,N121+M122-V121)))</f>
        <v>294.26666666666665</v>
      </c>
      <c r="O122" s="13">
        <f>N122*VLOOKUP('Données projet'!$B$9,Paramètres!$A$1:$I$89,3,0)*VLOOKUP('Données projet'!$B$9,Paramètres!$A$1:$I$89,5,0)</f>
        <v>335.11088000000001</v>
      </c>
      <c r="P122" s="13">
        <f t="shared" si="87"/>
        <v>78.48897334219626</v>
      </c>
      <c r="Q122" s="20">
        <f t="shared" si="107"/>
        <v>720.35307790432523</v>
      </c>
      <c r="R122" s="59">
        <f t="shared" si="55"/>
        <v>1013.6864112376586</v>
      </c>
      <c r="S122" s="59">
        <f ca="1">AVERAGE(OFFSET($R$3,0,0,'Données projet'!$E$9+1,1))-AVERAGE(OFFSET($H$3,0,0,'Données projet'!$E$9+1,1))</f>
        <v>593.28343396240075</v>
      </c>
      <c r="T122" s="59">
        <f t="shared" si="88"/>
        <v>289.66477662068695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21.222623334685508</v>
      </c>
      <c r="AA122" s="21">
        <f>EXP(-LN(2)/25)*AA121+(1-EXP(-LN(2)/25))/(LN(2)/25)*Calculateur!V122*Calculateur!X122*VLOOKUP('Données projet'!$B$9,Paramètres!$A$1:$I$89,3,0)*0.475*44/12</f>
        <v>25.812635168788965</v>
      </c>
      <c r="AB122" s="21">
        <f>EXP(-LN(2)/2)*AB121+(1-EXP(-LN(2)/2))/(LN(2)/2)*V122*Y122*VLOOKUP('Données projet'!$B$9,Paramètres!$A$1:$I$89,3,0)*0.475*44/12</f>
        <v>0.58381246516257945</v>
      </c>
      <c r="AC122" s="22">
        <f t="shared" si="57"/>
        <v>47.619070968637054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1.1368683772161603E-13</v>
      </c>
      <c r="AJ122" s="13">
        <f>AI122*VLOOKUP('Données projet'!$B$10,Paramètres!$A$1:$I$89,3,0)*VLOOKUP('Données projet'!$B$10,Paramètres!$A$1:$I$89,5,0)</f>
        <v>6.7984728957526396E-14</v>
      </c>
      <c r="AK122" s="13">
        <f t="shared" si="89"/>
        <v>1.0682447123141398E-12</v>
      </c>
      <c r="AL122" s="20">
        <f t="shared" si="58"/>
        <v>1.978932943548152E-12</v>
      </c>
      <c r="AM122" s="59">
        <f t="shared" si="59"/>
        <v>293.3333333333353</v>
      </c>
      <c r="AN122" s="59">
        <f ca="1">AVERAGE(OFFSET($AM$3,0,0,'Données projet'!$E$10+1,1))-AVERAGE(OFFSET($H$3,0,0,'Données projet'!$E$10+1,1))</f>
        <v>302.00825291248458</v>
      </c>
      <c r="AO122" s="59">
        <f t="shared" si="90"/>
        <v>307.35115839449355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43.167319791658095</v>
      </c>
      <c r="AV122" s="21">
        <f>EXP(-LN(2)/25)*AV121+(1-EXP(-LN(2)/25))/(LN(2)/25)*Calculateur!AQ122*Calculateur!AS122*VLOOKUP('Données projet'!$B$10,Paramètres!$A$1:$I$89,3,0)*0.475*44/12</f>
        <v>9.4357839155022223</v>
      </c>
      <c r="AW122" s="21">
        <f>EXP(-LN(2)/2)*AW121+(1-EXP(-LN(2)/2))/(LN(2)/2)*AQ122*AT122*VLOOKUP('Données projet'!$B$10,Paramètres!$A$1:$I$89,3,0)*0.475*44/12</f>
        <v>7.8974557724078556E-8</v>
      </c>
      <c r="AX122" s="21">
        <f t="shared" si="60"/>
        <v>52.603103786134874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-2.2737367544323206E-13</v>
      </c>
      <c r="BE122" s="13">
        <f>BD122*VLOOKUP('Données projet'!$B$11,Paramètres!$A$1:$I$89,3,0)*VLOOKUP('Données projet'!$B$11,Paramètres!$A$1:$I$89,5,0)</f>
        <v>-1.3596945791505279E-13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349.71285006949597</v>
      </c>
      <c r="BJ122" s="59">
        <f t="shared" si="92"/>
        <v>258.51550516456842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70.797278880102468</v>
      </c>
      <c r="BQ122" s="21">
        <f>EXP(-LN(2)/25)*BQ121+(1-EXP(-LN(2)/25))/(LN(2)/25)*Calculateur!BL122*Calculateur!BN122*VLOOKUP('Données projet'!$B$11,Paramètres!$A$1:$I$89,3,0)*0.475*44/12</f>
        <v>17.549160008026121</v>
      </c>
      <c r="BR122" s="21">
        <f>EXP(-LN(2)/2)*BR121+(1-EXP(-LN(2)/2))/(LN(2)/2)*BL122*BO122*VLOOKUP('Données projet'!$B$11,Paramètres!$A$1:$I$89,3,0)*0.475*44/12</f>
        <v>9.5375476202929548E-5</v>
      </c>
      <c r="BS122" s="22">
        <f t="shared" si="63"/>
        <v>88.346534263604795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7.0011111111111104</v>
      </c>
      <c r="N123" s="13">
        <f>IF('Données projet'!$A$36&gt;35,N122+M123-V122,IF(A123&lt;'Données projet'!$A$36,$K$205^A123,IF(A123='Données projet'!$A$36,'Données projet'!$B$36,N122+M123-V122)))</f>
        <v>301.26777777777778</v>
      </c>
      <c r="O123" s="13">
        <f>N123*VLOOKUP('Données projet'!$B$9,Paramètres!$A$1:$I$89,3,0)*VLOOKUP('Données projet'!$B$9,Paramètres!$A$1:$I$89,5,0)</f>
        <v>343.08374533333335</v>
      </c>
      <c r="P123" s="13">
        <f t="shared" si="87"/>
        <v>80.136732547820415</v>
      </c>
      <c r="Q123" s="20">
        <f t="shared" si="107"/>
        <v>737.10899897634272</v>
      </c>
      <c r="R123" s="59">
        <f t="shared" si="55"/>
        <v>1030.442332309676</v>
      </c>
      <c r="S123" s="59">
        <f ca="1">AVERAGE(OFFSET($R$3,0,0,'Données projet'!$E$9+1,1))-AVERAGE(OFFSET($H$3,0,0,'Données projet'!$E$9+1,1))</f>
        <v>593.28343396240075</v>
      </c>
      <c r="T123" s="59">
        <f t="shared" si="88"/>
        <v>289.66477662068695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20.806460635614393</v>
      </c>
      <c r="AA123" s="21">
        <f>EXP(-LN(2)/25)*AA122+(1-EXP(-LN(2)/25))/(LN(2)/25)*Calculateur!V123*Calculateur!X123*VLOOKUP('Données projet'!$B$9,Paramètres!$A$1:$I$89,3,0)*0.475*44/12</f>
        <v>25.106787302670941</v>
      </c>
      <c r="AB123" s="21">
        <f>EXP(-LN(2)/2)*AB122+(1-EXP(-LN(2)/2))/(LN(2)/2)*V123*Y123*VLOOKUP('Données projet'!$B$9,Paramètres!$A$1:$I$89,3,0)*0.475*44/12</f>
        <v>0.41281775305769497</v>
      </c>
      <c r="AC123" s="22">
        <f t="shared" si="57"/>
        <v>46.326065691343032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1.1368683772161603E-13</v>
      </c>
      <c r="AJ123" s="13">
        <f>AI123*VLOOKUP('Données projet'!$B$10,Paramètres!$A$1:$I$89,3,0)*VLOOKUP('Données projet'!$B$10,Paramètres!$A$1:$I$89,5,0)</f>
        <v>6.7984728957526396E-14</v>
      </c>
      <c r="AK123" s="13">
        <f t="shared" si="89"/>
        <v>1.0682447123141398E-12</v>
      </c>
      <c r="AL123" s="20">
        <f t="shared" si="58"/>
        <v>1.978932943548152E-12</v>
      </c>
      <c r="AM123" s="59">
        <f t="shared" si="59"/>
        <v>293.3333333333353</v>
      </c>
      <c r="AN123" s="59">
        <f ca="1">AVERAGE(OFFSET($AM$3,0,0,'Données projet'!$E$10+1,1))-AVERAGE(OFFSET($H$3,0,0,'Données projet'!$E$10+1,1))</f>
        <v>302.00825291248458</v>
      </c>
      <c r="AO123" s="59">
        <f t="shared" si="90"/>
        <v>307.35115839449355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42.320834980008932</v>
      </c>
      <c r="AV123" s="21">
        <f>EXP(-LN(2)/25)*AV122+(1-EXP(-LN(2)/25))/(LN(2)/25)*Calculateur!AQ123*Calculateur!AS123*VLOOKUP('Données projet'!$B$10,Paramètres!$A$1:$I$89,3,0)*0.475*44/12</f>
        <v>9.1777619081265041</v>
      </c>
      <c r="AW123" s="21">
        <f>EXP(-LN(2)/2)*AW122+(1-EXP(-LN(2)/2))/(LN(2)/2)*AQ123*AT123*VLOOKUP('Données projet'!$B$10,Paramètres!$A$1:$I$89,3,0)*0.475*44/12</f>
        <v>5.5843445307904383E-8</v>
      </c>
      <c r="AX123" s="21">
        <f t="shared" si="60"/>
        <v>51.498596943978882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-2.2737367544323206E-13</v>
      </c>
      <c r="BE123" s="13">
        <f>BD123*VLOOKUP('Données projet'!$B$11,Paramètres!$A$1:$I$89,3,0)*VLOOKUP('Données projet'!$B$11,Paramètres!$A$1:$I$89,5,0)</f>
        <v>-1.3596945791505279E-13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349.71285006949597</v>
      </c>
      <c r="BJ123" s="59">
        <f t="shared" si="92"/>
        <v>258.51550516456842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69.408987423339894</v>
      </c>
      <c r="BQ123" s="21">
        <f>EXP(-LN(2)/25)*BQ122+(1-EXP(-LN(2)/25))/(LN(2)/25)*Calculateur!BL123*Calculateur!BN123*VLOOKUP('Données projet'!$B$11,Paramètres!$A$1:$I$89,3,0)*0.475*44/12</f>
        <v>17.069277304736431</v>
      </c>
      <c r="BR123" s="21">
        <f>EXP(-LN(2)/2)*BR122+(1-EXP(-LN(2)/2))/(LN(2)/2)*BL123*BO123*VLOOKUP('Données projet'!$B$11,Paramètres!$A$1:$I$89,3,0)*0.475*44/12</f>
        <v>6.7440645981987673E-5</v>
      </c>
      <c r="BS123" s="22">
        <f t="shared" si="63"/>
        <v>86.478332168722304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7.0011111111111104</v>
      </c>
      <c r="N124" s="13">
        <f>IF('Données projet'!$A$36&gt;35,N123+M124-V123,IF(A124&lt;'Données projet'!$A$36,$K$205^A124,IF(A124='Données projet'!$A$36,'Données projet'!$B$36,N123+M124-V123)))</f>
        <v>308.26888888888891</v>
      </c>
      <c r="O124" s="13">
        <f>N124*VLOOKUP('Données projet'!$B$9,Paramètres!$A$1:$I$89,3,0)*VLOOKUP('Données projet'!$B$9,Paramètres!$A$1:$I$89,5,0)</f>
        <v>351.0566106666667</v>
      </c>
      <c r="P124" s="13">
        <f t="shared" si="87"/>
        <v>81.780040164262672</v>
      </c>
      <c r="Q124" s="20">
        <f t="shared" si="107"/>
        <v>753.85716686386866</v>
      </c>
      <c r="R124" s="59">
        <f t="shared" si="55"/>
        <v>1047.190500197202</v>
      </c>
      <c r="S124" s="59">
        <f ca="1">AVERAGE(OFFSET($R$3,0,0,'Données projet'!$E$9+1,1))-AVERAGE(OFFSET($H$3,0,0,'Données projet'!$E$9+1,1))</f>
        <v>593.28343396240075</v>
      </c>
      <c r="T124" s="59">
        <f t="shared" si="88"/>
        <v>289.66477662068695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20.39845863323788</v>
      </c>
      <c r="AA124" s="21">
        <f>EXP(-LN(2)/25)*AA123+(1-EXP(-LN(2)/25))/(LN(2)/25)*Calculateur!V124*Calculateur!X124*VLOOKUP('Données projet'!$B$9,Paramètres!$A$1:$I$89,3,0)*0.475*44/12</f>
        <v>24.420240883570841</v>
      </c>
      <c r="AB124" s="21">
        <f>EXP(-LN(2)/2)*AB123+(1-EXP(-LN(2)/2))/(LN(2)/2)*V124*Y124*VLOOKUP('Données projet'!$B$9,Paramètres!$A$1:$I$89,3,0)*0.475*44/12</f>
        <v>0.29190623258128973</v>
      </c>
      <c r="AC124" s="22">
        <f t="shared" si="57"/>
        <v>45.110605749390011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1.1368683772161603E-13</v>
      </c>
      <c r="AJ124" s="13">
        <f>AI124*VLOOKUP('Données projet'!$B$10,Paramètres!$A$1:$I$89,3,0)*VLOOKUP('Données projet'!$B$10,Paramètres!$A$1:$I$89,5,0)</f>
        <v>6.7984728957526396E-14</v>
      </c>
      <c r="AK124" s="13">
        <f t="shared" si="89"/>
        <v>1.0682447123141398E-12</v>
      </c>
      <c r="AL124" s="20">
        <f t="shared" si="58"/>
        <v>1.978932943548152E-12</v>
      </c>
      <c r="AM124" s="59">
        <f t="shared" si="59"/>
        <v>293.3333333333353</v>
      </c>
      <c r="AN124" s="59">
        <f ca="1">AVERAGE(OFFSET($AM$3,0,0,'Données projet'!$E$10+1,1))-AVERAGE(OFFSET($H$3,0,0,'Données projet'!$E$10+1,1))</f>
        <v>302.00825291248458</v>
      </c>
      <c r="AO124" s="59">
        <f t="shared" si="90"/>
        <v>307.35115839449355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41.490949219211458</v>
      </c>
      <c r="AV124" s="21">
        <f>EXP(-LN(2)/25)*AV123+(1-EXP(-LN(2)/25))/(LN(2)/25)*Calculateur!AQ124*Calculateur!AS124*VLOOKUP('Données projet'!$B$10,Paramètres!$A$1:$I$89,3,0)*0.475*44/12</f>
        <v>8.9267955261112615</v>
      </c>
      <c r="AW124" s="21">
        <f>EXP(-LN(2)/2)*AW123+(1-EXP(-LN(2)/2))/(LN(2)/2)*AQ124*AT124*VLOOKUP('Données projet'!$B$10,Paramètres!$A$1:$I$89,3,0)*0.475*44/12</f>
        <v>3.9487278862039278E-8</v>
      </c>
      <c r="AX124" s="21">
        <f t="shared" si="60"/>
        <v>50.417744784809997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-2.2737367544323206E-13</v>
      </c>
      <c r="BE124" s="13">
        <f>BD124*VLOOKUP('Données projet'!$B$11,Paramètres!$A$1:$I$89,3,0)*VLOOKUP('Données projet'!$B$11,Paramètres!$A$1:$I$89,5,0)</f>
        <v>-1.3596945791505279E-13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349.71285006949597</v>
      </c>
      <c r="BJ124" s="59">
        <f t="shared" si="92"/>
        <v>258.51550516456842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68.047919515270266</v>
      </c>
      <c r="BQ124" s="21">
        <f>EXP(-LN(2)/25)*BQ123+(1-EXP(-LN(2)/25))/(LN(2)/25)*Calculateur!BL124*Calculateur!BN124*VLOOKUP('Données projet'!$B$11,Paramètres!$A$1:$I$89,3,0)*0.475*44/12</f>
        <v>16.602517019204132</v>
      </c>
      <c r="BR124" s="21">
        <f>EXP(-LN(2)/2)*BR123+(1-EXP(-LN(2)/2))/(LN(2)/2)*BL124*BO124*VLOOKUP('Données projet'!$B$11,Paramètres!$A$1:$I$89,3,0)*0.475*44/12</f>
        <v>4.7687738101464774E-5</v>
      </c>
      <c r="BS124" s="22">
        <f t="shared" si="63"/>
        <v>84.650484222212498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>
        <f>VLOOKUP(A125,'Données projet'!$A$35:$I$55,2,0)</f>
        <v>315.27</v>
      </c>
      <c r="L125" s="12">
        <f>VLOOKUP(A125,'Données projet'!$A$35:$I$55,9,0)</f>
        <v>7.0011111111111104</v>
      </c>
      <c r="M125" s="12">
        <f t="array" ref="M125">INDEX(L:L,MIN(IF(ISNUMBER(L125:L321),ROW(L125:L321),"")))</f>
        <v>7.0011111111111104</v>
      </c>
      <c r="N125" s="13">
        <f>IF('Données projet'!$A$36&gt;35,N124+M125-V124,IF(A125&lt;'Données projet'!$A$36,$K$205^A125,IF(A125='Données projet'!$A$36,'Données projet'!$B$36,N124+M125-V124)))</f>
        <v>315.27000000000004</v>
      </c>
      <c r="O125" s="13">
        <f>N125*VLOOKUP('Données projet'!$B$9,Paramètres!$A$1:$I$89,3,0)*VLOOKUP('Données projet'!$B$9,Paramètres!$A$1:$I$89,5,0)</f>
        <v>359.02947600000005</v>
      </c>
      <c r="P125" s="13">
        <f t="shared" si="87"/>
        <v>83.419008930402995</v>
      </c>
      <c r="Q125" s="20">
        <f t="shared" si="107"/>
        <v>770.5977779204519</v>
      </c>
      <c r="R125" s="59">
        <f t="shared" si="55"/>
        <v>1063.9311112537853</v>
      </c>
      <c r="S125" s="59">
        <f ca="1">AVERAGE(OFFSET($R$3,0,0,'Données projet'!$E$9+1,1))-AVERAGE(OFFSET($H$3,0,0,'Données projet'!$E$9+1,1))</f>
        <v>593.28343396240075</v>
      </c>
      <c r="T125" s="59">
        <f t="shared" si="88"/>
        <v>289.66477662068695</v>
      </c>
      <c r="U125" s="15">
        <f>IF(ISNA(VLOOKUP(A125,'Données projet'!$A$35:$I$55,3,0)),0,VLOOKUP(A125,'Données projet'!$A$35:$I$55,3,0))</f>
        <v>8</v>
      </c>
      <c r="V125" s="15">
        <f>IF(ISNA(VLOOKUP(A125,'Données projet'!$A$35:$I$55,4,0)),0,VLOOKUP(A125,'Données projet'!$A$35:$I$55,4,0))</f>
        <v>45.829999999999984</v>
      </c>
      <c r="W125" s="16">
        <f>IF(ISNA(VLOOKUP(A125,'Données projet'!$A$35:$I$55,5,0)),0%,VLOOKUP(A125,'Données projet'!$A$35:$I$55,5,0)*VLOOKUP('Données projet'!$B$9,Paramètres!$A$1:$I$89,7,0))</f>
        <v>0.15049999999999999</v>
      </c>
      <c r="X125" s="16">
        <f>IF(ISNA(VLOOKUP(A125,'Données projet'!$A$35:$I$55,6,0)),0%,VLOOKUP(A125,'Données projet'!$A$35:$I$55,6,0)*VLOOKUP('Données projet'!$B$9,Paramètres!$A$1:$I$89,7,0))</f>
        <v>8.6000000000000007E-2</v>
      </c>
      <c r="Y125" s="16">
        <f>IF(ISNA(VLOOKUP(A125,'Données projet'!$A$35:$I$55,7,0)),0%,VLOOKUP(A125,'Données projet'!$A$35:$I$55,7,0))</f>
        <v>0.1</v>
      </c>
      <c r="Z125" s="21">
        <f>EXP(-LN(2)/35)*Z124+(1-EXP(-LN(2)/35))/(LN(2)/35)*V125*W125*VLOOKUP('Données projet'!$B$9,Paramètres!$A$1:$I$89,3,0)*0.475*44/12</f>
        <v>28.681679730442646</v>
      </c>
      <c r="AA125" s="21">
        <f>EXP(-LN(2)/25)*AA124+(1-EXP(-LN(2)/25))/(LN(2)/25)*Calculateur!V125*Calculateur!X125*VLOOKUP('Données projet'!$B$9,Paramètres!$A$1:$I$89,3,0)*0.475*44/12</f>
        <v>28.694772840348108</v>
      </c>
      <c r="AB125" s="21">
        <f>EXP(-LN(2)/2)*AB124+(1-EXP(-LN(2)/2))/(LN(2)/2)*V125*Y125*VLOOKUP('Données projet'!$B$9,Paramètres!$A$1:$I$89,3,0)*0.475*44/12</f>
        <v>5.1307894444948854</v>
      </c>
      <c r="AC125" s="22">
        <f t="shared" si="57"/>
        <v>62.507242015285641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1.1368683772161603E-13</v>
      </c>
      <c r="AJ125" s="13">
        <f>AI125*VLOOKUP('Données projet'!$B$10,Paramètres!$A$1:$I$89,3,0)*VLOOKUP('Données projet'!$B$10,Paramètres!$A$1:$I$89,5,0)</f>
        <v>6.7984728957526396E-14</v>
      </c>
      <c r="AK125" s="13">
        <f t="shared" si="89"/>
        <v>1.0682447123141398E-12</v>
      </c>
      <c r="AL125" s="20">
        <f t="shared" si="58"/>
        <v>1.978932943548152E-12</v>
      </c>
      <c r="AM125" s="59">
        <f t="shared" si="59"/>
        <v>293.3333333333353</v>
      </c>
      <c r="AN125" s="59">
        <f ca="1">AVERAGE(OFFSET($AM$3,0,0,'Données projet'!$E$10+1,1))-AVERAGE(OFFSET($H$3,0,0,'Données projet'!$E$10+1,1))</f>
        <v>302.00825291248458</v>
      </c>
      <c r="AO125" s="59">
        <f t="shared" si="90"/>
        <v>307.35115839449355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40.677337012002887</v>
      </c>
      <c r="AV125" s="21">
        <f>EXP(-LN(2)/25)*AV124+(1-EXP(-LN(2)/25))/(LN(2)/25)*Calculateur!AQ125*Calculateur!AS125*VLOOKUP('Données projet'!$B$10,Paramètres!$A$1:$I$89,3,0)*0.475*44/12</f>
        <v>8.682691833009974</v>
      </c>
      <c r="AW125" s="21">
        <f>EXP(-LN(2)/2)*AW124+(1-EXP(-LN(2)/2))/(LN(2)/2)*AQ125*AT125*VLOOKUP('Données projet'!$B$10,Paramètres!$A$1:$I$89,3,0)*0.475*44/12</f>
        <v>2.7921722653952191E-8</v>
      </c>
      <c r="AX125" s="21">
        <f t="shared" si="60"/>
        <v>49.360028872934585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-2.2737367544323206E-13</v>
      </c>
      <c r="BE125" s="13">
        <f>BD125*VLOOKUP('Données projet'!$B$11,Paramètres!$A$1:$I$89,3,0)*VLOOKUP('Données projet'!$B$11,Paramètres!$A$1:$I$89,5,0)</f>
        <v>-1.3596945791505279E-13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349.71285006949597</v>
      </c>
      <c r="BJ125" s="59">
        <f t="shared" si="92"/>
        <v>258.51550516456842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66.713541318708423</v>
      </c>
      <c r="BQ125" s="21">
        <f>EXP(-LN(2)/25)*BQ124+(1-EXP(-LN(2)/25))/(LN(2)/25)*Calculateur!BL125*Calculateur!BN125*VLOOKUP('Données projet'!$B$11,Paramètres!$A$1:$I$89,3,0)*0.475*44/12</f>
        <v>16.148520318225572</v>
      </c>
      <c r="BR125" s="21">
        <f>EXP(-LN(2)/2)*BR124+(1-EXP(-LN(2)/2))/(LN(2)/2)*BL125*BO125*VLOOKUP('Données projet'!$B$11,Paramètres!$A$1:$I$89,3,0)*0.475*44/12</f>
        <v>3.3720322990993837E-5</v>
      </c>
      <c r="BS125" s="22">
        <f t="shared" si="63"/>
        <v>82.862095357256976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7.1129999999999995</v>
      </c>
      <c r="N126" s="13">
        <f>IF('Données projet'!$A$36&gt;35,N125+M126-V125,IF(A126&lt;'Données projet'!$A$36,$K$205^A126,IF(A126='Données projet'!$A$36,'Données projet'!$B$36,N125+M126-V125)))</f>
        <v>276.55300000000005</v>
      </c>
      <c r="O126" s="13">
        <f>N126*VLOOKUP('Données projet'!$B$9,Paramètres!$A$1:$I$89,3,0)*VLOOKUP('Données projet'!$B$9,Paramètres!$A$1:$I$89,5,0)</f>
        <v>314.93855640000004</v>
      </c>
      <c r="P126" s="13">
        <f t="shared" si="87"/>
        <v>74.299246672874546</v>
      </c>
      <c r="Q126" s="20">
        <f t="shared" si="107"/>
        <v>677.92250701858995</v>
      </c>
      <c r="R126" s="59">
        <f t="shared" si="55"/>
        <v>971.25584035192333</v>
      </c>
      <c r="S126" s="59">
        <f ca="1">AVERAGE(OFFSET($R$3,0,0,'Données projet'!$E$9+1,1))-AVERAGE(OFFSET($H$3,0,0,'Données projet'!$E$9+1,1))</f>
        <v>593.28343396240075</v>
      </c>
      <c r="T126" s="59">
        <f t="shared" si="88"/>
        <v>289.66477662068695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28.119249485025904</v>
      </c>
      <c r="AA126" s="21">
        <f>EXP(-LN(2)/25)*AA125+(1-EXP(-LN(2)/25))/(LN(2)/25)*Calculateur!V126*Calculateur!X126*VLOOKUP('Données projet'!$B$9,Paramètres!$A$1:$I$89,3,0)*0.475*44/12</f>
        <v>27.910112768036267</v>
      </c>
      <c r="AB126" s="21">
        <f>EXP(-LN(2)/2)*AB125+(1-EXP(-LN(2)/2))/(LN(2)/2)*V126*Y126*VLOOKUP('Données projet'!$B$9,Paramètres!$A$1:$I$89,3,0)*0.475*44/12</f>
        <v>3.6280160090426929</v>
      </c>
      <c r="AC126" s="22">
        <f t="shared" si="57"/>
        <v>59.657378262104871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1.1368683772161603E-13</v>
      </c>
      <c r="AJ126" s="13">
        <f>AI126*VLOOKUP('Données projet'!$B$10,Paramètres!$A$1:$I$89,3,0)*VLOOKUP('Données projet'!$B$10,Paramètres!$A$1:$I$89,5,0)</f>
        <v>6.7984728957526396E-14</v>
      </c>
      <c r="AK126" s="13">
        <f t="shared" si="89"/>
        <v>1.0682447123141398E-12</v>
      </c>
      <c r="AL126" s="20">
        <f t="shared" si="58"/>
        <v>1.978932943548152E-12</v>
      </c>
      <c r="AM126" s="59">
        <f t="shared" si="59"/>
        <v>293.3333333333353</v>
      </c>
      <c r="AN126" s="59">
        <f ca="1">AVERAGE(OFFSET($AM$3,0,0,'Données projet'!$E$10+1,1))-AVERAGE(OFFSET($H$3,0,0,'Données projet'!$E$10+1,1))</f>
        <v>302.00825291248458</v>
      </c>
      <c r="AO126" s="59">
        <f t="shared" si="90"/>
        <v>307.35115839449355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39.879679243923235</v>
      </c>
      <c r="AV126" s="21">
        <f>EXP(-LN(2)/25)*AV125+(1-EXP(-LN(2)/25))/(LN(2)/25)*Calculateur!AQ126*Calculateur!AS126*VLOOKUP('Données projet'!$B$10,Paramètres!$A$1:$I$89,3,0)*0.475*44/12</f>
        <v>8.4452631682333976</v>
      </c>
      <c r="AW126" s="21">
        <f>EXP(-LN(2)/2)*AW125+(1-EXP(-LN(2)/2))/(LN(2)/2)*AQ126*AT126*VLOOKUP('Données projet'!$B$10,Paramètres!$A$1:$I$89,3,0)*0.475*44/12</f>
        <v>1.9743639431019639E-8</v>
      </c>
      <c r="AX126" s="21">
        <f t="shared" si="60"/>
        <v>48.324942431900269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-2.2737367544323206E-13</v>
      </c>
      <c r="BE126" s="13">
        <f>BD126*VLOOKUP('Données projet'!$B$11,Paramètres!$A$1:$I$89,3,0)*VLOOKUP('Données projet'!$B$11,Paramètres!$A$1:$I$89,5,0)</f>
        <v>-1.3596945791505279E-13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349.71285006949597</v>
      </c>
      <c r="BJ126" s="59">
        <f t="shared" si="92"/>
        <v>258.51550516456842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65.405329464690823</v>
      </c>
      <c r="BQ126" s="21">
        <f>EXP(-LN(2)/25)*BQ125+(1-EXP(-LN(2)/25))/(LN(2)/25)*Calculateur!BL126*Calculateur!BN126*VLOOKUP('Données projet'!$B$11,Paramètres!$A$1:$I$89,3,0)*0.475*44/12</f>
        <v>15.706938180909917</v>
      </c>
      <c r="BR126" s="21">
        <f>EXP(-LN(2)/2)*BR125+(1-EXP(-LN(2)/2))/(LN(2)/2)*BL126*BO126*VLOOKUP('Données projet'!$B$11,Paramètres!$A$1:$I$89,3,0)*0.475*44/12</f>
        <v>2.3843869050732387E-5</v>
      </c>
      <c r="BS126" s="22">
        <f t="shared" si="63"/>
        <v>81.112291489469783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7.1129999999999995</v>
      </c>
      <c r="N127" s="13">
        <f>IF('Données projet'!$A$36&gt;35,N126+M127-V126,IF(A127&lt;'Données projet'!$A$36,$K$205^A127,IF(A127='Données projet'!$A$36,'Données projet'!$B$36,N126+M127-V126)))</f>
        <v>283.66600000000005</v>
      </c>
      <c r="O127" s="13">
        <f>N127*VLOOKUP('Données projet'!$B$9,Paramètres!$A$1:$I$89,3,0)*VLOOKUP('Données projet'!$B$9,Paramètres!$A$1:$I$89,5,0)</f>
        <v>323.03884080000006</v>
      </c>
      <c r="P127" s="13">
        <f t="shared" si="87"/>
        <v>75.985295359040222</v>
      </c>
      <c r="Q127" s="20">
        <f t="shared" si="107"/>
        <v>694.96703714366186</v>
      </c>
      <c r="R127" s="59">
        <f t="shared" si="55"/>
        <v>988.30037047699511</v>
      </c>
      <c r="S127" s="59">
        <f ca="1">AVERAGE(OFFSET($R$3,0,0,'Données projet'!$E$9+1,1))-AVERAGE(OFFSET($H$3,0,0,'Données projet'!$E$9+1,1))</f>
        <v>593.28343396240075</v>
      </c>
      <c r="T127" s="59">
        <f t="shared" si="88"/>
        <v>289.66477662068695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27.567848153673207</v>
      </c>
      <c r="AA127" s="21">
        <f>EXP(-LN(2)/25)*AA126+(1-EXP(-LN(2)/25))/(LN(2)/25)*Calculateur!V127*Calculateur!X127*VLOOKUP('Données projet'!$B$9,Paramètres!$A$1:$I$89,3,0)*0.475*44/12</f>
        <v>27.146909266665276</v>
      </c>
      <c r="AB127" s="21">
        <f>EXP(-LN(2)/2)*AB126+(1-EXP(-LN(2)/2))/(LN(2)/2)*V127*Y127*VLOOKUP('Données projet'!$B$9,Paramètres!$A$1:$I$89,3,0)*0.475*44/12</f>
        <v>2.5653947222474431</v>
      </c>
      <c r="AC127" s="22">
        <f t="shared" si="57"/>
        <v>57.280152142585926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1.1368683772161603E-13</v>
      </c>
      <c r="AJ127" s="13">
        <f>AI127*VLOOKUP('Données projet'!$B$10,Paramètres!$A$1:$I$89,3,0)*VLOOKUP('Données projet'!$B$10,Paramètres!$A$1:$I$89,5,0)</f>
        <v>6.7984728957526396E-14</v>
      </c>
      <c r="AK127" s="13">
        <f t="shared" si="89"/>
        <v>1.0682447123141398E-12</v>
      </c>
      <c r="AL127" s="20">
        <f t="shared" si="58"/>
        <v>1.978932943548152E-12</v>
      </c>
      <c r="AM127" s="59">
        <f t="shared" si="59"/>
        <v>293.3333333333353</v>
      </c>
      <c r="AN127" s="59">
        <f ca="1">AVERAGE(OFFSET($AM$3,0,0,'Données projet'!$E$10+1,1))-AVERAGE(OFFSET($H$3,0,0,'Données projet'!$E$10+1,1))</f>
        <v>302.00825291248458</v>
      </c>
      <c r="AO127" s="59">
        <f t="shared" si="90"/>
        <v>307.35115839449355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39.09766305815242</v>
      </c>
      <c r="AV127" s="21">
        <f>EXP(-LN(2)/25)*AV126+(1-EXP(-LN(2)/25))/(LN(2)/25)*Calculateur!AQ127*Calculateur!AS127*VLOOKUP('Données projet'!$B$10,Paramètres!$A$1:$I$89,3,0)*0.475*44/12</f>
        <v>8.2143270027809674</v>
      </c>
      <c r="AW127" s="21">
        <f>EXP(-LN(2)/2)*AW126+(1-EXP(-LN(2)/2))/(LN(2)/2)*AQ127*AT127*VLOOKUP('Données projet'!$B$10,Paramètres!$A$1:$I$89,3,0)*0.475*44/12</f>
        <v>1.3960861326976096E-8</v>
      </c>
      <c r="AX127" s="21">
        <f t="shared" si="60"/>
        <v>47.311990074894254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-2.2737367544323206E-13</v>
      </c>
      <c r="BE127" s="13">
        <f>BD127*VLOOKUP('Données projet'!$B$11,Paramètres!$A$1:$I$89,3,0)*VLOOKUP('Données projet'!$B$11,Paramètres!$A$1:$I$89,5,0)</f>
        <v>-1.3596945791505279E-13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349.71285006949597</v>
      </c>
      <c r="BJ127" s="59">
        <f t="shared" si="92"/>
        <v>258.51550516456842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64.122770847200073</v>
      </c>
      <c r="BQ127" s="21">
        <f>EXP(-LN(2)/25)*BQ126+(1-EXP(-LN(2)/25))/(LN(2)/25)*Calculateur!BL127*Calculateur!BN127*VLOOKUP('Données projet'!$B$11,Paramètres!$A$1:$I$89,3,0)*0.475*44/12</f>
        <v>15.277431130360956</v>
      </c>
      <c r="BR127" s="21">
        <f>EXP(-LN(2)/2)*BR126+(1-EXP(-LN(2)/2))/(LN(2)/2)*BL127*BO127*VLOOKUP('Données projet'!$B$11,Paramètres!$A$1:$I$89,3,0)*0.475*44/12</f>
        <v>1.6860161495496918E-5</v>
      </c>
      <c r="BS127" s="22">
        <f t="shared" si="63"/>
        <v>79.40021883772252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7.1129999999999995</v>
      </c>
      <c r="N128" s="13">
        <f>IF('Données projet'!$A$36&gt;35,N127+M128-V127,IF(A128&lt;'Données projet'!$A$36,$K$205^A128,IF(A128='Données projet'!$A$36,'Données projet'!$B$36,N127+M128-V127)))</f>
        <v>290.77900000000005</v>
      </c>
      <c r="O128" s="13">
        <f>N128*VLOOKUP('Données projet'!$B$9,Paramètres!$A$1:$I$89,3,0)*VLOOKUP('Données projet'!$B$9,Paramètres!$A$1:$I$89,5,0)</f>
        <v>331.13912520000008</v>
      </c>
      <c r="P128" s="13">
        <f t="shared" si="87"/>
        <v>77.6664295030006</v>
      </c>
      <c r="Q128" s="20">
        <f t="shared" si="107"/>
        <v>712.00300777439281</v>
      </c>
      <c r="R128" s="59">
        <f t="shared" si="55"/>
        <v>1005.3363411077262</v>
      </c>
      <c r="S128" s="59">
        <f ca="1">AVERAGE(OFFSET($R$3,0,0,'Données projet'!$E$9+1,1))-AVERAGE(OFFSET($H$3,0,0,'Données projet'!$E$9+1,1))</f>
        <v>593.28343396240075</v>
      </c>
      <c r="T128" s="59">
        <f t="shared" si="88"/>
        <v>289.66477662068695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27.027259466106734</v>
      </c>
      <c r="AA128" s="21">
        <f>EXP(-LN(2)/25)*AA127+(1-EXP(-LN(2)/25))/(LN(2)/25)*Calculateur!V128*Calculateur!X128*VLOOKUP('Données projet'!$B$9,Paramètres!$A$1:$I$89,3,0)*0.475*44/12</f>
        <v>26.404575605174401</v>
      </c>
      <c r="AB128" s="21">
        <f>EXP(-LN(2)/2)*AB127+(1-EXP(-LN(2)/2))/(LN(2)/2)*V128*Y128*VLOOKUP('Données projet'!$B$9,Paramètres!$A$1:$I$89,3,0)*0.475*44/12</f>
        <v>1.8140080045213467</v>
      </c>
      <c r="AC128" s="22">
        <f t="shared" si="57"/>
        <v>55.245843075802483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1.1368683772161603E-13</v>
      </c>
      <c r="AJ128" s="13">
        <f>AI128*VLOOKUP('Données projet'!$B$10,Paramètres!$A$1:$I$89,3,0)*VLOOKUP('Données projet'!$B$10,Paramètres!$A$1:$I$89,5,0)</f>
        <v>6.7984728957526396E-14</v>
      </c>
      <c r="AK128" s="13">
        <f t="shared" si="89"/>
        <v>1.0682447123141398E-12</v>
      </c>
      <c r="AL128" s="20">
        <f t="shared" si="58"/>
        <v>1.978932943548152E-12</v>
      </c>
      <c r="AM128" s="59">
        <f t="shared" si="59"/>
        <v>293.3333333333353</v>
      </c>
      <c r="AN128" s="59">
        <f ca="1">AVERAGE(OFFSET($AM$3,0,0,'Données projet'!$E$10+1,1))-AVERAGE(OFFSET($H$3,0,0,'Données projet'!$E$10+1,1))</f>
        <v>302.00825291248458</v>
      </c>
      <c r="AO128" s="59">
        <f t="shared" si="90"/>
        <v>307.35115839449355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38.330981732801803</v>
      </c>
      <c r="AV128" s="21">
        <f>EXP(-LN(2)/25)*AV127+(1-EXP(-LN(2)/25))/(LN(2)/25)*Calculateur!AQ128*Calculateur!AS128*VLOOKUP('Données projet'!$B$10,Paramètres!$A$1:$I$89,3,0)*0.475*44/12</f>
        <v>7.9897057989172389</v>
      </c>
      <c r="AW128" s="21">
        <f>EXP(-LN(2)/2)*AW127+(1-EXP(-LN(2)/2))/(LN(2)/2)*AQ128*AT128*VLOOKUP('Données projet'!$B$10,Paramètres!$A$1:$I$89,3,0)*0.475*44/12</f>
        <v>9.8718197155098195E-9</v>
      </c>
      <c r="AX128" s="21">
        <f t="shared" si="60"/>
        <v>46.320687541590864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-2.2737367544323206E-13</v>
      </c>
      <c r="BE128" s="13">
        <f>BD128*VLOOKUP('Données projet'!$B$11,Paramètres!$A$1:$I$89,3,0)*VLOOKUP('Données projet'!$B$11,Paramètres!$A$1:$I$89,5,0)</f>
        <v>-1.3596945791505279E-13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349.71285006949597</v>
      </c>
      <c r="BJ128" s="59">
        <f t="shared" si="92"/>
        <v>258.51550516456842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62.865362421914803</v>
      </c>
      <c r="BQ128" s="21">
        <f>EXP(-LN(2)/25)*BQ127+(1-EXP(-LN(2)/25))/(LN(2)/25)*Calculateur!BL128*Calculateur!BN128*VLOOKUP('Données projet'!$B$11,Paramètres!$A$1:$I$89,3,0)*0.475*44/12</f>
        <v>14.859668972696049</v>
      </c>
      <c r="BR128" s="21">
        <f>EXP(-LN(2)/2)*BR127+(1-EXP(-LN(2)/2))/(LN(2)/2)*BL128*BO128*VLOOKUP('Données projet'!$B$11,Paramètres!$A$1:$I$89,3,0)*0.475*44/12</f>
        <v>1.1921934525366193E-5</v>
      </c>
      <c r="BS128" s="22">
        <f t="shared" si="63"/>
        <v>77.725043316545381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7.1129999999999995</v>
      </c>
      <c r="N129" s="13">
        <f>IF('Données projet'!$A$36&gt;35,N128+M129-V128,IF(A129&lt;'Données projet'!$A$36,$K$205^A129,IF(A129='Données projet'!$A$36,'Données projet'!$B$36,N128+M129-V128)))</f>
        <v>297.89200000000005</v>
      </c>
      <c r="O129" s="13">
        <f>N129*VLOOKUP('Données projet'!$B$9,Paramètres!$A$1:$I$89,3,0)*VLOOKUP('Données projet'!$B$9,Paramètres!$A$1:$I$89,5,0)</f>
        <v>339.23940960000004</v>
      </c>
      <c r="P129" s="13">
        <f t="shared" si="87"/>
        <v>79.342783153306911</v>
      </c>
      <c r="Q129" s="20">
        <f t="shared" si="107"/>
        <v>729.03065237867622</v>
      </c>
      <c r="R129" s="59">
        <f t="shared" si="55"/>
        <v>1022.3639857120095</v>
      </c>
      <c r="S129" s="59">
        <f ca="1">AVERAGE(OFFSET($R$3,0,0,'Données projet'!$E$9+1,1))-AVERAGE(OFFSET($H$3,0,0,'Données projet'!$E$9+1,1))</f>
        <v>593.28343396240075</v>
      </c>
      <c r="T129" s="59">
        <f t="shared" si="88"/>
        <v>289.66477662068695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26.497271392976899</v>
      </c>
      <c r="AA129" s="21">
        <f>EXP(-LN(2)/25)*AA128+(1-EXP(-LN(2)/25))/(LN(2)/25)*Calculateur!V129*Calculateur!X129*VLOOKUP('Données projet'!$B$9,Paramètres!$A$1:$I$89,3,0)*0.475*44/12</f>
        <v>25.682541096694624</v>
      </c>
      <c r="AB129" s="21">
        <f>EXP(-LN(2)/2)*AB128+(1-EXP(-LN(2)/2))/(LN(2)/2)*V129*Y129*VLOOKUP('Données projet'!$B$9,Paramètres!$A$1:$I$89,3,0)*0.475*44/12</f>
        <v>1.2826973611237218</v>
      </c>
      <c r="AC129" s="22">
        <f t="shared" si="57"/>
        <v>53.462509850795243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1.1368683772161603E-13</v>
      </c>
      <c r="AJ129" s="13">
        <f>AI129*VLOOKUP('Données projet'!$B$10,Paramètres!$A$1:$I$89,3,0)*VLOOKUP('Données projet'!$B$10,Paramètres!$A$1:$I$89,5,0)</f>
        <v>6.7984728957526396E-14</v>
      </c>
      <c r="AK129" s="13">
        <f t="shared" si="89"/>
        <v>1.0682447123141398E-12</v>
      </c>
      <c r="AL129" s="20">
        <f t="shared" si="58"/>
        <v>1.978932943548152E-12</v>
      </c>
      <c r="AM129" s="59">
        <f t="shared" si="59"/>
        <v>293.3333333333353</v>
      </c>
      <c r="AN129" s="59">
        <f ca="1">AVERAGE(OFFSET($AM$3,0,0,'Données projet'!$E$10+1,1))-AVERAGE(OFFSET($H$3,0,0,'Données projet'!$E$10+1,1))</f>
        <v>302.00825291248458</v>
      </c>
      <c r="AO129" s="59">
        <f t="shared" si="90"/>
        <v>307.35115839449355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37.579334560611876</v>
      </c>
      <c r="AV129" s="21">
        <f>EXP(-LN(2)/25)*AV128+(1-EXP(-LN(2)/25))/(LN(2)/25)*Calculateur!AQ129*Calculateur!AS129*VLOOKUP('Données projet'!$B$10,Paramètres!$A$1:$I$89,3,0)*0.475*44/12</f>
        <v>7.7712268736854799</v>
      </c>
      <c r="AW129" s="21">
        <f>EXP(-LN(2)/2)*AW128+(1-EXP(-LN(2)/2))/(LN(2)/2)*AQ129*AT129*VLOOKUP('Données projet'!$B$10,Paramètres!$A$1:$I$89,3,0)*0.475*44/12</f>
        <v>6.9804306634880479E-9</v>
      </c>
      <c r="AX129" s="21">
        <f t="shared" si="60"/>
        <v>45.350561441277783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-2.2737367544323206E-13</v>
      </c>
      <c r="BE129" s="13">
        <f>BD129*VLOOKUP('Données projet'!$B$11,Paramètres!$A$1:$I$89,3,0)*VLOOKUP('Données projet'!$B$11,Paramètres!$A$1:$I$89,5,0)</f>
        <v>-1.3596945791505279E-13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349.71285006949597</v>
      </c>
      <c r="BJ129" s="59">
        <f t="shared" si="92"/>
        <v>258.51550516456842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61.632611008905968</v>
      </c>
      <c r="BQ129" s="21">
        <f>EXP(-LN(2)/25)*BQ128+(1-EXP(-LN(2)/25))/(LN(2)/25)*Calculateur!BL129*Calculateur!BN129*VLOOKUP('Données projet'!$B$11,Paramètres!$A$1:$I$89,3,0)*0.475*44/12</f>
        <v>14.453330543201647</v>
      </c>
      <c r="BR129" s="21">
        <f>EXP(-LN(2)/2)*BR128+(1-EXP(-LN(2)/2))/(LN(2)/2)*BL129*BO129*VLOOKUP('Données projet'!$B$11,Paramètres!$A$1:$I$89,3,0)*0.475*44/12</f>
        <v>8.4300807477484592E-6</v>
      </c>
      <c r="BS129" s="22">
        <f t="shared" si="63"/>
        <v>76.085949982188367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7.1129999999999995</v>
      </c>
      <c r="N130" s="13">
        <f>IF('Données projet'!$A$36&gt;35,N129+M130-V129,IF(A130&lt;'Données projet'!$A$36,$K$205^A130,IF(A130='Données projet'!$A$36,'Données projet'!$B$36,N129+M130-V129)))</f>
        <v>305.00500000000005</v>
      </c>
      <c r="O130" s="13">
        <f>N130*VLOOKUP('Données projet'!$B$9,Paramètres!$A$1:$I$89,3,0)*VLOOKUP('Données projet'!$B$9,Paramètres!$A$1:$I$89,5,0)</f>
        <v>347.33969400000007</v>
      </c>
      <c r="P130" s="13">
        <f t="shared" si="87"/>
        <v>81.014483591844552</v>
      </c>
      <c r="Q130" s="20">
        <f t="shared" si="107"/>
        <v>746.05019263912936</v>
      </c>
      <c r="R130" s="59">
        <f t="shared" si="55"/>
        <v>1039.3835259724626</v>
      </c>
      <c r="S130" s="59">
        <f ca="1">AVERAGE(OFFSET($R$3,0,0,'Données projet'!$E$9+1,1))-AVERAGE(OFFSET($H$3,0,0,'Données projet'!$E$9+1,1))</f>
        <v>593.28343396240075</v>
      </c>
      <c r="T130" s="59">
        <f t="shared" si="88"/>
        <v>289.66477662068695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25.977676062700333</v>
      </c>
      <c r="AA130" s="21">
        <f>EXP(-LN(2)/25)*AA129+(1-EXP(-LN(2)/25))/(LN(2)/25)*Calculateur!V130*Calculateur!X130*VLOOKUP('Données projet'!$B$9,Paramètres!$A$1:$I$89,3,0)*0.475*44/12</f>
        <v>24.980250659819372</v>
      </c>
      <c r="AB130" s="21">
        <f>EXP(-LN(2)/2)*AB129+(1-EXP(-LN(2)/2))/(LN(2)/2)*V130*Y130*VLOOKUP('Données projet'!$B$9,Paramètres!$A$1:$I$89,3,0)*0.475*44/12</f>
        <v>0.90700400226067357</v>
      </c>
      <c r="AC130" s="22">
        <f t="shared" si="57"/>
        <v>51.864930724780372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1.1368683772161603E-13</v>
      </c>
      <c r="AJ130" s="13">
        <f>AI130*VLOOKUP('Données projet'!$B$10,Paramètres!$A$1:$I$89,3,0)*VLOOKUP('Données projet'!$B$10,Paramètres!$A$1:$I$89,5,0)</f>
        <v>6.7984728957526396E-14</v>
      </c>
      <c r="AK130" s="13">
        <f t="shared" si="89"/>
        <v>1.0682447123141398E-12</v>
      </c>
      <c r="AL130" s="20">
        <f t="shared" si="58"/>
        <v>1.978932943548152E-12</v>
      </c>
      <c r="AM130" s="59">
        <f t="shared" si="59"/>
        <v>293.3333333333353</v>
      </c>
      <c r="AN130" s="59">
        <f ca="1">AVERAGE(OFFSET($AM$3,0,0,'Données projet'!$E$10+1,1))-AVERAGE(OFFSET($H$3,0,0,'Données projet'!$E$10+1,1))</f>
        <v>302.00825291248458</v>
      </c>
      <c r="AO130" s="59">
        <f t="shared" si="90"/>
        <v>307.35115839449355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36.842426731009084</v>
      </c>
      <c r="AV130" s="21">
        <f>EXP(-LN(2)/25)*AV129+(1-EXP(-LN(2)/25))/(LN(2)/25)*Calculateur!AQ130*Calculateur!AS130*VLOOKUP('Données projet'!$B$10,Paramètres!$A$1:$I$89,3,0)*0.475*44/12</f>
        <v>7.5587222661534907</v>
      </c>
      <c r="AW130" s="21">
        <f>EXP(-LN(2)/2)*AW129+(1-EXP(-LN(2)/2))/(LN(2)/2)*AQ130*AT130*VLOOKUP('Données projet'!$B$10,Paramètres!$A$1:$I$89,3,0)*0.475*44/12</f>
        <v>4.9359098577549098E-9</v>
      </c>
      <c r="AX130" s="21">
        <f t="shared" si="60"/>
        <v>44.401149002098485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-2.2737367544323206E-13</v>
      </c>
      <c r="BE130" s="13">
        <f>BD130*VLOOKUP('Données projet'!$B$11,Paramètres!$A$1:$I$89,3,0)*VLOOKUP('Données projet'!$B$11,Paramètres!$A$1:$I$89,5,0)</f>
        <v>-1.3596945791505279E-13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349.71285006949597</v>
      </c>
      <c r="BJ130" s="59">
        <f t="shared" si="92"/>
        <v>258.51550516456842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60.42403309920212</v>
      </c>
      <c r="BQ130" s="21">
        <f>EXP(-LN(2)/25)*BQ129+(1-EXP(-LN(2)/25))/(LN(2)/25)*Calculateur!BL130*Calculateur!BN130*VLOOKUP('Données projet'!$B$11,Paramètres!$A$1:$I$89,3,0)*0.475*44/12</f>
        <v>14.058103459430178</v>
      </c>
      <c r="BR130" s="21">
        <f>EXP(-LN(2)/2)*BR129+(1-EXP(-LN(2)/2))/(LN(2)/2)*BL130*BO130*VLOOKUP('Données projet'!$B$11,Paramètres!$A$1:$I$89,3,0)*0.475*44/12</f>
        <v>5.9609672626830967E-6</v>
      </c>
      <c r="BS130" s="22">
        <f t="shared" si="63"/>
        <v>74.482142519599563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7.1129999999999995</v>
      </c>
      <c r="N131" s="13">
        <f>IF('Données projet'!$A$36&gt;35,N130+M131-V130,IF(A131&lt;'Données projet'!$A$36,$K$205^A131,IF(A131='Données projet'!$A$36,'Données projet'!$B$36,N130+M131-V130)))</f>
        <v>312.11800000000005</v>
      </c>
      <c r="O131" s="13">
        <f>N131*VLOOKUP('Données projet'!$B$9,Paramètres!$A$1:$I$89,3,0)*VLOOKUP('Données projet'!$B$9,Paramètres!$A$1:$I$89,5,0)</f>
        <v>355.43997840000003</v>
      </c>
      <c r="P131" s="13">
        <f t="shared" si="87"/>
        <v>82.681651825128526</v>
      </c>
      <c r="Q131" s="20">
        <f t="shared" ref="Q131:Q153" si="108">(O131+P131)*0.475*44/12</f>
        <v>763.06183930876557</v>
      </c>
      <c r="R131" s="59">
        <f t="shared" ref="R131:R194" si="109">Q131+(I131+J131)*44/12</f>
        <v>1056.3951726420989</v>
      </c>
      <c r="S131" s="59">
        <f ca="1">AVERAGE(OFFSET($R$3,0,0,'Données projet'!$E$9+1,1))-AVERAGE(OFFSET($H$3,0,0,'Données projet'!$E$9+1,1))</f>
        <v>593.28343396240075</v>
      </c>
      <c r="T131" s="59">
        <f t="shared" si="88"/>
        <v>289.66477662068695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25.468269679928632</v>
      </c>
      <c r="AA131" s="21">
        <f>EXP(-LN(2)/25)*AA130+(1-EXP(-LN(2)/25))/(LN(2)/25)*Calculateur!V131*Calculateur!X131*VLOOKUP('Données projet'!$B$9,Paramètres!$A$1:$I$89,3,0)*0.475*44/12</f>
        <v>24.297164391872322</v>
      </c>
      <c r="AB131" s="21">
        <f>EXP(-LN(2)/2)*AB130+(1-EXP(-LN(2)/2))/(LN(2)/2)*V131*Y131*VLOOKUP('Données projet'!$B$9,Paramètres!$A$1:$I$89,3,0)*0.475*44/12</f>
        <v>0.64134868056186101</v>
      </c>
      <c r="AC131" s="22">
        <f t="shared" si="57"/>
        <v>50.406782752362815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1.1368683772161603E-13</v>
      </c>
      <c r="AJ131" s="13">
        <f>AI131*VLOOKUP('Données projet'!$B$10,Paramètres!$A$1:$I$89,3,0)*VLOOKUP('Données projet'!$B$10,Paramètres!$A$1:$I$89,5,0)</f>
        <v>6.7984728957526396E-14</v>
      </c>
      <c r="AK131" s="13">
        <f t="shared" si="89"/>
        <v>1.0682447123141398E-12</v>
      </c>
      <c r="AL131" s="20">
        <f t="shared" si="58"/>
        <v>1.978932943548152E-12</v>
      </c>
      <c r="AM131" s="59">
        <f t="shared" si="59"/>
        <v>293.3333333333353</v>
      </c>
      <c r="AN131" s="59">
        <f ca="1">AVERAGE(OFFSET($AM$3,0,0,'Données projet'!$E$10+1,1))-AVERAGE(OFFSET($H$3,0,0,'Données projet'!$E$10+1,1))</f>
        <v>302.00825291248458</v>
      </c>
      <c r="AO131" s="59">
        <f t="shared" si="90"/>
        <v>307.35115839449355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36.119969214475411</v>
      </c>
      <c r="AV131" s="21">
        <f>EXP(-LN(2)/25)*AV130+(1-EXP(-LN(2)/25))/(LN(2)/25)*Calculateur!AQ131*Calculateur!AS131*VLOOKUP('Données projet'!$B$10,Paramètres!$A$1:$I$89,3,0)*0.475*44/12</f>
        <v>7.3520286082895954</v>
      </c>
      <c r="AW131" s="21">
        <f>EXP(-LN(2)/2)*AW130+(1-EXP(-LN(2)/2))/(LN(2)/2)*AQ131*AT131*VLOOKUP('Données projet'!$B$10,Paramètres!$A$1:$I$89,3,0)*0.475*44/12</f>
        <v>3.4902153317440239E-9</v>
      </c>
      <c r="AX131" s="21">
        <f t="shared" si="60"/>
        <v>43.471997826255219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-2.2737367544323206E-13</v>
      </c>
      <c r="BE131" s="13">
        <f>BD131*VLOOKUP('Données projet'!$B$11,Paramètres!$A$1:$I$89,3,0)*VLOOKUP('Données projet'!$B$11,Paramètres!$A$1:$I$89,5,0)</f>
        <v>-1.3596945791505279E-13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349.71285006949597</v>
      </c>
      <c r="BJ131" s="59">
        <f t="shared" si="92"/>
        <v>258.51550516456842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59.239154665147829</v>
      </c>
      <c r="BQ131" s="21">
        <f>EXP(-LN(2)/25)*BQ130+(1-EXP(-LN(2)/25))/(LN(2)/25)*Calculateur!BL131*Calculateur!BN131*VLOOKUP('Données projet'!$B$11,Paramètres!$A$1:$I$89,3,0)*0.475*44/12</f>
        <v>13.673683881048529</v>
      </c>
      <c r="BR131" s="21">
        <f>EXP(-LN(2)/2)*BR130+(1-EXP(-LN(2)/2))/(LN(2)/2)*BL131*BO131*VLOOKUP('Données projet'!$B$11,Paramètres!$A$1:$I$89,3,0)*0.475*44/12</f>
        <v>4.2150403738742296E-6</v>
      </c>
      <c r="BS131" s="22">
        <f t="shared" si="63"/>
        <v>72.912842761236732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7.1129999999999995</v>
      </c>
      <c r="N132" s="13">
        <f>IF('Données projet'!$A$36&gt;35,N131+M132-V131,IF(A132&lt;'Données projet'!$A$36,$K$205^A132,IF(A132='Données projet'!$A$36,'Données projet'!$B$36,N131+M132-V131)))</f>
        <v>319.23100000000005</v>
      </c>
      <c r="O132" s="13">
        <f>N132*VLOOKUP('Données projet'!$B$9,Paramètres!$A$1:$I$89,3,0)*VLOOKUP('Données projet'!$B$9,Paramètres!$A$1:$I$89,5,0)</f>
        <v>363.54026280000005</v>
      </c>
      <c r="P132" s="13">
        <f t="shared" si="87"/>
        <v>84.344403029550918</v>
      </c>
      <c r="Q132" s="20">
        <f t="shared" si="108"/>
        <v>780.06579298646784</v>
      </c>
      <c r="R132" s="59">
        <f t="shared" si="109"/>
        <v>1073.3991263198011</v>
      </c>
      <c r="S132" s="59">
        <f ca="1">AVERAGE(OFFSET($R$3,0,0,'Données projet'!$E$9+1,1))-AVERAGE(OFFSET($H$3,0,0,'Données projet'!$E$9+1,1))</f>
        <v>593.28343396240075</v>
      </c>
      <c r="T132" s="59">
        <f t="shared" si="88"/>
        <v>289.66477662068695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24.96885244561587</v>
      </c>
      <c r="AA132" s="21">
        <f>EXP(-LN(2)/25)*AA131+(1-EXP(-LN(2)/25))/(LN(2)/25)*Calculateur!V132*Calculateur!X132*VLOOKUP('Données projet'!$B$9,Paramètres!$A$1:$I$89,3,0)*0.475*44/12</f>
        <v>23.632757153844231</v>
      </c>
      <c r="AB132" s="21">
        <f>EXP(-LN(2)/2)*AB131+(1-EXP(-LN(2)/2))/(LN(2)/2)*V132*Y132*VLOOKUP('Données projet'!$B$9,Paramètres!$A$1:$I$89,3,0)*0.475*44/12</f>
        <v>0.45350200113033684</v>
      </c>
      <c r="AC132" s="22">
        <f t="shared" ref="AC132:AC153" si="111">SUM(Z132:AB132)</f>
        <v>49.055111600590443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1.1368683772161603E-13</v>
      </c>
      <c r="AJ132" s="13">
        <f>AI132*VLOOKUP('Données projet'!$B$10,Paramètres!$A$1:$I$89,3,0)*VLOOKUP('Données projet'!$B$10,Paramètres!$A$1:$I$89,5,0)</f>
        <v>6.7984728957526396E-14</v>
      </c>
      <c r="AK132" s="13">
        <f t="shared" si="89"/>
        <v>1.0682447123141398E-12</v>
      </c>
      <c r="AL132" s="20">
        <f t="shared" ref="AL132:AL153" si="112">(AJ132+AK132)*0.475*44/12</f>
        <v>1.978932943548152E-12</v>
      </c>
      <c r="AM132" s="59">
        <f t="shared" ref="AM132:AM195" si="113">AL132+(AD132+AE132)*44/12</f>
        <v>293.3333333333353</v>
      </c>
      <c r="AN132" s="59">
        <f ca="1">AVERAGE(OFFSET($AM$3,0,0,'Données projet'!$E$10+1,1))-AVERAGE(OFFSET($H$3,0,0,'Données projet'!$E$10+1,1))</f>
        <v>302.00825291248458</v>
      </c>
      <c r="AO132" s="59">
        <f t="shared" si="90"/>
        <v>307.35115839449355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35.41167864918539</v>
      </c>
      <c r="AV132" s="21">
        <f>EXP(-LN(2)/25)*AV131+(1-EXP(-LN(2)/25))/(LN(2)/25)*Calculateur!AQ132*Calculateur!AS132*VLOOKUP('Données projet'!$B$10,Paramètres!$A$1:$I$89,3,0)*0.475*44/12</f>
        <v>7.1509869993695352</v>
      </c>
      <c r="AW132" s="21">
        <f>EXP(-LN(2)/2)*AW131+(1-EXP(-LN(2)/2))/(LN(2)/2)*AQ132*AT132*VLOOKUP('Données projet'!$B$10,Paramètres!$A$1:$I$89,3,0)*0.475*44/12</f>
        <v>2.4679549288774549E-9</v>
      </c>
      <c r="AX132" s="21">
        <f t="shared" ref="AX132:AX153" si="114">SUM(AU132:AW132)</f>
        <v>42.562665651022883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-2.2737367544323206E-13</v>
      </c>
      <c r="BE132" s="13">
        <f>BD132*VLOOKUP('Données projet'!$B$11,Paramètres!$A$1:$I$89,3,0)*VLOOKUP('Données projet'!$B$11,Paramètres!$A$1:$I$89,5,0)</f>
        <v>-1.3596945791505279E-13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349.71285006949597</v>
      </c>
      <c r="BJ132" s="59">
        <f t="shared" si="92"/>
        <v>258.51550516456842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58.077510974480859</v>
      </c>
      <c r="BQ132" s="21">
        <f>EXP(-LN(2)/25)*BQ131+(1-EXP(-LN(2)/25))/(LN(2)/25)*Calculateur!BL132*Calculateur!BN132*VLOOKUP('Données projet'!$B$11,Paramètres!$A$1:$I$89,3,0)*0.475*44/12</f>
        <v>13.299776276253473</v>
      </c>
      <c r="BR132" s="21">
        <f>EXP(-LN(2)/2)*BR131+(1-EXP(-LN(2)/2))/(LN(2)/2)*BL132*BO132*VLOOKUP('Données projet'!$B$11,Paramètres!$A$1:$I$89,3,0)*0.475*44/12</f>
        <v>2.9804836313415484E-6</v>
      </c>
      <c r="BS132" s="22">
        <f t="shared" ref="BS132:BS153" si="117">SUM(BP132:BR132)</f>
        <v>71.377290231217955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7.1129999999999995</v>
      </c>
      <c r="N133" s="13">
        <f>IF('Données projet'!$A$36&gt;35,N132+M133-V132,IF(A133&lt;'Données projet'!$A$36,$K$205^A133,IF(A133='Données projet'!$A$36,'Données projet'!$B$36,N132+M133-V132)))</f>
        <v>326.34400000000005</v>
      </c>
      <c r="O133" s="13">
        <f>N133*VLOOKUP('Données projet'!$B$9,Paramètres!$A$1:$I$89,3,0)*VLOOKUP('Données projet'!$B$9,Paramètres!$A$1:$I$89,5,0)</f>
        <v>371.64054720000007</v>
      </c>
      <c r="P133" s="13">
        <f t="shared" ref="P133:P196" si="141">EXP(-1.0587+0.8836*LN(O133)+0.284)</f>
        <v>86.002846955826783</v>
      </c>
      <c r="Q133" s="20">
        <f t="shared" si="108"/>
        <v>797.06224482139839</v>
      </c>
      <c r="R133" s="59">
        <f t="shared" si="109"/>
        <v>1090.3955781547318</v>
      </c>
      <c r="S133" s="59">
        <f ca="1">AVERAGE(OFFSET($R$3,0,0,'Données projet'!$E$9+1,1))-AVERAGE(OFFSET($H$3,0,0,'Données projet'!$E$9+1,1))</f>
        <v>593.28343396240075</v>
      </c>
      <c r="T133" s="59">
        <f t="shared" ref="T133:T196" si="142">$T$3</f>
        <v>289.66477662068695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24.479228478653546</v>
      </c>
      <c r="AA133" s="21">
        <f>EXP(-LN(2)/25)*AA132+(1-EXP(-LN(2)/25))/(LN(2)/25)*Calculateur!V133*Calculateur!X133*VLOOKUP('Données projet'!$B$9,Paramètres!$A$1:$I$89,3,0)*0.475*44/12</f>
        <v>22.986518166679677</v>
      </c>
      <c r="AB133" s="21">
        <f>EXP(-LN(2)/2)*AB132+(1-EXP(-LN(2)/2))/(LN(2)/2)*V133*Y133*VLOOKUP('Données projet'!$B$9,Paramètres!$A$1:$I$89,3,0)*0.475*44/12</f>
        <v>0.32067434028093056</v>
      </c>
      <c r="AC133" s="22">
        <f t="shared" si="111"/>
        <v>47.786420985614157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1.1368683772161603E-13</v>
      </c>
      <c r="AJ133" s="13">
        <f>AI133*VLOOKUP('Données projet'!$B$10,Paramètres!$A$1:$I$89,3,0)*VLOOKUP('Données projet'!$B$10,Paramètres!$A$1:$I$89,5,0)</f>
        <v>6.7984728957526396E-14</v>
      </c>
      <c r="AK133" s="13">
        <f t="shared" ref="AK133:AK153" si="143">EXP(-1.0587+0.8836*LN(AJ133)+0.284)</f>
        <v>1.0682447123141398E-12</v>
      </c>
      <c r="AL133" s="20">
        <f t="shared" si="112"/>
        <v>1.978932943548152E-12</v>
      </c>
      <c r="AM133" s="59">
        <f t="shared" si="113"/>
        <v>293.3333333333353</v>
      </c>
      <c r="AN133" s="59">
        <f ca="1">AVERAGE(OFFSET($AM$3,0,0,'Données projet'!$E$10+1,1))-AVERAGE(OFFSET($H$3,0,0,'Données projet'!$E$10+1,1))</f>
        <v>302.00825291248458</v>
      </c>
      <c r="AO133" s="59">
        <f t="shared" ref="AO133:AO196" si="144">$AO$3</f>
        <v>307.35115839449355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34.71727722986612</v>
      </c>
      <c r="AV133" s="21">
        <f>EXP(-LN(2)/25)*AV132+(1-EXP(-LN(2)/25))/(LN(2)/25)*Calculateur!AQ133*Calculateur!AS133*VLOOKUP('Données projet'!$B$10,Paramètres!$A$1:$I$89,3,0)*0.475*44/12</f>
        <v>6.9554428838177129</v>
      </c>
      <c r="AW133" s="21">
        <f>EXP(-LN(2)/2)*AW132+(1-EXP(-LN(2)/2))/(LN(2)/2)*AQ133*AT133*VLOOKUP('Données projet'!$B$10,Paramètres!$A$1:$I$89,3,0)*0.475*44/12</f>
        <v>1.745107665872012E-9</v>
      </c>
      <c r="AX133" s="21">
        <f t="shared" si="114"/>
        <v>41.672720115428938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-2.2737367544323206E-13</v>
      </c>
      <c r="BE133" s="13">
        <f>BD133*VLOOKUP('Données projet'!$B$11,Paramètres!$A$1:$I$89,3,0)*VLOOKUP('Données projet'!$B$11,Paramètres!$A$1:$I$89,5,0)</f>
        <v>-1.3596945791505279E-13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349.71285006949597</v>
      </c>
      <c r="BJ133" s="59">
        <f t="shared" ref="BJ133:BJ196" si="146">$BJ$3</f>
        <v>258.51550516456842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56.938646408055178</v>
      </c>
      <c r="BQ133" s="21">
        <f>EXP(-LN(2)/25)*BQ132+(1-EXP(-LN(2)/25))/(LN(2)/25)*Calculateur!BL133*Calculateur!BN133*VLOOKUP('Données projet'!$B$11,Paramètres!$A$1:$I$89,3,0)*0.475*44/12</f>
        <v>12.936093194574484</v>
      </c>
      <c r="BR133" s="21">
        <f>EXP(-LN(2)/2)*BR132+(1-EXP(-LN(2)/2))/(LN(2)/2)*BL133*BO133*VLOOKUP('Données projet'!$B$11,Paramètres!$A$1:$I$89,3,0)*0.475*44/12</f>
        <v>2.1075201869371148E-6</v>
      </c>
      <c r="BS133" s="22">
        <f t="shared" si="117"/>
        <v>69.874741710149848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7.1129999999999995</v>
      </c>
      <c r="N134" s="13">
        <f>IF('Données projet'!$A$36&gt;35,N133+M134-V133,IF(A134&lt;'Données projet'!$A$36,$K$205^A134,IF(A134='Données projet'!$A$36,'Données projet'!$B$36,N133+M134-V133)))</f>
        <v>333.45700000000005</v>
      </c>
      <c r="O134" s="13">
        <f>N134*VLOOKUP('Données projet'!$B$9,Paramètres!$A$1:$I$89,3,0)*VLOOKUP('Données projet'!$B$9,Paramètres!$A$1:$I$89,5,0)</f>
        <v>379.74083160000004</v>
      </c>
      <c r="P134" s="13">
        <f t="shared" si="141"/>
        <v>87.657088297183577</v>
      </c>
      <c r="Q134" s="20">
        <f t="shared" si="108"/>
        <v>814.05137715426144</v>
      </c>
      <c r="R134" s="59">
        <f t="shared" si="109"/>
        <v>1107.3847104875947</v>
      </c>
      <c r="S134" s="59">
        <f ca="1">AVERAGE(OFFSET($R$3,0,0,'Données projet'!$E$9+1,1))-AVERAGE(OFFSET($H$3,0,0,'Données projet'!$E$9+1,1))</f>
        <v>593.28343396240075</v>
      </c>
      <c r="T134" s="59">
        <f t="shared" si="142"/>
        <v>289.66477662068695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23.999205739042221</v>
      </c>
      <c r="AA134" s="21">
        <f>EXP(-LN(2)/25)*AA133+(1-EXP(-LN(2)/25))/(LN(2)/25)*Calculateur!V134*Calculateur!X134*VLOOKUP('Données projet'!$B$9,Paramètres!$A$1:$I$89,3,0)*0.475*44/12</f>
        <v>22.357950618603368</v>
      </c>
      <c r="AB134" s="21">
        <f>EXP(-LN(2)/2)*AB133+(1-EXP(-LN(2)/2))/(LN(2)/2)*V134*Y134*VLOOKUP('Données projet'!$B$9,Paramètres!$A$1:$I$89,3,0)*0.475*44/12</f>
        <v>0.22675100056516848</v>
      </c>
      <c r="AC134" s="22">
        <f t="shared" si="111"/>
        <v>46.583907358210759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1.1368683772161603E-13</v>
      </c>
      <c r="AJ134" s="13">
        <f>AI134*VLOOKUP('Données projet'!$B$10,Paramètres!$A$1:$I$89,3,0)*VLOOKUP('Données projet'!$B$10,Paramètres!$A$1:$I$89,5,0)</f>
        <v>6.7984728957526396E-14</v>
      </c>
      <c r="AK134" s="13">
        <f t="shared" si="143"/>
        <v>1.0682447123141398E-12</v>
      </c>
      <c r="AL134" s="20">
        <f t="shared" si="112"/>
        <v>1.978932943548152E-12</v>
      </c>
      <c r="AM134" s="59">
        <f t="shared" si="113"/>
        <v>293.3333333333353</v>
      </c>
      <c r="AN134" s="59">
        <f ca="1">AVERAGE(OFFSET($AM$3,0,0,'Données projet'!$E$10+1,1))-AVERAGE(OFFSET($H$3,0,0,'Données projet'!$E$10+1,1))</f>
        <v>302.00825291248458</v>
      </c>
      <c r="AO134" s="59">
        <f t="shared" si="144"/>
        <v>307.35115839449355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34.036492598836652</v>
      </c>
      <c r="AV134" s="21">
        <f>EXP(-LN(2)/25)*AV133+(1-EXP(-LN(2)/25))/(LN(2)/25)*Calculateur!AQ134*Calculateur!AS134*VLOOKUP('Données projet'!$B$10,Paramètres!$A$1:$I$89,3,0)*0.475*44/12</f>
        <v>6.765245932388873</v>
      </c>
      <c r="AW134" s="21">
        <f>EXP(-LN(2)/2)*AW133+(1-EXP(-LN(2)/2))/(LN(2)/2)*AQ134*AT134*VLOOKUP('Données projet'!$B$10,Paramètres!$A$1:$I$89,3,0)*0.475*44/12</f>
        <v>1.2339774644387274E-9</v>
      </c>
      <c r="AX134" s="21">
        <f t="shared" si="114"/>
        <v>40.801738532459503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-2.2737367544323206E-13</v>
      </c>
      <c r="BE134" s="13">
        <f>BD134*VLOOKUP('Données projet'!$B$11,Paramètres!$A$1:$I$89,3,0)*VLOOKUP('Données projet'!$B$11,Paramètres!$A$1:$I$89,5,0)</f>
        <v>-1.3596945791505279E-13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349.71285006949597</v>
      </c>
      <c r="BJ134" s="59">
        <f t="shared" si="146"/>
        <v>258.51550516456842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55.822114281138305</v>
      </c>
      <c r="BQ134" s="21">
        <f>EXP(-LN(2)/25)*BQ133+(1-EXP(-LN(2)/25))/(LN(2)/25)*Calculateur!BL134*Calculateur!BN134*VLOOKUP('Données projet'!$B$11,Paramètres!$A$1:$I$89,3,0)*0.475*44/12</f>
        <v>12.582355045889269</v>
      </c>
      <c r="BR134" s="21">
        <f>EXP(-LN(2)/2)*BR133+(1-EXP(-LN(2)/2))/(LN(2)/2)*BL134*BO134*VLOOKUP('Données projet'!$B$11,Paramètres!$A$1:$I$89,3,0)*0.475*44/12</f>
        <v>1.4902418156707742E-6</v>
      </c>
      <c r="BS134" s="22">
        <f t="shared" si="117"/>
        <v>68.404470817269384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>
        <f>VLOOKUP(A135,'Données projet'!$A$35:$I$55,2,0)</f>
        <v>340.57</v>
      </c>
      <c r="L135" s="12">
        <f>VLOOKUP(A135,'Données projet'!$A$35:$I$55,9,0)</f>
        <v>7.1129999999999995</v>
      </c>
      <c r="M135" s="12">
        <f t="array" ref="M135">INDEX(L:L,MIN(IF(ISNUMBER(L135:L331),ROW(L135:L331),"")))</f>
        <v>7.1129999999999995</v>
      </c>
      <c r="N135" s="13">
        <f>IF('Données projet'!$A$36&gt;35,N134+M135-V134,IF(A135&lt;'Données projet'!$A$36,$K$205^A135,IF(A135='Données projet'!$A$36,'Données projet'!$B$36,N134+M135-V134)))</f>
        <v>340.57000000000005</v>
      </c>
      <c r="O135" s="13">
        <f>N135*VLOOKUP('Données projet'!$B$9,Paramètres!$A$1:$I$89,3,0)*VLOOKUP('Données projet'!$B$9,Paramètres!$A$1:$I$89,5,0)</f>
        <v>387.84111600000006</v>
      </c>
      <c r="P135" s="13">
        <f t="shared" si="141"/>
        <v>89.307227025248523</v>
      </c>
      <c r="Q135" s="20">
        <f t="shared" si="108"/>
        <v>831.03336410230793</v>
      </c>
      <c r="R135" s="59">
        <f t="shared" si="109"/>
        <v>1124.3666974356413</v>
      </c>
      <c r="S135" s="59">
        <f ca="1">AVERAGE(OFFSET($R$3,0,0,'Données projet'!$E$9+1,1))-AVERAGE(OFFSET($H$3,0,0,'Données projet'!$E$9+1,1))</f>
        <v>593.28343396240075</v>
      </c>
      <c r="T135" s="59">
        <f t="shared" si="142"/>
        <v>289.66477662068695</v>
      </c>
      <c r="U135" s="15">
        <f>IF(ISNA(VLOOKUP(A135,'Données projet'!$A$35:$I$55,3,0)),0,VLOOKUP(A135,'Données projet'!$A$35:$I$55,3,0))</f>
        <v>9</v>
      </c>
      <c r="V135" s="15">
        <f>IF(ISNA(VLOOKUP(A135,'Données projet'!$A$35:$I$55,4,0)),0,VLOOKUP(A135,'Données projet'!$A$35:$I$55,4,0))</f>
        <v>48.699999999999989</v>
      </c>
      <c r="W135" s="16">
        <f>IF(ISNA(VLOOKUP(A135,'Données projet'!$A$35:$I$55,5,0)),0%,VLOOKUP(A135,'Données projet'!$A$35:$I$55,5,0)*VLOOKUP('Données projet'!$B$9,Paramètres!$A$1:$I$89,7,0))</f>
        <v>0.15049999999999999</v>
      </c>
      <c r="X135" s="16">
        <f>IF(ISNA(VLOOKUP(A135,'Données projet'!$A$35:$I$55,6,0)),0%,VLOOKUP(A135,'Données projet'!$A$35:$I$55,6,0)*VLOOKUP('Données projet'!$B$9,Paramètres!$A$1:$I$89,7,0))</f>
        <v>8.6000000000000007E-2</v>
      </c>
      <c r="Y135" s="16">
        <f>IF(ISNA(VLOOKUP(A135,'Données projet'!$A$35:$I$55,7,0)),0%,VLOOKUP(A135,'Données projet'!$A$35:$I$55,7,0))</f>
        <v>0.1</v>
      </c>
      <c r="Z135" s="21">
        <f>EXP(-LN(2)/35)*Z134+(1-EXP(-LN(2)/35))/(LN(2)/35)*V135*W135*VLOOKUP('Données projet'!$B$9,Paramètres!$A$1:$I$89,3,0)*0.475*44/12</f>
        <v>32.755585529280239</v>
      </c>
      <c r="AA135" s="21">
        <f>EXP(-LN(2)/25)*AA134+(1-EXP(-LN(2)/25))/(LN(2)/25)*Calculateur!V135*Calculateur!X135*VLOOKUP('Données projet'!$B$9,Paramètres!$A$1:$I$89,3,0)*0.475*44/12</f>
        <v>26.998376656320339</v>
      </c>
      <c r="AB135" s="21">
        <f>EXP(-LN(2)/2)*AB134+(1-EXP(-LN(2)/2))/(LN(2)/2)*V135*Y135*VLOOKUP('Données projet'!$B$9,Paramètres!$A$1:$I$89,3,0)*0.475*44/12</f>
        <v>5.3930959233577047</v>
      </c>
      <c r="AC135" s="22">
        <f t="shared" si="111"/>
        <v>65.147058108958277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1.1368683772161603E-13</v>
      </c>
      <c r="AJ135" s="13">
        <f>AI135*VLOOKUP('Données projet'!$B$10,Paramètres!$A$1:$I$89,3,0)*VLOOKUP('Données projet'!$B$10,Paramètres!$A$1:$I$89,5,0)</f>
        <v>6.7984728957526396E-14</v>
      </c>
      <c r="AK135" s="13">
        <f t="shared" si="143"/>
        <v>1.0682447123141398E-12</v>
      </c>
      <c r="AL135" s="20">
        <f t="shared" si="112"/>
        <v>1.978932943548152E-12</v>
      </c>
      <c r="AM135" s="59">
        <f t="shared" si="113"/>
        <v>293.3333333333353</v>
      </c>
      <c r="AN135" s="59">
        <f ca="1">AVERAGE(OFFSET($AM$3,0,0,'Données projet'!$E$10+1,1))-AVERAGE(OFFSET($H$3,0,0,'Données projet'!$E$10+1,1))</f>
        <v>302.00825291248458</v>
      </c>
      <c r="AO135" s="59">
        <f t="shared" si="144"/>
        <v>307.35115839449355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33.369057739184051</v>
      </c>
      <c r="AV135" s="21">
        <f>EXP(-LN(2)/25)*AV134+(1-EXP(-LN(2)/25))/(LN(2)/25)*Calculateur!AQ135*Calculateur!AS135*VLOOKUP('Données projet'!$B$10,Paramètres!$A$1:$I$89,3,0)*0.475*44/12</f>
        <v>6.5802499265988779</v>
      </c>
      <c r="AW135" s="21">
        <f>EXP(-LN(2)/2)*AW134+(1-EXP(-LN(2)/2))/(LN(2)/2)*AQ135*AT135*VLOOKUP('Données projet'!$B$10,Paramètres!$A$1:$I$89,3,0)*0.475*44/12</f>
        <v>8.7255383293600598E-10</v>
      </c>
      <c r="AX135" s="21">
        <f t="shared" si="114"/>
        <v>39.949307666655478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-2.2737367544323206E-13</v>
      </c>
      <c r="BE135" s="13">
        <f>BD135*VLOOKUP('Données projet'!$B$11,Paramètres!$A$1:$I$89,3,0)*VLOOKUP('Données projet'!$B$11,Paramètres!$A$1:$I$89,5,0)</f>
        <v>-1.3596945791505279E-13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349.71285006949597</v>
      </c>
      <c r="BJ135" s="59">
        <f t="shared" si="146"/>
        <v>258.51550516456842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54.727476668212923</v>
      </c>
      <c r="BQ135" s="21">
        <f>EXP(-LN(2)/25)*BQ134+(1-EXP(-LN(2)/25))/(LN(2)/25)*Calculateur!BL135*Calculateur!BN135*VLOOKUP('Données projet'!$B$11,Paramètres!$A$1:$I$89,3,0)*0.475*44/12</f>
        <v>12.238289885482132</v>
      </c>
      <c r="BR135" s="21">
        <f>EXP(-LN(2)/2)*BR134+(1-EXP(-LN(2)/2))/(LN(2)/2)*BL135*BO135*VLOOKUP('Données projet'!$B$11,Paramètres!$A$1:$I$89,3,0)*0.475*44/12</f>
        <v>1.0537600934685574E-6</v>
      </c>
      <c r="BS135" s="22">
        <f t="shared" si="117"/>
        <v>66.965767607455149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7.3375000000000012</v>
      </c>
      <c r="N136" s="13">
        <f>IF('Données projet'!$A$36&gt;35,N135+M136-V135,IF(A136&lt;'Données projet'!$A$36,$K$205^A136,IF(A136='Données projet'!$A$36,'Données projet'!$B$36,N135+M136-V135)))</f>
        <v>299.20750000000004</v>
      </c>
      <c r="O136" s="13">
        <f>N136*VLOOKUP('Données projet'!$B$9,Paramètres!$A$1:$I$89,3,0)*VLOOKUP('Données projet'!$B$9,Paramètres!$A$1:$I$89,5,0)</f>
        <v>340.73750100000001</v>
      </c>
      <c r="P136" s="13">
        <f t="shared" si="141"/>
        <v>79.6522995773622</v>
      </c>
      <c r="Q136" s="20">
        <f t="shared" si="108"/>
        <v>732.17890267223913</v>
      </c>
      <c r="R136" s="59">
        <f t="shared" si="109"/>
        <v>1025.5122360055725</v>
      </c>
      <c r="S136" s="59">
        <f ca="1">AVERAGE(OFFSET($R$3,0,0,'Données projet'!$E$9+1,1))-AVERAGE(OFFSET($H$3,0,0,'Données projet'!$E$9+1,1))</f>
        <v>593.28343396240075</v>
      </c>
      <c r="T136" s="59">
        <f t="shared" si="142"/>
        <v>289.66477662068695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32.113268475985471</v>
      </c>
      <c r="AA136" s="21">
        <f>EXP(-LN(2)/25)*AA135+(1-EXP(-LN(2)/25))/(LN(2)/25)*Calculateur!V136*Calculateur!X136*VLOOKUP('Données projet'!$B$9,Paramètres!$A$1:$I$89,3,0)*0.475*44/12</f>
        <v>26.260104626870337</v>
      </c>
      <c r="AB136" s="21">
        <f>EXP(-LN(2)/2)*AB135+(1-EXP(-LN(2)/2))/(LN(2)/2)*V136*Y136*VLOOKUP('Données projet'!$B$9,Paramètres!$A$1:$I$89,3,0)*0.475*44/12</f>
        <v>3.8134946989957581</v>
      </c>
      <c r="AC136" s="22">
        <f t="shared" si="111"/>
        <v>62.186867801851569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1.1368683772161603E-13</v>
      </c>
      <c r="AJ136" s="13">
        <f>AI136*VLOOKUP('Données projet'!$B$10,Paramètres!$A$1:$I$89,3,0)*VLOOKUP('Données projet'!$B$10,Paramètres!$A$1:$I$89,5,0)</f>
        <v>6.7984728957526396E-14</v>
      </c>
      <c r="AK136" s="13">
        <f t="shared" si="143"/>
        <v>1.0682447123141398E-12</v>
      </c>
      <c r="AL136" s="20">
        <f t="shared" si="112"/>
        <v>1.978932943548152E-12</v>
      </c>
      <c r="AM136" s="59">
        <f t="shared" si="113"/>
        <v>293.3333333333353</v>
      </c>
      <c r="AN136" s="59">
        <f ca="1">AVERAGE(OFFSET($AM$3,0,0,'Données projet'!$E$10+1,1))-AVERAGE(OFFSET($H$3,0,0,'Données projet'!$E$10+1,1))</f>
        <v>302.00825291248458</v>
      </c>
      <c r="AO136" s="59">
        <f t="shared" si="144"/>
        <v>307.35115839449355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32.714710870034168</v>
      </c>
      <c r="AV136" s="21">
        <f>EXP(-LN(2)/25)*AV135+(1-EXP(-LN(2)/25))/(LN(2)/25)*Calculateur!AQ136*Calculateur!AS136*VLOOKUP('Données projet'!$B$10,Paramètres!$A$1:$I$89,3,0)*0.475*44/12</f>
        <v>6.4003126463157276</v>
      </c>
      <c r="AW136" s="21">
        <f>EXP(-LN(2)/2)*AW135+(1-EXP(-LN(2)/2))/(LN(2)/2)*AQ136*AT136*VLOOKUP('Données projet'!$B$10,Paramètres!$A$1:$I$89,3,0)*0.475*44/12</f>
        <v>6.1698873221936372E-10</v>
      </c>
      <c r="AX136" s="21">
        <f t="shared" si="114"/>
        <v>39.115023516966879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-2.2737367544323206E-13</v>
      </c>
      <c r="BE136" s="13">
        <f>BD136*VLOOKUP('Données projet'!$B$11,Paramètres!$A$1:$I$89,3,0)*VLOOKUP('Données projet'!$B$11,Paramètres!$A$1:$I$89,5,0)</f>
        <v>-1.3596945791505279E-13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349.71285006949597</v>
      </c>
      <c r="BJ136" s="59">
        <f t="shared" si="146"/>
        <v>258.51550516456842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53.654304231213985</v>
      </c>
      <c r="BQ136" s="21">
        <f>EXP(-LN(2)/25)*BQ135+(1-EXP(-LN(2)/25))/(LN(2)/25)*Calculateur!BL136*Calculateur!BN136*VLOOKUP('Données projet'!$B$11,Paramètres!$A$1:$I$89,3,0)*0.475*44/12</f>
        <v>11.903633204979929</v>
      </c>
      <c r="BR136" s="21">
        <f>EXP(-LN(2)/2)*BR135+(1-EXP(-LN(2)/2))/(LN(2)/2)*BL136*BO136*VLOOKUP('Données projet'!$B$11,Paramètres!$A$1:$I$89,3,0)*0.475*44/12</f>
        <v>7.4512090783538709E-7</v>
      </c>
      <c r="BS136" s="22">
        <f t="shared" si="117"/>
        <v>65.557938181314825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7.3375000000000012</v>
      </c>
      <c r="N137" s="13">
        <f>IF('Données projet'!$A$36&gt;35,N136+M137-V136,IF(A137&lt;'Données projet'!$A$36,$K$205^A137,IF(A137='Données projet'!$A$36,'Données projet'!$B$36,N136+M137-V136)))</f>
        <v>306.54500000000002</v>
      </c>
      <c r="O137" s="13">
        <f>N137*VLOOKUP('Données projet'!$B$9,Paramètres!$A$1:$I$89,3,0)*VLOOKUP('Données projet'!$B$9,Paramètres!$A$1:$I$89,5,0)</f>
        <v>349.09344600000003</v>
      </c>
      <c r="P137" s="13">
        <f t="shared" si="141"/>
        <v>81.375814187494555</v>
      </c>
      <c r="Q137" s="20">
        <f t="shared" si="108"/>
        <v>749.73396149321979</v>
      </c>
      <c r="R137" s="59">
        <f t="shared" si="109"/>
        <v>1043.0672948265531</v>
      </c>
      <c r="S137" s="59">
        <f ca="1">AVERAGE(OFFSET($R$3,0,0,'Données projet'!$E$9+1,1))-AVERAGE(OFFSET($H$3,0,0,'Données projet'!$E$9+1,1))</f>
        <v>593.28343396240075</v>
      </c>
      <c r="T137" s="59">
        <f t="shared" si="142"/>
        <v>289.66477662068695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31.483546868331096</v>
      </c>
      <c r="AA137" s="21">
        <f>EXP(-LN(2)/25)*AA136+(1-EXP(-LN(2)/25))/(LN(2)/25)*Calculateur!V137*Calculateur!X137*VLOOKUP('Données projet'!$B$9,Paramètres!$A$1:$I$89,3,0)*0.475*44/12</f>
        <v>25.542020684889685</v>
      </c>
      <c r="AB137" s="21">
        <f>EXP(-LN(2)/2)*AB136+(1-EXP(-LN(2)/2))/(LN(2)/2)*V137*Y137*VLOOKUP('Données projet'!$B$9,Paramètres!$A$1:$I$89,3,0)*0.475*44/12</f>
        <v>2.6965479616788528</v>
      </c>
      <c r="AC137" s="22">
        <f t="shared" si="111"/>
        <v>59.722115514899635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1.1368683772161603E-13</v>
      </c>
      <c r="AJ137" s="13">
        <f>AI137*VLOOKUP('Données projet'!$B$10,Paramètres!$A$1:$I$89,3,0)*VLOOKUP('Données projet'!$B$10,Paramètres!$A$1:$I$89,5,0)</f>
        <v>6.7984728957526396E-14</v>
      </c>
      <c r="AK137" s="13">
        <f t="shared" si="143"/>
        <v>1.0682447123141398E-12</v>
      </c>
      <c r="AL137" s="20">
        <f t="shared" si="112"/>
        <v>1.978932943548152E-12</v>
      </c>
      <c r="AM137" s="59">
        <f t="shared" si="113"/>
        <v>293.3333333333353</v>
      </c>
      <c r="AN137" s="59">
        <f ca="1">AVERAGE(OFFSET($AM$3,0,0,'Données projet'!$E$10+1,1))-AVERAGE(OFFSET($H$3,0,0,'Données projet'!$E$10+1,1))</f>
        <v>302.00825291248458</v>
      </c>
      <c r="AO137" s="59">
        <f t="shared" si="144"/>
        <v>307.35115839449355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32.073195343876137</v>
      </c>
      <c r="AV137" s="21">
        <f>EXP(-LN(2)/25)*AV136+(1-EXP(-LN(2)/25))/(LN(2)/25)*Calculateur!AQ137*Calculateur!AS137*VLOOKUP('Données projet'!$B$10,Paramètres!$A$1:$I$89,3,0)*0.475*44/12</f>
        <v>6.2252957604244097</v>
      </c>
      <c r="AW137" s="21">
        <f>EXP(-LN(2)/2)*AW136+(1-EXP(-LN(2)/2))/(LN(2)/2)*AQ137*AT137*VLOOKUP('Données projet'!$B$10,Paramètres!$A$1:$I$89,3,0)*0.475*44/12</f>
        <v>4.3627691646800299E-10</v>
      </c>
      <c r="AX137" s="21">
        <f t="shared" si="114"/>
        <v>38.298491104736826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-2.2737367544323206E-13</v>
      </c>
      <c r="BE137" s="13">
        <f>BD137*VLOOKUP('Données projet'!$B$11,Paramètres!$A$1:$I$89,3,0)*VLOOKUP('Données projet'!$B$11,Paramètres!$A$1:$I$89,5,0)</f>
        <v>-1.3596945791505279E-13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349.71285006949597</v>
      </c>
      <c r="BJ137" s="59">
        <f t="shared" si="146"/>
        <v>258.51550516456842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52.602176051134045</v>
      </c>
      <c r="BQ137" s="21">
        <f>EXP(-LN(2)/25)*BQ136+(1-EXP(-LN(2)/25))/(LN(2)/25)*Calculateur!BL137*Calculateur!BN137*VLOOKUP('Données projet'!$B$11,Paramètres!$A$1:$I$89,3,0)*0.475*44/12</f>
        <v>11.578127729004889</v>
      </c>
      <c r="BR137" s="21">
        <f>EXP(-LN(2)/2)*BR136+(1-EXP(-LN(2)/2))/(LN(2)/2)*BL137*BO137*VLOOKUP('Données projet'!$B$11,Paramètres!$A$1:$I$89,3,0)*0.475*44/12</f>
        <v>5.268800467342787E-7</v>
      </c>
      <c r="BS137" s="22">
        <f t="shared" si="117"/>
        <v>64.180304307018972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7.3375000000000012</v>
      </c>
      <c r="N138" s="13">
        <f>IF('Données projet'!$A$36&gt;35,N137+M138-V137,IF(A138&lt;'Données projet'!$A$36,$K$205^A138,IF(A138='Données projet'!$A$36,'Données projet'!$B$36,N137+M138-V137)))</f>
        <v>313.88249999999999</v>
      </c>
      <c r="O138" s="13">
        <f>N138*VLOOKUP('Données projet'!$B$9,Paramètres!$A$1:$I$89,3,0)*VLOOKUP('Données projet'!$B$9,Paramètres!$A$1:$I$89,5,0)</f>
        <v>357.44939099999999</v>
      </c>
      <c r="P138" s="13">
        <f t="shared" si="141"/>
        <v>83.094533000636375</v>
      </c>
      <c r="Q138" s="20">
        <f t="shared" si="108"/>
        <v>767.28066763444167</v>
      </c>
      <c r="R138" s="59">
        <f t="shared" si="109"/>
        <v>1060.6140009677749</v>
      </c>
      <c r="S138" s="59">
        <f ca="1">AVERAGE(OFFSET($R$3,0,0,'Données projet'!$E$9+1,1))-AVERAGE(OFFSET($H$3,0,0,'Données projet'!$E$9+1,1))</f>
        <v>593.28343396240075</v>
      </c>
      <c r="T138" s="59">
        <f t="shared" si="142"/>
        <v>289.66477662068695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30.866173717310566</v>
      </c>
      <c r="AA138" s="21">
        <f>EXP(-LN(2)/25)*AA137+(1-EXP(-LN(2)/25))/(LN(2)/25)*Calculateur!V138*Calculateur!X138*VLOOKUP('Données projet'!$B$9,Paramètres!$A$1:$I$89,3,0)*0.475*44/12</f>
        <v>24.843572786064886</v>
      </c>
      <c r="AB138" s="21">
        <f>EXP(-LN(2)/2)*AB137+(1-EXP(-LN(2)/2))/(LN(2)/2)*V138*Y138*VLOOKUP('Données projet'!$B$9,Paramètres!$A$1:$I$89,3,0)*0.475*44/12</f>
        <v>1.9067473494978795</v>
      </c>
      <c r="AC138" s="22">
        <f t="shared" si="111"/>
        <v>57.616493852873333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1.1368683772161603E-13</v>
      </c>
      <c r="AJ138" s="13">
        <f>AI138*VLOOKUP('Données projet'!$B$10,Paramètres!$A$1:$I$89,3,0)*VLOOKUP('Données projet'!$B$10,Paramètres!$A$1:$I$89,5,0)</f>
        <v>6.7984728957526396E-14</v>
      </c>
      <c r="AK138" s="13">
        <f t="shared" si="143"/>
        <v>1.0682447123141398E-12</v>
      </c>
      <c r="AL138" s="20">
        <f t="shared" si="112"/>
        <v>1.978932943548152E-12</v>
      </c>
      <c r="AM138" s="59">
        <f t="shared" si="113"/>
        <v>293.3333333333353</v>
      </c>
      <c r="AN138" s="59">
        <f ca="1">AVERAGE(OFFSET($AM$3,0,0,'Données projet'!$E$10+1,1))-AVERAGE(OFFSET($H$3,0,0,'Données projet'!$E$10+1,1))</f>
        <v>302.00825291248458</v>
      </c>
      <c r="AO138" s="59">
        <f t="shared" si="144"/>
        <v>307.35115839449355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31.444259545900227</v>
      </c>
      <c r="AV138" s="21">
        <f>EXP(-LN(2)/25)*AV137+(1-EXP(-LN(2)/25))/(LN(2)/25)*Calculateur!AQ138*Calculateur!AS138*VLOOKUP('Données projet'!$B$10,Paramètres!$A$1:$I$89,3,0)*0.475*44/12</f>
        <v>6.0550647204815284</v>
      </c>
      <c r="AW138" s="21">
        <f>EXP(-LN(2)/2)*AW137+(1-EXP(-LN(2)/2))/(LN(2)/2)*AQ138*AT138*VLOOKUP('Données projet'!$B$10,Paramètres!$A$1:$I$89,3,0)*0.475*44/12</f>
        <v>3.0849436610968186E-10</v>
      </c>
      <c r="AX138" s="21">
        <f t="shared" si="114"/>
        <v>37.499324266690252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-2.2737367544323206E-13</v>
      </c>
      <c r="BE138" s="13">
        <f>BD138*VLOOKUP('Données projet'!$B$11,Paramètres!$A$1:$I$89,3,0)*VLOOKUP('Données projet'!$B$11,Paramètres!$A$1:$I$89,5,0)</f>
        <v>-1.3596945791505279E-13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349.71285006949597</v>
      </c>
      <c r="BJ138" s="59">
        <f t="shared" si="146"/>
        <v>258.51550516456842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51.570679462930649</v>
      </c>
      <c r="BQ138" s="21">
        <f>EXP(-LN(2)/25)*BQ137+(1-EXP(-LN(2)/25))/(LN(2)/25)*Calculateur!BL138*Calculateur!BN138*VLOOKUP('Données projet'!$B$11,Paramètres!$A$1:$I$89,3,0)*0.475*44/12</f>
        <v>11.261523217387975</v>
      </c>
      <c r="BR138" s="21">
        <f>EXP(-LN(2)/2)*BR137+(1-EXP(-LN(2)/2))/(LN(2)/2)*BL138*BO138*VLOOKUP('Données projet'!$B$11,Paramètres!$A$1:$I$89,3,0)*0.475*44/12</f>
        <v>3.7256045391769355E-7</v>
      </c>
      <c r="BS138" s="22">
        <f t="shared" si="117"/>
        <v>62.83220305287908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7.3375000000000012</v>
      </c>
      <c r="N139" s="13">
        <f>IF('Données projet'!$A$36&gt;35,N138+M139-V138,IF(A139&lt;'Données projet'!$A$36,$K$205^A139,IF(A139='Données projet'!$A$36,'Données projet'!$B$36,N138+M139-V138)))</f>
        <v>321.21999999999997</v>
      </c>
      <c r="O139" s="13">
        <f>N139*VLOOKUP('Données projet'!$B$9,Paramètres!$A$1:$I$89,3,0)*VLOOKUP('Données projet'!$B$9,Paramètres!$A$1:$I$89,5,0)</f>
        <v>365.80533599999995</v>
      </c>
      <c r="P139" s="13">
        <f t="shared" si="141"/>
        <v>84.808581028546115</v>
      </c>
      <c r="Q139" s="20">
        <f t="shared" si="108"/>
        <v>784.81923882471767</v>
      </c>
      <c r="R139" s="59">
        <f t="shared" si="109"/>
        <v>1078.152572158051</v>
      </c>
      <c r="S139" s="59">
        <f ca="1">AVERAGE(OFFSET($R$3,0,0,'Données projet'!$E$9+1,1))-AVERAGE(OFFSET($H$3,0,0,'Données projet'!$E$9+1,1))</f>
        <v>593.28343396240075</v>
      </c>
      <c r="T139" s="59">
        <f t="shared" si="142"/>
        <v>289.66477662068695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30.26090687722111</v>
      </c>
      <c r="AA139" s="21">
        <f>EXP(-LN(2)/25)*AA138+(1-EXP(-LN(2)/25))/(LN(2)/25)*Calculateur!V139*Calculateur!X139*VLOOKUP('Données projet'!$B$9,Paramètres!$A$1:$I$89,3,0)*0.475*44/12</f>
        <v>24.164223981763229</v>
      </c>
      <c r="AB139" s="21">
        <f>EXP(-LN(2)/2)*AB138+(1-EXP(-LN(2)/2))/(LN(2)/2)*V139*Y139*VLOOKUP('Données projet'!$B$9,Paramètres!$A$1:$I$89,3,0)*0.475*44/12</f>
        <v>1.3482739808394266</v>
      </c>
      <c r="AC139" s="22">
        <f t="shared" si="111"/>
        <v>55.773404839823769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1.1368683772161603E-13</v>
      </c>
      <c r="AJ139" s="13">
        <f>AI139*VLOOKUP('Données projet'!$B$10,Paramètres!$A$1:$I$89,3,0)*VLOOKUP('Données projet'!$B$10,Paramètres!$A$1:$I$89,5,0)</f>
        <v>6.7984728957526396E-14</v>
      </c>
      <c r="AK139" s="13">
        <f t="shared" si="143"/>
        <v>1.0682447123141398E-12</v>
      </c>
      <c r="AL139" s="20">
        <f t="shared" si="112"/>
        <v>1.978932943548152E-12</v>
      </c>
      <c r="AM139" s="59">
        <f t="shared" si="113"/>
        <v>293.3333333333353</v>
      </c>
      <c r="AN139" s="59">
        <f ca="1">AVERAGE(OFFSET($AM$3,0,0,'Données projet'!$E$10+1,1))-AVERAGE(OFFSET($H$3,0,0,'Données projet'!$E$10+1,1))</f>
        <v>302.00825291248458</v>
      </c>
      <c r="AO139" s="59">
        <f t="shared" si="144"/>
        <v>307.35115839449355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30.827656795309668</v>
      </c>
      <c r="AV139" s="21">
        <f>EXP(-LN(2)/25)*AV138+(1-EXP(-LN(2)/25))/(LN(2)/25)*Calculateur!AQ139*Calculateur!AS139*VLOOKUP('Données projet'!$B$10,Paramètres!$A$1:$I$89,3,0)*0.475*44/12</f>
        <v>5.8894886572779468</v>
      </c>
      <c r="AW139" s="21">
        <f>EXP(-LN(2)/2)*AW138+(1-EXP(-LN(2)/2))/(LN(2)/2)*AQ139*AT139*VLOOKUP('Données projet'!$B$10,Paramètres!$A$1:$I$89,3,0)*0.475*44/12</f>
        <v>2.181384582340015E-10</v>
      </c>
      <c r="AX139" s="21">
        <f t="shared" si="114"/>
        <v>36.717145452805752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-2.2737367544323206E-13</v>
      </c>
      <c r="BE139" s="13">
        <f>BD139*VLOOKUP('Données projet'!$B$11,Paramètres!$A$1:$I$89,3,0)*VLOOKUP('Données projet'!$B$11,Paramètres!$A$1:$I$89,5,0)</f>
        <v>-1.3596945791505279E-13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349.71285006949597</v>
      </c>
      <c r="BJ139" s="59">
        <f t="shared" si="146"/>
        <v>258.51550516456842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50.559409893671123</v>
      </c>
      <c r="BQ139" s="21">
        <f>EXP(-LN(2)/25)*BQ138+(1-EXP(-LN(2)/25))/(LN(2)/25)*Calculateur!BL139*Calculateur!BN139*VLOOKUP('Données projet'!$B$11,Paramètres!$A$1:$I$89,3,0)*0.475*44/12</f>
        <v>10.953576272790732</v>
      </c>
      <c r="BR139" s="21">
        <f>EXP(-LN(2)/2)*BR138+(1-EXP(-LN(2)/2))/(LN(2)/2)*BL139*BO139*VLOOKUP('Données projet'!$B$11,Paramètres!$A$1:$I$89,3,0)*0.475*44/12</f>
        <v>2.6344002336713935E-7</v>
      </c>
      <c r="BS139" s="22">
        <f t="shared" si="117"/>
        <v>61.512986429901879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7.3375000000000012</v>
      </c>
      <c r="N140" s="13">
        <f>IF('Données projet'!$A$36&gt;35,N139+M140-V139,IF(A140&lt;'Données projet'!$A$36,$K$205^A140,IF(A140='Données projet'!$A$36,'Données projet'!$B$36,N139+M140-V139)))</f>
        <v>328.55749999999995</v>
      </c>
      <c r="O140" s="13">
        <f>N140*VLOOKUP('Données projet'!$B$9,Paramètres!$A$1:$I$89,3,0)*VLOOKUP('Données projet'!$B$9,Paramètres!$A$1:$I$89,5,0)</f>
        <v>374.16128099999997</v>
      </c>
      <c r="P140" s="13">
        <f t="shared" si="141"/>
        <v>86.518077245851956</v>
      </c>
      <c r="Q140" s="20">
        <f t="shared" si="108"/>
        <v>802.34988227819213</v>
      </c>
      <c r="R140" s="59">
        <f t="shared" si="109"/>
        <v>1095.6832156115254</v>
      </c>
      <c r="S140" s="59">
        <f ca="1">AVERAGE(OFFSET($R$3,0,0,'Données projet'!$E$9+1,1))-AVERAGE(OFFSET($H$3,0,0,'Données projet'!$E$9+1,1))</f>
        <v>593.28343396240075</v>
      </c>
      <c r="T140" s="59">
        <f t="shared" si="142"/>
        <v>289.66477662068695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29.667508950689488</v>
      </c>
      <c r="AA140" s="21">
        <f>EXP(-LN(2)/25)*AA139+(1-EXP(-LN(2)/25))/(LN(2)/25)*Calculateur!V140*Calculateur!X140*VLOOKUP('Données projet'!$B$9,Paramètres!$A$1:$I$89,3,0)*0.475*44/12</f>
        <v>23.503452006240604</v>
      </c>
      <c r="AB140" s="21">
        <f>EXP(-LN(2)/2)*AB139+(1-EXP(-LN(2)/2))/(LN(2)/2)*V140*Y140*VLOOKUP('Données projet'!$B$9,Paramètres!$A$1:$I$89,3,0)*0.475*44/12</f>
        <v>0.95337367474893986</v>
      </c>
      <c r="AC140" s="22">
        <f t="shared" si="111"/>
        <v>54.124334631679027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1.1368683772161603E-13</v>
      </c>
      <c r="AJ140" s="13">
        <f>AI140*VLOOKUP('Données projet'!$B$10,Paramètres!$A$1:$I$89,3,0)*VLOOKUP('Données projet'!$B$10,Paramètres!$A$1:$I$89,5,0)</f>
        <v>6.7984728957526396E-14</v>
      </c>
      <c r="AK140" s="13">
        <f t="shared" si="143"/>
        <v>1.0682447123141398E-12</v>
      </c>
      <c r="AL140" s="20">
        <f t="shared" si="112"/>
        <v>1.978932943548152E-12</v>
      </c>
      <c r="AM140" s="59">
        <f t="shared" si="113"/>
        <v>293.3333333333353</v>
      </c>
      <c r="AN140" s="59">
        <f ca="1">AVERAGE(OFFSET($AM$3,0,0,'Données projet'!$E$10+1,1))-AVERAGE(OFFSET($H$3,0,0,'Données projet'!$E$10+1,1))</f>
        <v>302.00825291248458</v>
      </c>
      <c r="AO140" s="59">
        <f t="shared" si="144"/>
        <v>307.35115839449355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30.223145248567647</v>
      </c>
      <c r="AV140" s="21">
        <f>EXP(-LN(2)/25)*AV139+(1-EXP(-LN(2)/25))/(LN(2)/25)*Calculateur!AQ140*Calculateur!AS140*VLOOKUP('Données projet'!$B$10,Paramètres!$A$1:$I$89,3,0)*0.475*44/12</f>
        <v>5.7284402802299335</v>
      </c>
      <c r="AW140" s="21">
        <f>EXP(-LN(2)/2)*AW139+(1-EXP(-LN(2)/2))/(LN(2)/2)*AQ140*AT140*VLOOKUP('Données projet'!$B$10,Paramètres!$A$1:$I$89,3,0)*0.475*44/12</f>
        <v>1.5424718305484093E-10</v>
      </c>
      <c r="AX140" s="21">
        <f t="shared" si="114"/>
        <v>35.951585528951824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-2.2737367544323206E-13</v>
      </c>
      <c r="BE140" s="13">
        <f>BD140*VLOOKUP('Données projet'!$B$11,Paramètres!$A$1:$I$89,3,0)*VLOOKUP('Données projet'!$B$11,Paramètres!$A$1:$I$89,5,0)</f>
        <v>-1.3596945791505279E-13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349.71285006949597</v>
      </c>
      <c r="BJ140" s="59">
        <f t="shared" si="146"/>
        <v>258.51550516456842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49.567970703851252</v>
      </c>
      <c r="BQ140" s="21">
        <f>EXP(-LN(2)/25)*BQ139+(1-EXP(-LN(2)/25))/(LN(2)/25)*Calculateur!BL140*Calculateur!BN140*VLOOKUP('Données projet'!$B$11,Paramètres!$A$1:$I$89,3,0)*0.475*44/12</f>
        <v>10.654050153587729</v>
      </c>
      <c r="BR140" s="21">
        <f>EXP(-LN(2)/2)*BR139+(1-EXP(-LN(2)/2))/(LN(2)/2)*BL140*BO140*VLOOKUP('Données projet'!$B$11,Paramètres!$A$1:$I$89,3,0)*0.475*44/12</f>
        <v>1.8628022695884677E-7</v>
      </c>
      <c r="BS140" s="22">
        <f t="shared" si="117"/>
        <v>60.222021043719202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7.3375000000000012</v>
      </c>
      <c r="N141" s="13">
        <f>IF('Données projet'!$A$36&gt;35,N140+M141-V140,IF(A141&lt;'Données projet'!$A$36,$K$205^A141,IF(A141='Données projet'!$A$36,'Données projet'!$B$36,N140+M141-V140)))</f>
        <v>335.89499999999992</v>
      </c>
      <c r="O141" s="13">
        <f>N141*VLOOKUP('Données projet'!$B$9,Paramètres!$A$1:$I$89,3,0)*VLOOKUP('Données projet'!$B$9,Paramètres!$A$1:$I$89,5,0)</f>
        <v>382.51722599999994</v>
      </c>
      <c r="P141" s="13">
        <f t="shared" si="141"/>
        <v>88.223135009812083</v>
      </c>
      <c r="Q141" s="20">
        <f t="shared" si="108"/>
        <v>819.87279542542262</v>
      </c>
      <c r="R141" s="59">
        <f t="shared" si="109"/>
        <v>1113.206128758756</v>
      </c>
      <c r="S141" s="59">
        <f ca="1">AVERAGE(OFFSET($R$3,0,0,'Données projet'!$E$9+1,1))-AVERAGE(OFFSET($H$3,0,0,'Données projet'!$E$9+1,1))</f>
        <v>593.28343396240075</v>
      </c>
      <c r="T141" s="59">
        <f t="shared" si="142"/>
        <v>289.66477662068695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29.085747195560156</v>
      </c>
      <c r="AA141" s="21">
        <f>EXP(-LN(2)/25)*AA140+(1-EXP(-LN(2)/25))/(LN(2)/25)*Calculateur!V141*Calculateur!X141*VLOOKUP('Données projet'!$B$9,Paramètres!$A$1:$I$89,3,0)*0.475*44/12</f>
        <v>22.86074887513713</v>
      </c>
      <c r="AB141" s="21">
        <f>EXP(-LN(2)/2)*AB140+(1-EXP(-LN(2)/2))/(LN(2)/2)*V141*Y141*VLOOKUP('Données projet'!$B$9,Paramètres!$A$1:$I$89,3,0)*0.475*44/12</f>
        <v>0.67413699041971342</v>
      </c>
      <c r="AC141" s="22">
        <f t="shared" si="111"/>
        <v>52.620633061116997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1.1368683772161603E-13</v>
      </c>
      <c r="AJ141" s="13">
        <f>AI141*VLOOKUP('Données projet'!$B$10,Paramètres!$A$1:$I$89,3,0)*VLOOKUP('Données projet'!$B$10,Paramètres!$A$1:$I$89,5,0)</f>
        <v>6.7984728957526396E-14</v>
      </c>
      <c r="AK141" s="13">
        <f t="shared" si="143"/>
        <v>1.0682447123141398E-12</v>
      </c>
      <c r="AL141" s="20">
        <f t="shared" si="112"/>
        <v>1.978932943548152E-12</v>
      </c>
      <c r="AM141" s="59">
        <f t="shared" si="113"/>
        <v>293.3333333333353</v>
      </c>
      <c r="AN141" s="59">
        <f ca="1">AVERAGE(OFFSET($AM$3,0,0,'Données projet'!$E$10+1,1))-AVERAGE(OFFSET($H$3,0,0,'Données projet'!$E$10+1,1))</f>
        <v>302.00825291248458</v>
      </c>
      <c r="AO141" s="59">
        <f t="shared" si="144"/>
        <v>307.35115839449355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29.630487804541602</v>
      </c>
      <c r="AV141" s="21">
        <f>EXP(-LN(2)/25)*AV140+(1-EXP(-LN(2)/25))/(LN(2)/25)*Calculateur!AQ141*Calculateur!AS141*VLOOKUP('Données projet'!$B$10,Paramètres!$A$1:$I$89,3,0)*0.475*44/12</f>
        <v>5.5717957795214641</v>
      </c>
      <c r="AW141" s="21">
        <f>EXP(-LN(2)/2)*AW140+(1-EXP(-LN(2)/2))/(LN(2)/2)*AQ141*AT141*VLOOKUP('Données projet'!$B$10,Paramètres!$A$1:$I$89,3,0)*0.475*44/12</f>
        <v>1.0906922911700075E-10</v>
      </c>
      <c r="AX141" s="21">
        <f t="shared" si="114"/>
        <v>35.202283584172136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-2.2737367544323206E-13</v>
      </c>
      <c r="BE141" s="13">
        <f>BD141*VLOOKUP('Données projet'!$B$11,Paramètres!$A$1:$I$89,3,0)*VLOOKUP('Données projet'!$B$11,Paramètres!$A$1:$I$89,5,0)</f>
        <v>-1.3596945791505279E-13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349.71285006949597</v>
      </c>
      <c r="BJ141" s="59">
        <f t="shared" si="146"/>
        <v>258.51550516456842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48.595973031825551</v>
      </c>
      <c r="BQ141" s="21">
        <f>EXP(-LN(2)/25)*BQ140+(1-EXP(-LN(2)/25))/(LN(2)/25)*Calculateur!BL141*Calculateur!BN141*VLOOKUP('Données projet'!$B$11,Paramètres!$A$1:$I$89,3,0)*0.475*44/12</f>
        <v>10.362714591865725</v>
      </c>
      <c r="BR141" s="21">
        <f>EXP(-LN(2)/2)*BR140+(1-EXP(-LN(2)/2))/(LN(2)/2)*BL141*BO141*VLOOKUP('Données projet'!$B$11,Paramètres!$A$1:$I$89,3,0)*0.475*44/12</f>
        <v>1.3172001168356967E-7</v>
      </c>
      <c r="BS141" s="22">
        <f t="shared" si="117"/>
        <v>58.95868775541129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7.3375000000000012</v>
      </c>
      <c r="N142" s="13">
        <f>IF('Données projet'!$A$36&gt;35,N141+M142-V141,IF(A142&lt;'Données projet'!$A$36,$K$205^A142,IF(A142='Données projet'!$A$36,'Données projet'!$B$36,N141+M142-V141)))</f>
        <v>343.2324999999999</v>
      </c>
      <c r="O142" s="13">
        <f>N142*VLOOKUP('Données projet'!$B$9,Paramètres!$A$1:$I$89,3,0)*VLOOKUP('Données projet'!$B$9,Paramètres!$A$1:$I$89,5,0)</f>
        <v>390.8731709999999</v>
      </c>
      <c r="P142" s="13">
        <f t="shared" si="141"/>
        <v>89.923862442362179</v>
      </c>
      <c r="Q142" s="20">
        <f t="shared" si="108"/>
        <v>837.38816657878067</v>
      </c>
      <c r="R142" s="59">
        <f t="shared" si="109"/>
        <v>1130.721499912114</v>
      </c>
      <c r="S142" s="59">
        <f ca="1">AVERAGE(OFFSET($R$3,0,0,'Données projet'!$E$9+1,1))-AVERAGE(OFFSET($H$3,0,0,'Données projet'!$E$9+1,1))</f>
        <v>593.28343396240075</v>
      </c>
      <c r="T142" s="59">
        <f t="shared" si="142"/>
        <v>289.66477662068695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28.515393433609276</v>
      </c>
      <c r="AA142" s="21">
        <f>EXP(-LN(2)/25)*AA141+(1-EXP(-LN(2)/25))/(LN(2)/25)*Calculateur!V142*Calculateur!X142*VLOOKUP('Données projet'!$B$9,Paramètres!$A$1:$I$89,3,0)*0.475*44/12</f>
        <v>22.23562049495197</v>
      </c>
      <c r="AB142" s="21">
        <f>EXP(-LN(2)/2)*AB141+(1-EXP(-LN(2)/2))/(LN(2)/2)*V142*Y142*VLOOKUP('Données projet'!$B$9,Paramètres!$A$1:$I$89,3,0)*0.475*44/12</f>
        <v>0.47668683737447004</v>
      </c>
      <c r="AC142" s="22">
        <f t="shared" si="111"/>
        <v>51.227700765935722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1.1368683772161603E-13</v>
      </c>
      <c r="AJ142" s="13">
        <f>AI142*VLOOKUP('Données projet'!$B$10,Paramètres!$A$1:$I$89,3,0)*VLOOKUP('Données projet'!$B$10,Paramètres!$A$1:$I$89,5,0)</f>
        <v>6.7984728957526396E-14</v>
      </c>
      <c r="AK142" s="13">
        <f t="shared" si="143"/>
        <v>1.0682447123141398E-12</v>
      </c>
      <c r="AL142" s="20">
        <f t="shared" si="112"/>
        <v>1.978932943548152E-12</v>
      </c>
      <c r="AM142" s="59">
        <f t="shared" si="113"/>
        <v>293.3333333333353</v>
      </c>
      <c r="AN142" s="59">
        <f ca="1">AVERAGE(OFFSET($AM$3,0,0,'Données projet'!$E$10+1,1))-AVERAGE(OFFSET($H$3,0,0,'Données projet'!$E$10+1,1))</f>
        <v>302.00825291248458</v>
      </c>
      <c r="AO142" s="59">
        <f t="shared" si="144"/>
        <v>307.35115839449355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29.049452011507558</v>
      </c>
      <c r="AV142" s="21">
        <f>EXP(-LN(2)/25)*AV141+(1-EXP(-LN(2)/25))/(LN(2)/25)*Calculateur!AQ142*Calculateur!AS142*VLOOKUP('Données projet'!$B$10,Paramètres!$A$1:$I$89,3,0)*0.475*44/12</f>
        <v>5.4194347309224442</v>
      </c>
      <c r="AW142" s="21">
        <f>EXP(-LN(2)/2)*AW141+(1-EXP(-LN(2)/2))/(LN(2)/2)*AQ142*AT142*VLOOKUP('Données projet'!$B$10,Paramètres!$A$1:$I$89,3,0)*0.475*44/12</f>
        <v>7.7123591527420465E-11</v>
      </c>
      <c r="AX142" s="21">
        <f t="shared" si="114"/>
        <v>34.468886742507124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-2.2737367544323206E-13</v>
      </c>
      <c r="BE142" s="13">
        <f>BD142*VLOOKUP('Données projet'!$B$11,Paramètres!$A$1:$I$89,3,0)*VLOOKUP('Données projet'!$B$11,Paramètres!$A$1:$I$89,5,0)</f>
        <v>-1.3596945791505279E-13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349.71285006949597</v>
      </c>
      <c r="BJ142" s="59">
        <f t="shared" si="146"/>
        <v>258.51550516456842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47.643035641288236</v>
      </c>
      <c r="BQ142" s="21">
        <f>EXP(-LN(2)/25)*BQ141+(1-EXP(-LN(2)/25))/(LN(2)/25)*Calculateur!BL142*Calculateur!BN142*VLOOKUP('Données projet'!$B$11,Paramètres!$A$1:$I$89,3,0)*0.475*44/12</f>
        <v>10.07934561639968</v>
      </c>
      <c r="BR142" s="21">
        <f>EXP(-LN(2)/2)*BR141+(1-EXP(-LN(2)/2))/(LN(2)/2)*BL142*BO142*VLOOKUP('Données projet'!$B$11,Paramètres!$A$1:$I$89,3,0)*0.475*44/12</f>
        <v>9.3140113479423386E-8</v>
      </c>
      <c r="BS142" s="22">
        <f t="shared" si="117"/>
        <v>57.72238135082803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7.3375000000000012</v>
      </c>
      <c r="N143" s="13">
        <f>IF('Données projet'!$A$36&gt;35,N142+M143-V142,IF(A143&lt;'Données projet'!$A$36,$K$205^A143,IF(A143='Données projet'!$A$36,'Données projet'!$B$36,N142+M143-V142)))</f>
        <v>350.56999999999988</v>
      </c>
      <c r="O143" s="13">
        <f>N143*VLOOKUP('Données projet'!$B$9,Paramètres!$A$1:$I$89,3,0)*VLOOKUP('Données projet'!$B$9,Paramètres!$A$1:$I$89,5,0)</f>
        <v>399.22911599999986</v>
      </c>
      <c r="P143" s="13">
        <f t="shared" si="141"/>
        <v>91.620362778572016</v>
      </c>
      <c r="Q143" s="20">
        <f t="shared" si="108"/>
        <v>854.89617553934602</v>
      </c>
      <c r="R143" s="59">
        <f t="shared" si="109"/>
        <v>1148.2295088726794</v>
      </c>
      <c r="S143" s="59">
        <f ca="1">AVERAGE(OFFSET($R$3,0,0,'Données projet'!$E$9+1,1))-AVERAGE(OFFSET($H$3,0,0,'Données projet'!$E$9+1,1))</f>
        <v>593.28343396240075</v>
      </c>
      <c r="T143" s="59">
        <f t="shared" si="142"/>
        <v>289.66477662068695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27.95622396104881</v>
      </c>
      <c r="AA143" s="21">
        <f>EXP(-LN(2)/25)*AA142+(1-EXP(-LN(2)/25))/(LN(2)/25)*Calculateur!V143*Calculateur!X143*VLOOKUP('Données projet'!$B$9,Paramètres!$A$1:$I$89,3,0)*0.475*44/12</f>
        <v>21.627586283197047</v>
      </c>
      <c r="AB143" s="21">
        <f>EXP(-LN(2)/2)*AB142+(1-EXP(-LN(2)/2))/(LN(2)/2)*V143*Y143*VLOOKUP('Données projet'!$B$9,Paramètres!$A$1:$I$89,3,0)*0.475*44/12</f>
        <v>0.33706849520985677</v>
      </c>
      <c r="AC143" s="22">
        <f t="shared" si="111"/>
        <v>49.920878739455709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1.1368683772161603E-13</v>
      </c>
      <c r="AJ143" s="13">
        <f>AI143*VLOOKUP('Données projet'!$B$10,Paramètres!$A$1:$I$89,3,0)*VLOOKUP('Données projet'!$B$10,Paramètres!$A$1:$I$89,5,0)</f>
        <v>6.7984728957526396E-14</v>
      </c>
      <c r="AK143" s="13">
        <f t="shared" si="143"/>
        <v>1.0682447123141398E-12</v>
      </c>
      <c r="AL143" s="20">
        <f t="shared" si="112"/>
        <v>1.978932943548152E-12</v>
      </c>
      <c r="AM143" s="59">
        <f t="shared" si="113"/>
        <v>293.3333333333353</v>
      </c>
      <c r="AN143" s="59">
        <f ca="1">AVERAGE(OFFSET($AM$3,0,0,'Données projet'!$E$10+1,1))-AVERAGE(OFFSET($H$3,0,0,'Données projet'!$E$10+1,1))</f>
        <v>302.00825291248458</v>
      </c>
      <c r="AO143" s="59">
        <f t="shared" si="144"/>
        <v>307.35115839449355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28.479809975978075</v>
      </c>
      <c r="AV143" s="21">
        <f>EXP(-LN(2)/25)*AV142+(1-EXP(-LN(2)/25))/(LN(2)/25)*Calculateur!AQ143*Calculateur!AS143*VLOOKUP('Données projet'!$B$10,Paramètres!$A$1:$I$89,3,0)*0.475*44/12</f>
        <v>5.2712400032096838</v>
      </c>
      <c r="AW143" s="21">
        <f>EXP(-LN(2)/2)*AW142+(1-EXP(-LN(2)/2))/(LN(2)/2)*AQ143*AT143*VLOOKUP('Données projet'!$B$10,Paramètres!$A$1:$I$89,3,0)*0.475*44/12</f>
        <v>5.4534614558500374E-11</v>
      </c>
      <c r="AX143" s="21">
        <f t="shared" si="114"/>
        <v>33.751049979242289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-2.2737367544323206E-13</v>
      </c>
      <c r="BE143" s="13">
        <f>BD143*VLOOKUP('Données projet'!$B$11,Paramètres!$A$1:$I$89,3,0)*VLOOKUP('Données projet'!$B$11,Paramètres!$A$1:$I$89,5,0)</f>
        <v>-1.3596945791505279E-13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349.71285006949597</v>
      </c>
      <c r="BJ143" s="59">
        <f t="shared" si="146"/>
        <v>258.51550516456842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46.708784771744938</v>
      </c>
      <c r="BQ143" s="21">
        <f>EXP(-LN(2)/25)*BQ142+(1-EXP(-LN(2)/25))/(LN(2)/25)*Calculateur!BL143*Calculateur!BN143*VLOOKUP('Données projet'!$B$11,Paramètres!$A$1:$I$89,3,0)*0.475*44/12</f>
        <v>9.8037253804694817</v>
      </c>
      <c r="BR143" s="21">
        <f>EXP(-LN(2)/2)*BR142+(1-EXP(-LN(2)/2))/(LN(2)/2)*BL143*BO143*VLOOKUP('Données projet'!$B$11,Paramètres!$A$1:$I$89,3,0)*0.475*44/12</f>
        <v>6.5860005841784837E-8</v>
      </c>
      <c r="BS143" s="22">
        <f t="shared" si="117"/>
        <v>56.512510218074425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7.3375000000000012</v>
      </c>
      <c r="N144" s="13">
        <f>IF('Données projet'!$A$36&gt;35,N143+M144-V143,IF(A144&lt;'Données projet'!$A$36,$K$205^A144,IF(A144='Données projet'!$A$36,'Données projet'!$B$36,N143+M144-V143)))</f>
        <v>357.90749999999986</v>
      </c>
      <c r="O144" s="13">
        <f>N144*VLOOKUP('Données projet'!$B$9,Paramètres!$A$1:$I$89,3,0)*VLOOKUP('Données projet'!$B$9,Paramètres!$A$1:$I$89,5,0)</f>
        <v>407.58506099999983</v>
      </c>
      <c r="P144" s="13">
        <f t="shared" si="141"/>
        <v>93.312734685105752</v>
      </c>
      <c r="Q144" s="20">
        <f t="shared" si="108"/>
        <v>872.39699415155883</v>
      </c>
      <c r="R144" s="59">
        <f t="shared" si="109"/>
        <v>1165.7303274848921</v>
      </c>
      <c r="S144" s="59">
        <f ca="1">AVERAGE(OFFSET($R$3,0,0,'Données projet'!$E$9+1,1))-AVERAGE(OFFSET($H$3,0,0,'Données projet'!$E$9+1,1))</f>
        <v>593.28343396240075</v>
      </c>
      <c r="T144" s="59">
        <f t="shared" si="142"/>
        <v>289.66477662068695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27.408019460785553</v>
      </c>
      <c r="AA144" s="21">
        <f>EXP(-LN(2)/25)*AA143+(1-EXP(-LN(2)/25))/(LN(2)/25)*Calculateur!V144*Calculateur!X144*VLOOKUP('Données projet'!$B$9,Paramètres!$A$1:$I$89,3,0)*0.475*44/12</f>
        <v>21.036178798937691</v>
      </c>
      <c r="AB144" s="21">
        <f>EXP(-LN(2)/2)*AB143+(1-EXP(-LN(2)/2))/(LN(2)/2)*V144*Y144*VLOOKUP('Données projet'!$B$9,Paramètres!$A$1:$I$89,3,0)*0.475*44/12</f>
        <v>0.23834341868723505</v>
      </c>
      <c r="AC144" s="22">
        <f t="shared" si="111"/>
        <v>48.68254167841048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1.1368683772161603E-13</v>
      </c>
      <c r="AJ144" s="13">
        <f>AI144*VLOOKUP('Données projet'!$B$10,Paramètres!$A$1:$I$89,3,0)*VLOOKUP('Données projet'!$B$10,Paramètres!$A$1:$I$89,5,0)</f>
        <v>6.7984728957526396E-14</v>
      </c>
      <c r="AK144" s="13">
        <f t="shared" si="143"/>
        <v>1.0682447123141398E-12</v>
      </c>
      <c r="AL144" s="20">
        <f t="shared" si="112"/>
        <v>1.978932943548152E-12</v>
      </c>
      <c r="AM144" s="59">
        <f t="shared" si="113"/>
        <v>293.3333333333353</v>
      </c>
      <c r="AN144" s="59">
        <f ca="1">AVERAGE(OFFSET($AM$3,0,0,'Données projet'!$E$10+1,1))-AVERAGE(OFFSET($H$3,0,0,'Données projet'!$E$10+1,1))</f>
        <v>302.00825291248458</v>
      </c>
      <c r="AO144" s="59">
        <f t="shared" si="144"/>
        <v>307.35115839449355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27.921338273317989</v>
      </c>
      <c r="AV144" s="21">
        <f>EXP(-LN(2)/25)*AV143+(1-EXP(-LN(2)/25))/(LN(2)/25)*Calculateur!AQ144*Calculateur!AS144*VLOOKUP('Données projet'!$B$10,Paramètres!$A$1:$I$89,3,0)*0.475*44/12</f>
        <v>5.1270976681194504</v>
      </c>
      <c r="AW144" s="21">
        <f>EXP(-LN(2)/2)*AW143+(1-EXP(-LN(2)/2))/(LN(2)/2)*AQ144*AT144*VLOOKUP('Données projet'!$B$10,Paramètres!$A$1:$I$89,3,0)*0.475*44/12</f>
        <v>3.8561795763710233E-11</v>
      </c>
      <c r="AX144" s="21">
        <f t="shared" si="114"/>
        <v>33.048435941476001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-2.2737367544323206E-13</v>
      </c>
      <c r="BE144" s="13">
        <f>BD144*VLOOKUP('Données projet'!$B$11,Paramètres!$A$1:$I$89,3,0)*VLOOKUP('Données projet'!$B$11,Paramètres!$A$1:$I$89,5,0)</f>
        <v>-1.3596945791505279E-13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349.71285006949597</v>
      </c>
      <c r="BJ144" s="59">
        <f t="shared" si="146"/>
        <v>258.51550516456842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45.792853991916623</v>
      </c>
      <c r="BQ144" s="21">
        <f>EXP(-LN(2)/25)*BQ143+(1-EXP(-LN(2)/25))/(LN(2)/25)*Calculateur!BL144*Calculateur!BN144*VLOOKUP('Données projet'!$B$11,Paramètres!$A$1:$I$89,3,0)*0.475*44/12</f>
        <v>9.535641994385033</v>
      </c>
      <c r="BR144" s="21">
        <f>EXP(-LN(2)/2)*BR143+(1-EXP(-LN(2)/2))/(LN(2)/2)*BL144*BO144*VLOOKUP('Données projet'!$B$11,Paramètres!$A$1:$I$89,3,0)*0.475*44/12</f>
        <v>4.6570056739711693E-8</v>
      </c>
      <c r="BS144" s="22">
        <f t="shared" si="117"/>
        <v>55.328496032871712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7.3375000000000012</v>
      </c>
      <c r="N145" s="13">
        <f>IF('Données projet'!$A$36&gt;35,N144+M145-V144,IF(A145&lt;'Données projet'!$A$36,$K$205^A145,IF(A145='Données projet'!$A$36,'Données projet'!$B$36,N144+M145-V144)))</f>
        <v>365.24499999999983</v>
      </c>
      <c r="O145" s="13">
        <f>N145*VLOOKUP('Données projet'!$B$9,Paramètres!$A$1:$I$89,3,0)*VLOOKUP('Données projet'!$B$9,Paramètres!$A$1:$I$89,5,0)</f>
        <v>415.94100599999985</v>
      </c>
      <c r="P145" s="13">
        <f t="shared" si="141"/>
        <v>95.001072551829481</v>
      </c>
      <c r="Q145" s="20">
        <f t="shared" si="108"/>
        <v>889.89078681110277</v>
      </c>
      <c r="R145" s="59">
        <f t="shared" si="109"/>
        <v>1183.224120144436</v>
      </c>
      <c r="S145" s="59">
        <f ca="1">AVERAGE(OFFSET($R$3,0,0,'Données projet'!$E$9+1,1))-AVERAGE(OFFSET($H$3,0,0,'Données projet'!$E$9+1,1))</f>
        <v>593.28343396240075</v>
      </c>
      <c r="T145" s="59">
        <f t="shared" si="142"/>
        <v>289.66477662068695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26.870564916400728</v>
      </c>
      <c r="AA145" s="21">
        <f>EXP(-LN(2)/25)*AA144+(1-EXP(-LN(2)/25))/(LN(2)/25)*Calculateur!V145*Calculateur!X145*VLOOKUP('Données projet'!$B$9,Paramètres!$A$1:$I$89,3,0)*0.475*44/12</f>
        <v>20.460943383436174</v>
      </c>
      <c r="AB145" s="21">
        <f>EXP(-LN(2)/2)*AB144+(1-EXP(-LN(2)/2))/(LN(2)/2)*V145*Y145*VLOOKUP('Données projet'!$B$9,Paramètres!$A$1:$I$89,3,0)*0.475*44/12</f>
        <v>0.16853424760492841</v>
      </c>
      <c r="AC145" s="22">
        <f t="shared" si="111"/>
        <v>47.500042547441829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1.1368683772161603E-13</v>
      </c>
      <c r="AJ145" s="13">
        <f>AI145*VLOOKUP('Données projet'!$B$10,Paramètres!$A$1:$I$89,3,0)*VLOOKUP('Données projet'!$B$10,Paramètres!$A$1:$I$89,5,0)</f>
        <v>6.7984728957526396E-14</v>
      </c>
      <c r="AK145" s="13">
        <f t="shared" si="143"/>
        <v>1.0682447123141398E-12</v>
      </c>
      <c r="AL145" s="20">
        <f t="shared" si="112"/>
        <v>1.978932943548152E-12</v>
      </c>
      <c r="AM145" s="59">
        <f t="shared" si="113"/>
        <v>293.3333333333353</v>
      </c>
      <c r="AN145" s="59">
        <f ca="1">AVERAGE(OFFSET($AM$3,0,0,'Données projet'!$E$10+1,1))-AVERAGE(OFFSET($H$3,0,0,'Données projet'!$E$10+1,1))</f>
        <v>302.00825291248458</v>
      </c>
      <c r="AO145" s="59">
        <f t="shared" si="144"/>
        <v>307.35115839449355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27.373817860112965</v>
      </c>
      <c r="AV145" s="21">
        <f>EXP(-LN(2)/25)*AV144+(1-EXP(-LN(2)/25))/(LN(2)/25)*Calculateur!AQ145*Calculateur!AS145*VLOOKUP('Données projet'!$B$10,Paramètres!$A$1:$I$89,3,0)*0.475*44/12</f>
        <v>4.9868969127623757</v>
      </c>
      <c r="AW145" s="21">
        <f>EXP(-LN(2)/2)*AW144+(1-EXP(-LN(2)/2))/(LN(2)/2)*AQ145*AT145*VLOOKUP('Données projet'!$B$10,Paramètres!$A$1:$I$89,3,0)*0.475*44/12</f>
        <v>2.7267307279250187E-11</v>
      </c>
      <c r="AX145" s="21">
        <f t="shared" si="114"/>
        <v>32.360714772902611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-2.2737367544323206E-13</v>
      </c>
      <c r="BE145" s="13">
        <f>BD145*VLOOKUP('Données projet'!$B$11,Paramètres!$A$1:$I$89,3,0)*VLOOKUP('Données projet'!$B$11,Paramètres!$A$1:$I$89,5,0)</f>
        <v>-1.3596945791505279E-13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349.71285006949597</v>
      </c>
      <c r="BJ145" s="59">
        <f t="shared" si="146"/>
        <v>258.51550516456842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44.894884056018128</v>
      </c>
      <c r="BQ145" s="21">
        <f>EXP(-LN(2)/25)*BQ144+(1-EXP(-LN(2)/25))/(LN(2)/25)*Calculateur!BL145*Calculateur!BN145*VLOOKUP('Données projet'!$B$11,Paramètres!$A$1:$I$89,3,0)*0.475*44/12</f>
        <v>9.2748893625909563</v>
      </c>
      <c r="BR145" s="21">
        <f>EXP(-LN(2)/2)*BR144+(1-EXP(-LN(2)/2))/(LN(2)/2)*BL145*BO145*VLOOKUP('Données projet'!$B$11,Paramètres!$A$1:$I$89,3,0)*0.475*44/12</f>
        <v>3.2930002920892419E-8</v>
      </c>
      <c r="BS145" s="22">
        <f t="shared" si="117"/>
        <v>54.169773451539086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7.3375000000000012</v>
      </c>
      <c r="N146" s="13">
        <f>IF('Données projet'!$A$36&gt;35,N145+M146-V145,IF(A146&lt;'Données projet'!$A$36,$K$205^A146,IF(A146='Données projet'!$A$36,'Données projet'!$B$36,N145+M146-V145)))</f>
        <v>372.58249999999981</v>
      </c>
      <c r="O146" s="13">
        <f>N146*VLOOKUP('Données projet'!$B$9,Paramètres!$A$1:$I$89,3,0)*VLOOKUP('Données projet'!$B$9,Paramètres!$A$1:$I$89,5,0)</f>
        <v>424.29695099999975</v>
      </c>
      <c r="P146" s="13">
        <f t="shared" si="141"/>
        <v>96.685466759324626</v>
      </c>
      <c r="Q146" s="20">
        <f t="shared" si="108"/>
        <v>907.37771093082313</v>
      </c>
      <c r="R146" s="59">
        <f t="shared" si="109"/>
        <v>1200.7110442641565</v>
      </c>
      <c r="S146" s="59">
        <f ca="1">AVERAGE(OFFSET($R$3,0,0,'Données projet'!$E$9+1,1))-AVERAGE(OFFSET($H$3,0,0,'Données projet'!$E$9+1,1))</f>
        <v>593.28343396240075</v>
      </c>
      <c r="T146" s="59">
        <f t="shared" si="142"/>
        <v>289.66477662068695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26.343649527816385</v>
      </c>
      <c r="AA146" s="21">
        <f>EXP(-LN(2)/25)*AA145+(1-EXP(-LN(2)/25))/(LN(2)/25)*Calculateur!V146*Calculateur!X146*VLOOKUP('Données projet'!$B$9,Paramètres!$A$1:$I$89,3,0)*0.475*44/12</f>
        <v>19.901437810621864</v>
      </c>
      <c r="AB146" s="21">
        <f>EXP(-LN(2)/2)*AB145+(1-EXP(-LN(2)/2))/(LN(2)/2)*V146*Y146*VLOOKUP('Données projet'!$B$9,Paramètres!$A$1:$I$89,3,0)*0.475*44/12</f>
        <v>0.11917170934361754</v>
      </c>
      <c r="AC146" s="22">
        <f t="shared" si="111"/>
        <v>46.364259047781871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1.1368683772161603E-13</v>
      </c>
      <c r="AJ146" s="13">
        <f>AI146*VLOOKUP('Données projet'!$B$10,Paramètres!$A$1:$I$89,3,0)*VLOOKUP('Données projet'!$B$10,Paramètres!$A$1:$I$89,5,0)</f>
        <v>6.7984728957526396E-14</v>
      </c>
      <c r="AK146" s="13">
        <f t="shared" si="143"/>
        <v>1.0682447123141398E-12</v>
      </c>
      <c r="AL146" s="20">
        <f t="shared" si="112"/>
        <v>1.978932943548152E-12</v>
      </c>
      <c r="AM146" s="59">
        <f t="shared" si="113"/>
        <v>293.3333333333353</v>
      </c>
      <c r="AN146" s="59">
        <f ca="1">AVERAGE(OFFSET($AM$3,0,0,'Données projet'!$E$10+1,1))-AVERAGE(OFFSET($H$3,0,0,'Données projet'!$E$10+1,1))</f>
        <v>302.00825291248458</v>
      </c>
      <c r="AO146" s="59">
        <f t="shared" si="144"/>
        <v>307.35115839449355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26.837033988256415</v>
      </c>
      <c r="AV146" s="21">
        <f>EXP(-LN(2)/25)*AV145+(1-EXP(-LN(2)/25))/(LN(2)/25)*Calculateur!AQ146*Calculateur!AS146*VLOOKUP('Données projet'!$B$10,Paramètres!$A$1:$I$89,3,0)*0.475*44/12</f>
        <v>4.8505299544333775</v>
      </c>
      <c r="AW146" s="21">
        <f>EXP(-LN(2)/2)*AW145+(1-EXP(-LN(2)/2))/(LN(2)/2)*AQ146*AT146*VLOOKUP('Données projet'!$B$10,Paramètres!$A$1:$I$89,3,0)*0.475*44/12</f>
        <v>1.9280897881855116E-11</v>
      </c>
      <c r="AX146" s="21">
        <f t="shared" si="114"/>
        <v>31.687563942709073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-2.2737367544323206E-13</v>
      </c>
      <c r="BE146" s="13">
        <f>BD146*VLOOKUP('Données projet'!$B$11,Paramètres!$A$1:$I$89,3,0)*VLOOKUP('Données projet'!$B$11,Paramètres!$A$1:$I$89,5,0)</f>
        <v>-1.3596945791505279E-13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349.71285006949597</v>
      </c>
      <c r="BJ146" s="59">
        <f t="shared" si="146"/>
        <v>258.51550516456842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44.014522762855023</v>
      </c>
      <c r="BQ146" s="21">
        <f>EXP(-LN(2)/25)*BQ145+(1-EXP(-LN(2)/25))/(LN(2)/25)*Calculateur!BL146*Calculateur!BN146*VLOOKUP('Données projet'!$B$11,Paramètres!$A$1:$I$89,3,0)*0.475*44/12</f>
        <v>9.0212670252256739</v>
      </c>
      <c r="BR146" s="21">
        <f>EXP(-LN(2)/2)*BR145+(1-EXP(-LN(2)/2))/(LN(2)/2)*BL146*BO146*VLOOKUP('Données projet'!$B$11,Paramètres!$A$1:$I$89,3,0)*0.475*44/12</f>
        <v>2.3285028369855847E-8</v>
      </c>
      <c r="BS146" s="22">
        <f t="shared" si="117"/>
        <v>53.035789811365724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>
        <f>VLOOKUP(A147,'Données projet'!$A$35:$I$55,2,0)</f>
        <v>379.92</v>
      </c>
      <c r="L147" s="12">
        <f>VLOOKUP(A147,'Données projet'!$A$35:$I$55,9,0)</f>
        <v>7.3375000000000012</v>
      </c>
      <c r="M147" s="12">
        <f t="array" ref="M147">INDEX(L:L,MIN(IF(ISNUMBER(L147:L343),ROW(L147:L343),"")))</f>
        <v>7.3375000000000012</v>
      </c>
      <c r="N147" s="13">
        <f>IF('Données projet'!$A$36&gt;35,N146+M147-V146,IF(A147&lt;'Données projet'!$A$36,$K$205^A147,IF(A147='Données projet'!$A$36,'Données projet'!$B$36,N146+M147-V146)))</f>
        <v>379.91999999999979</v>
      </c>
      <c r="O147" s="13">
        <f>N147*VLOOKUP('Données projet'!$B$9,Paramètres!$A$1:$I$89,3,0)*VLOOKUP('Données projet'!$B$9,Paramètres!$A$1:$I$89,5,0)</f>
        <v>432.65289599999977</v>
      </c>
      <c r="P147" s="13">
        <f t="shared" si="141"/>
        <v>98.366003924731828</v>
      </c>
      <c r="Q147" s="20">
        <f t="shared" si="108"/>
        <v>924.85791736890758</v>
      </c>
      <c r="R147" s="59">
        <f t="shared" si="109"/>
        <v>1218.1912507022409</v>
      </c>
      <c r="S147" s="59">
        <f ca="1">AVERAGE(OFFSET($R$3,0,0,'Données projet'!$E$9+1,1))-AVERAGE(OFFSET($H$3,0,0,'Données projet'!$E$9+1,1))</f>
        <v>593.28343396240075</v>
      </c>
      <c r="T147" s="59">
        <f t="shared" si="142"/>
        <v>289.66477662068695</v>
      </c>
      <c r="U147" s="15">
        <f>IF(ISNA(VLOOKUP(A147,'Données projet'!$A$35:$I$55,3,0)),0,VLOOKUP(A147,'Données projet'!$A$35:$I$55,3,0))</f>
        <v>10</v>
      </c>
      <c r="V147" s="15">
        <f>IF(ISNA(VLOOKUP(A147,'Données projet'!$A$35:$I$55,4,0)),0,VLOOKUP(A147,'Données projet'!$A$35:$I$55,4,0))</f>
        <v>60.949999999999989</v>
      </c>
      <c r="W147" s="16">
        <f>IF(ISNA(VLOOKUP(A147,'Données projet'!$A$35:$I$55,5,0)),0%,VLOOKUP(A147,'Données projet'!$A$35:$I$55,5,0)*VLOOKUP('Données projet'!$B$9,Paramètres!$A$1:$I$89,7,0))</f>
        <v>0.15049999999999999</v>
      </c>
      <c r="X147" s="16">
        <f>IF(ISNA(VLOOKUP(A147,'Données projet'!$A$35:$I$55,6,0)),0%,VLOOKUP(A147,'Données projet'!$A$35:$I$55,6,0)*VLOOKUP('Données projet'!$B$9,Paramètres!$A$1:$I$89,7,0))</f>
        <v>8.6000000000000007E-2</v>
      </c>
      <c r="Y147" s="16">
        <f>IF(ISNA(VLOOKUP(A147,'Données projet'!$A$35:$I$55,7,0)),0%,VLOOKUP(A147,'Données projet'!$A$35:$I$55,7,0))</f>
        <v>0.1</v>
      </c>
      <c r="Z147" s="21">
        <f>EXP(-LN(2)/35)*Z146+(1-EXP(-LN(2)/35))/(LN(2)/35)*V147*W147*VLOOKUP('Données projet'!$B$9,Paramètres!$A$1:$I$89,3,0)*0.475*44/12</f>
        <v>37.375013542383627</v>
      </c>
      <c r="AA147" s="21">
        <f>EXP(-LN(2)/25)*AA146+(1-EXP(-LN(2)/25))/(LN(2)/25)*Calculateur!V147*Calculateur!X147*VLOOKUP('Données projet'!$B$9,Paramètres!$A$1:$I$89,3,0)*0.475*44/12</f>
        <v>25.930076659494059</v>
      </c>
      <c r="AB147" s="21">
        <f>EXP(-LN(2)/2)*AB146+(1-EXP(-LN(2)/2))/(LN(2)/2)*V147*Y147*VLOOKUP('Données projet'!$B$9,Paramètres!$A$1:$I$89,3,0)*0.475*44/12</f>
        <v>6.6332742287016577</v>
      </c>
      <c r="AC147" s="22">
        <f t="shared" si="111"/>
        <v>69.938364430579341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1.1368683772161603E-13</v>
      </c>
      <c r="AJ147" s="13">
        <f>AI147*VLOOKUP('Données projet'!$B$10,Paramètres!$A$1:$I$89,3,0)*VLOOKUP('Données projet'!$B$10,Paramètres!$A$1:$I$89,5,0)</f>
        <v>6.7984728957526396E-14</v>
      </c>
      <c r="AK147" s="13">
        <f t="shared" si="143"/>
        <v>1.0682447123141398E-12</v>
      </c>
      <c r="AL147" s="20">
        <f t="shared" si="112"/>
        <v>1.978932943548152E-12</v>
      </c>
      <c r="AM147" s="59">
        <f t="shared" si="113"/>
        <v>293.3333333333353</v>
      </c>
      <c r="AN147" s="59">
        <f ca="1">AVERAGE(OFFSET($AM$3,0,0,'Données projet'!$E$10+1,1))-AVERAGE(OFFSET($H$3,0,0,'Données projet'!$E$10+1,1))</f>
        <v>302.00825291248458</v>
      </c>
      <c r="AO147" s="59">
        <f t="shared" si="144"/>
        <v>307.35115839449355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26.310776120721137</v>
      </c>
      <c r="AV147" s="21">
        <f>EXP(-LN(2)/25)*AV146+(1-EXP(-LN(2)/25))/(LN(2)/25)*Calculateur!AQ147*Calculateur!AS147*VLOOKUP('Données projet'!$B$10,Paramètres!$A$1:$I$89,3,0)*0.475*44/12</f>
        <v>4.7178919577511129</v>
      </c>
      <c r="AW147" s="21">
        <f>EXP(-LN(2)/2)*AW146+(1-EXP(-LN(2)/2))/(LN(2)/2)*AQ147*AT147*VLOOKUP('Données projet'!$B$10,Paramètres!$A$1:$I$89,3,0)*0.475*44/12</f>
        <v>1.3633653639625093E-11</v>
      </c>
      <c r="AX147" s="21">
        <f t="shared" si="114"/>
        <v>31.028668078485886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-2.2737367544323206E-13</v>
      </c>
      <c r="BE147" s="13">
        <f>BD147*VLOOKUP('Données projet'!$B$11,Paramètres!$A$1:$I$89,3,0)*VLOOKUP('Données projet'!$B$11,Paramètres!$A$1:$I$89,5,0)</f>
        <v>-1.3596945791505279E-13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349.71285006949597</v>
      </c>
      <c r="BJ147" s="59">
        <f t="shared" si="146"/>
        <v>258.51550516456842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43.151424817683477</v>
      </c>
      <c r="BQ147" s="21">
        <f>EXP(-LN(2)/25)*BQ146+(1-EXP(-LN(2)/25))/(LN(2)/25)*Calculateur!BL147*Calculateur!BN147*VLOOKUP('Données projet'!$B$11,Paramètres!$A$1:$I$89,3,0)*0.475*44/12</f>
        <v>8.7745800040130639</v>
      </c>
      <c r="BR147" s="21">
        <f>EXP(-LN(2)/2)*BR146+(1-EXP(-LN(2)/2))/(LN(2)/2)*BL147*BO147*VLOOKUP('Données projet'!$B$11,Paramètres!$A$1:$I$89,3,0)*0.475*44/12</f>
        <v>1.6465001460446209E-8</v>
      </c>
      <c r="BS147" s="22">
        <f t="shared" si="117"/>
        <v>51.926004838161539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7.5191666666666634</v>
      </c>
      <c r="N148" s="13">
        <f>IF('Données projet'!$A$36&gt;35,N147+M148-V147,IF(A148&lt;'Données projet'!$A$36,$K$205^A148,IF(A148='Données projet'!$A$36,'Données projet'!$B$36,N147+M148-V147)))</f>
        <v>326.48916666666645</v>
      </c>
      <c r="O148" s="13">
        <f>N148*VLOOKUP('Données projet'!$B$9,Paramètres!$A$1:$I$89,3,0)*VLOOKUP('Données projet'!$B$9,Paramètres!$A$1:$I$89,5,0)</f>
        <v>371.80586299999976</v>
      </c>
      <c r="P148" s="13">
        <f t="shared" si="141"/>
        <v>86.036649435918704</v>
      </c>
      <c r="Q148" s="20">
        <f t="shared" si="108"/>
        <v>797.409042492558</v>
      </c>
      <c r="R148" s="59">
        <f t="shared" si="109"/>
        <v>1090.7423758258913</v>
      </c>
      <c r="S148" s="59">
        <f ca="1">AVERAGE(OFFSET($R$3,0,0,'Données projet'!$E$9+1,1))-AVERAGE(OFFSET($H$3,0,0,'Données projet'!$E$9+1,1))</f>
        <v>593.28343396240075</v>
      </c>
      <c r="T148" s="59">
        <f t="shared" si="142"/>
        <v>289.66477662068695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36.642112323324774</v>
      </c>
      <c r="AA148" s="21">
        <f>EXP(-LN(2)/25)*AA147+(1-EXP(-LN(2)/25))/(LN(2)/25)*Calculateur!V148*Calculateur!X148*VLOOKUP('Données projet'!$B$9,Paramètres!$A$1:$I$89,3,0)*0.475*44/12</f>
        <v>25.221017349636725</v>
      </c>
      <c r="AB148" s="21">
        <f>EXP(-LN(2)/2)*AB147+(1-EXP(-LN(2)/2))/(LN(2)/2)*V148*Y148*VLOOKUP('Données projet'!$B$9,Paramètres!$A$1:$I$89,3,0)*0.475*44/12</f>
        <v>4.6904331885849082</v>
      </c>
      <c r="AC148" s="22">
        <f t="shared" si="111"/>
        <v>66.553562861546411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1.1368683772161603E-13</v>
      </c>
      <c r="AJ148" s="13">
        <f>AI148*VLOOKUP('Données projet'!$B$10,Paramètres!$A$1:$I$89,3,0)*VLOOKUP('Données projet'!$B$10,Paramètres!$A$1:$I$89,5,0)</f>
        <v>6.7984728957526396E-14</v>
      </c>
      <c r="AK148" s="13">
        <f t="shared" si="143"/>
        <v>1.0682447123141398E-12</v>
      </c>
      <c r="AL148" s="20">
        <f t="shared" si="112"/>
        <v>1.978932943548152E-12</v>
      </c>
      <c r="AM148" s="59">
        <f t="shared" si="113"/>
        <v>293.3333333333353</v>
      </c>
      <c r="AN148" s="59">
        <f ca="1">AVERAGE(OFFSET($AM$3,0,0,'Données projet'!$E$10+1,1))-AVERAGE(OFFSET($H$3,0,0,'Données projet'!$E$10+1,1))</f>
        <v>302.00825291248458</v>
      </c>
      <c r="AO148" s="59">
        <f t="shared" si="144"/>
        <v>307.35115839449355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25.79483784898262</v>
      </c>
      <c r="AV148" s="21">
        <f>EXP(-LN(2)/25)*AV147+(1-EXP(-LN(2)/25))/(LN(2)/25)*Calculateur!AQ148*Calculateur!AS148*VLOOKUP('Données projet'!$B$10,Paramètres!$A$1:$I$89,3,0)*0.475*44/12</f>
        <v>4.5888809540632538</v>
      </c>
      <c r="AW148" s="21">
        <f>EXP(-LN(2)/2)*AW147+(1-EXP(-LN(2)/2))/(LN(2)/2)*AQ148*AT148*VLOOKUP('Données projet'!$B$10,Paramètres!$A$1:$I$89,3,0)*0.475*44/12</f>
        <v>9.6404489409275581E-12</v>
      </c>
      <c r="AX148" s="21">
        <f t="shared" si="114"/>
        <v>30.383718803055515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-2.2737367544323206E-13</v>
      </c>
      <c r="BE148" s="13">
        <f>BD148*VLOOKUP('Données projet'!$B$11,Paramètres!$A$1:$I$89,3,0)*VLOOKUP('Données projet'!$B$11,Paramètres!$A$1:$I$89,5,0)</f>
        <v>-1.3596945791505279E-13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349.71285006949597</v>
      </c>
      <c r="BJ148" s="59">
        <f t="shared" si="146"/>
        <v>258.51550516456842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42.305251696778981</v>
      </c>
      <c r="BQ148" s="21">
        <f>EXP(-LN(2)/25)*BQ147+(1-EXP(-LN(2)/25))/(LN(2)/25)*Calculateur!BL148*Calculateur!BN148*VLOOKUP('Données projet'!$B$11,Paramètres!$A$1:$I$89,3,0)*0.475*44/12</f>
        <v>8.5346386523682192</v>
      </c>
      <c r="BR148" s="21">
        <f>EXP(-LN(2)/2)*BR147+(1-EXP(-LN(2)/2))/(LN(2)/2)*BL148*BO148*VLOOKUP('Données projet'!$B$11,Paramètres!$A$1:$I$89,3,0)*0.475*44/12</f>
        <v>1.1642514184927923E-8</v>
      </c>
      <c r="BS148" s="22">
        <f t="shared" si="117"/>
        <v>50.83989036078971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7.5191666666666634</v>
      </c>
      <c r="N149" s="13">
        <f>IF('Données projet'!$A$36&gt;35,N148+M149-V148,IF(A149&lt;'Données projet'!$A$36,$K$205^A149,IF(A149='Données projet'!$A$36,'Données projet'!$B$36,N148+M149-V148)))</f>
        <v>334.0083333333331</v>
      </c>
      <c r="O149" s="13">
        <f>N149*VLOOKUP('Données projet'!$B$9,Paramètres!$A$1:$I$89,3,0)*VLOOKUP('Données projet'!$B$9,Paramètres!$A$1:$I$89,5,0)</f>
        <v>380.36868999999973</v>
      </c>
      <c r="P149" s="13">
        <f t="shared" si="141"/>
        <v>87.785137061676878</v>
      </c>
      <c r="Q149" s="20">
        <f t="shared" si="108"/>
        <v>815.36791546575341</v>
      </c>
      <c r="R149" s="59">
        <f t="shared" si="109"/>
        <v>1108.7012487990867</v>
      </c>
      <c r="S149" s="59">
        <f ca="1">AVERAGE(OFFSET($R$3,0,0,'Données projet'!$E$9+1,1))-AVERAGE(OFFSET($H$3,0,0,'Données projet'!$E$9+1,1))</f>
        <v>593.28343396240075</v>
      </c>
      <c r="T149" s="59">
        <f t="shared" si="142"/>
        <v>289.66477662068695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35.923582850146062</v>
      </c>
      <c r="AA149" s="21">
        <f>EXP(-LN(2)/25)*AA148+(1-EXP(-LN(2)/25))/(LN(2)/25)*Calculateur!V149*Calculateur!X149*VLOOKUP('Données projet'!$B$9,Paramètres!$A$1:$I$89,3,0)*0.475*44/12</f>
        <v>24.531347303895249</v>
      </c>
      <c r="AB149" s="21">
        <f>EXP(-LN(2)/2)*AB148+(1-EXP(-LN(2)/2))/(LN(2)/2)*V149*Y149*VLOOKUP('Données projet'!$B$9,Paramètres!$A$1:$I$89,3,0)*0.475*44/12</f>
        <v>3.3166371143508293</v>
      </c>
      <c r="AC149" s="22">
        <f t="shared" si="111"/>
        <v>63.771567268392133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1.1368683772161603E-13</v>
      </c>
      <c r="AJ149" s="13">
        <f>AI149*VLOOKUP('Données projet'!$B$10,Paramètres!$A$1:$I$89,3,0)*VLOOKUP('Données projet'!$B$10,Paramètres!$A$1:$I$89,5,0)</f>
        <v>6.7984728957526396E-14</v>
      </c>
      <c r="AK149" s="13">
        <f t="shared" si="143"/>
        <v>1.0682447123141398E-12</v>
      </c>
      <c r="AL149" s="20">
        <f t="shared" si="112"/>
        <v>1.978932943548152E-12</v>
      </c>
      <c r="AM149" s="59">
        <f t="shared" si="113"/>
        <v>293.3333333333353</v>
      </c>
      <c r="AN149" s="59">
        <f ca="1">AVERAGE(OFFSET($AM$3,0,0,'Données projet'!$E$10+1,1))-AVERAGE(OFFSET($H$3,0,0,'Données projet'!$E$10+1,1))</f>
        <v>302.00825291248458</v>
      </c>
      <c r="AO149" s="59">
        <f t="shared" si="144"/>
        <v>307.35115839449355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25.289016812061625</v>
      </c>
      <c r="AV149" s="21">
        <f>EXP(-LN(2)/25)*AV148+(1-EXP(-LN(2)/25))/(LN(2)/25)*Calculateur!AQ149*Calculateur!AS149*VLOOKUP('Données projet'!$B$10,Paramètres!$A$1:$I$89,3,0)*0.475*44/12</f>
        <v>4.4633977630556325</v>
      </c>
      <c r="AW149" s="21">
        <f>EXP(-LN(2)/2)*AW148+(1-EXP(-LN(2)/2))/(LN(2)/2)*AQ149*AT149*VLOOKUP('Données projet'!$B$10,Paramètres!$A$1:$I$89,3,0)*0.475*44/12</f>
        <v>6.8168268198125467E-12</v>
      </c>
      <c r="AX149" s="21">
        <f t="shared" si="114"/>
        <v>29.752414575124075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-2.2737367544323206E-13</v>
      </c>
      <c r="BE149" s="13">
        <f>BD149*VLOOKUP('Données projet'!$B$11,Paramètres!$A$1:$I$89,3,0)*VLOOKUP('Données projet'!$B$11,Paramètres!$A$1:$I$89,5,0)</f>
        <v>-1.3596945791505279E-13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349.71285006949597</v>
      </c>
      <c r="BJ149" s="59">
        <f t="shared" si="146"/>
        <v>258.51550516456842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41.475671514660782</v>
      </c>
      <c r="BQ149" s="21">
        <f>EXP(-LN(2)/25)*BQ148+(1-EXP(-LN(2)/25))/(LN(2)/25)*Calculateur!BL149*Calculateur!BN149*VLOOKUP('Données projet'!$B$11,Paramètres!$A$1:$I$89,3,0)*0.475*44/12</f>
        <v>8.3012585096020697</v>
      </c>
      <c r="BR149" s="21">
        <f>EXP(-LN(2)/2)*BR148+(1-EXP(-LN(2)/2))/(LN(2)/2)*BL149*BO149*VLOOKUP('Données projet'!$B$11,Paramètres!$A$1:$I$89,3,0)*0.475*44/12</f>
        <v>8.2325007302231047E-9</v>
      </c>
      <c r="BS149" s="22">
        <f t="shared" si="117"/>
        <v>49.776930032495351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7.5191666666666634</v>
      </c>
      <c r="N150" s="13">
        <f>IF('Données projet'!$A$36&gt;35,N149+M150-V149,IF(A150&lt;'Données projet'!$A$36,$K$205^A150,IF(A150='Données projet'!$A$36,'Données projet'!$B$36,N149+M150-V149)))</f>
        <v>341.52749999999975</v>
      </c>
      <c r="O150" s="13">
        <f>N150*VLOOKUP('Données projet'!$B$9,Paramètres!$A$1:$I$89,3,0)*VLOOKUP('Données projet'!$B$9,Paramètres!$A$1:$I$89,5,0)</f>
        <v>388.9315169999997</v>
      </c>
      <c r="P150" s="13">
        <f t="shared" si="141"/>
        <v>89.529048562847422</v>
      </c>
      <c r="Q150" s="20">
        <f t="shared" si="108"/>
        <v>833.31881835529202</v>
      </c>
      <c r="R150" s="59">
        <f t="shared" si="109"/>
        <v>1126.6521516886253</v>
      </c>
      <c r="S150" s="59">
        <f ca="1">AVERAGE(OFFSET($R$3,0,0,'Données projet'!$E$9+1,1))-AVERAGE(OFFSET($H$3,0,0,'Données projet'!$E$9+1,1))</f>
        <v>593.28343396240075</v>
      </c>
      <c r="T150" s="59">
        <f t="shared" si="142"/>
        <v>289.66477662068695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35.219143301676681</v>
      </c>
      <c r="AA150" s="21">
        <f>EXP(-LN(2)/25)*AA149+(1-EXP(-LN(2)/25))/(LN(2)/25)*Calculateur!V150*Calculateur!X150*VLOOKUP('Données projet'!$B$9,Paramètres!$A$1:$I$89,3,0)*0.475*44/12</f>
        <v>23.860536321822746</v>
      </c>
      <c r="AB150" s="21">
        <f>EXP(-LN(2)/2)*AB149+(1-EXP(-LN(2)/2))/(LN(2)/2)*V150*Y150*VLOOKUP('Données projet'!$B$9,Paramètres!$A$1:$I$89,3,0)*0.475*44/12</f>
        <v>2.3452165942924545</v>
      </c>
      <c r="AC150" s="22">
        <f t="shared" si="111"/>
        <v>61.424896217791883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1.1368683772161603E-13</v>
      </c>
      <c r="AJ150" s="13">
        <f>AI150*VLOOKUP('Données projet'!$B$10,Paramètres!$A$1:$I$89,3,0)*VLOOKUP('Données projet'!$B$10,Paramètres!$A$1:$I$89,5,0)</f>
        <v>6.7984728957526396E-14</v>
      </c>
      <c r="AK150" s="13">
        <f t="shared" si="143"/>
        <v>1.0682447123141398E-12</v>
      </c>
      <c r="AL150" s="20">
        <f t="shared" si="112"/>
        <v>1.978932943548152E-12</v>
      </c>
      <c r="AM150" s="59">
        <f t="shared" si="113"/>
        <v>293.3333333333353</v>
      </c>
      <c r="AN150" s="59">
        <f ca="1">AVERAGE(OFFSET($AM$3,0,0,'Données projet'!$E$10+1,1))-AVERAGE(OFFSET($H$3,0,0,'Données projet'!$E$10+1,1))</f>
        <v>302.00825291248458</v>
      </c>
      <c r="AO150" s="59">
        <f t="shared" si="144"/>
        <v>307.35115839449355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24.793114617154281</v>
      </c>
      <c r="AV150" s="21">
        <f>EXP(-LN(2)/25)*AV149+(1-EXP(-LN(2)/25))/(LN(2)/25)*Calculateur!AQ150*Calculateur!AS150*VLOOKUP('Données projet'!$B$10,Paramètres!$A$1:$I$89,3,0)*0.475*44/12</f>
        <v>4.3413459165049888</v>
      </c>
      <c r="AW150" s="21">
        <f>EXP(-LN(2)/2)*AW149+(1-EXP(-LN(2)/2))/(LN(2)/2)*AQ150*AT150*VLOOKUP('Données projet'!$B$10,Paramètres!$A$1:$I$89,3,0)*0.475*44/12</f>
        <v>4.8202244704637791E-12</v>
      </c>
      <c r="AX150" s="21">
        <f t="shared" si="114"/>
        <v>29.13446053366409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-2.2737367544323206E-13</v>
      </c>
      <c r="BE150" s="13">
        <f>BD150*VLOOKUP('Données projet'!$B$11,Paramètres!$A$1:$I$89,3,0)*VLOOKUP('Données projet'!$B$11,Paramètres!$A$1:$I$89,5,0)</f>
        <v>-1.3596945791505279E-13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349.71285006949597</v>
      </c>
      <c r="BJ150" s="59">
        <f t="shared" si="146"/>
        <v>258.51550516456842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40.662358893919972</v>
      </c>
      <c r="BQ150" s="21">
        <f>EXP(-LN(2)/25)*BQ149+(1-EXP(-LN(2)/25))/(LN(2)/25)*Calculateur!BL150*Calculateur!BN150*VLOOKUP('Données projet'!$B$11,Paramètres!$A$1:$I$89,3,0)*0.475*44/12</f>
        <v>8.0742601591127894</v>
      </c>
      <c r="BR150" s="21">
        <f>EXP(-LN(2)/2)*BR149+(1-EXP(-LN(2)/2))/(LN(2)/2)*BL150*BO150*VLOOKUP('Données projet'!$B$11,Paramètres!$A$1:$I$89,3,0)*0.475*44/12</f>
        <v>5.8212570924639616E-9</v>
      </c>
      <c r="BS150" s="22">
        <f t="shared" si="117"/>
        <v>48.736619058854018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7.5191666666666634</v>
      </c>
      <c r="N151" s="13">
        <f>IF('Données projet'!$A$36&gt;35,N150+M151-V150,IF(A151&lt;'Données projet'!$A$36,$K$205^A151,IF(A151='Données projet'!$A$36,'Données projet'!$B$36,N150+M151-V150)))</f>
        <v>349.0466666666664</v>
      </c>
      <c r="O151" s="13">
        <f>N151*VLOOKUP('Données projet'!$B$9,Paramètres!$A$1:$I$89,3,0)*VLOOKUP('Données projet'!$B$9,Paramètres!$A$1:$I$89,5,0)</f>
        <v>397.49434399999973</v>
      </c>
      <c r="P151" s="13">
        <f t="shared" si="141"/>
        <v>91.268496290243391</v>
      </c>
      <c r="Q151" s="20">
        <f t="shared" si="108"/>
        <v>851.26194683884012</v>
      </c>
      <c r="R151" s="59">
        <f t="shared" si="109"/>
        <v>1144.5952801721735</v>
      </c>
      <c r="S151" s="59">
        <f ca="1">AVERAGE(OFFSET($R$3,0,0,'Données projet'!$E$9+1,1))-AVERAGE(OFFSET($H$3,0,0,'Données projet'!$E$9+1,1))</f>
        <v>593.28343396240075</v>
      </c>
      <c r="T151" s="59">
        <f t="shared" si="142"/>
        <v>289.66477662068695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34.528517383087085</v>
      </c>
      <c r="AA151" s="21">
        <f>EXP(-LN(2)/25)*AA150+(1-EXP(-LN(2)/25))/(LN(2)/25)*Calculateur!V151*Calculateur!X151*VLOOKUP('Données projet'!$B$9,Paramètres!$A$1:$I$89,3,0)*0.475*44/12</f>
        <v>23.208068701331431</v>
      </c>
      <c r="AB151" s="21">
        <f>EXP(-LN(2)/2)*AB150+(1-EXP(-LN(2)/2))/(LN(2)/2)*V151*Y151*VLOOKUP('Données projet'!$B$9,Paramètres!$A$1:$I$89,3,0)*0.475*44/12</f>
        <v>1.6583185571754149</v>
      </c>
      <c r="AC151" s="22">
        <f t="shared" si="111"/>
        <v>59.394904641593932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1.1368683772161603E-13</v>
      </c>
      <c r="AJ151" s="13">
        <f>AI151*VLOOKUP('Données projet'!$B$10,Paramètres!$A$1:$I$89,3,0)*VLOOKUP('Données projet'!$B$10,Paramètres!$A$1:$I$89,5,0)</f>
        <v>6.7984728957526396E-14</v>
      </c>
      <c r="AK151" s="13">
        <f t="shared" si="143"/>
        <v>1.0682447123141398E-12</v>
      </c>
      <c r="AL151" s="20">
        <f t="shared" si="112"/>
        <v>1.978932943548152E-12</v>
      </c>
      <c r="AM151" s="59">
        <f t="shared" si="113"/>
        <v>293.3333333333353</v>
      </c>
      <c r="AN151" s="59">
        <f ca="1">AVERAGE(OFFSET($AM$3,0,0,'Données projet'!$E$10+1,1))-AVERAGE(OFFSET($H$3,0,0,'Données projet'!$E$10+1,1))</f>
        <v>302.00825291248458</v>
      </c>
      <c r="AO151" s="59">
        <f t="shared" si="144"/>
        <v>307.35115839449355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24.306936761818598</v>
      </c>
      <c r="AV151" s="21">
        <f>EXP(-LN(2)/25)*AV150+(1-EXP(-LN(2)/25))/(LN(2)/25)*Calculateur!AQ151*Calculateur!AS151*VLOOKUP('Données projet'!$B$10,Paramètres!$A$1:$I$89,3,0)*0.475*44/12</f>
        <v>4.2226315841167006</v>
      </c>
      <c r="AW151" s="21">
        <f>EXP(-LN(2)/2)*AW150+(1-EXP(-LN(2)/2))/(LN(2)/2)*AQ151*AT151*VLOOKUP('Données projet'!$B$10,Paramètres!$A$1:$I$89,3,0)*0.475*44/12</f>
        <v>3.4084134099062734E-12</v>
      </c>
      <c r="AX151" s="21">
        <f t="shared" si="114"/>
        <v>28.529568345938706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-2.2737367544323206E-13</v>
      </c>
      <c r="BE151" s="13">
        <f>BD151*VLOOKUP('Données projet'!$B$11,Paramètres!$A$1:$I$89,3,0)*VLOOKUP('Données projet'!$B$11,Paramètres!$A$1:$I$89,5,0)</f>
        <v>-1.3596945791505279E-13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349.71285006949597</v>
      </c>
      <c r="BJ151" s="59">
        <f t="shared" si="146"/>
        <v>258.51550516456842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39.864994837600172</v>
      </c>
      <c r="BQ151" s="21">
        <f>EXP(-LN(2)/25)*BQ150+(1-EXP(-LN(2)/25))/(LN(2)/25)*Calculateur!BL151*Calculateur!BN151*VLOOKUP('Données projet'!$B$11,Paramètres!$A$1:$I$89,3,0)*0.475*44/12</f>
        <v>7.8534690904549622</v>
      </c>
      <c r="BR151" s="21">
        <f>EXP(-LN(2)/2)*BR150+(1-EXP(-LN(2)/2))/(LN(2)/2)*BL151*BO151*VLOOKUP('Données projet'!$B$11,Paramètres!$A$1:$I$89,3,0)*0.475*44/12</f>
        <v>4.1162503651115523E-9</v>
      </c>
      <c r="BS151" s="22">
        <f t="shared" si="117"/>
        <v>47.718463932171389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7.5191666666666634</v>
      </c>
      <c r="N152" s="13">
        <f>IF('Données projet'!$A$36&gt;35,N151+M152-V151,IF(A152&lt;'Données projet'!$A$36,$K$205^A152,IF(A152='Données projet'!$A$36,'Données projet'!$B$36,N151+M152-V151)))</f>
        <v>356.56583333333305</v>
      </c>
      <c r="O152" s="13">
        <f>N152*VLOOKUP('Données projet'!$B$9,Paramètres!$A$1:$I$89,3,0)*VLOOKUP('Données projet'!$B$9,Paramètres!$A$1:$I$89,5,0)</f>
        <v>406.0571709999997</v>
      </c>
      <c r="P152" s="13">
        <f t="shared" si="141"/>
        <v>93.003587477662336</v>
      </c>
      <c r="Q152" s="20">
        <f t="shared" si="108"/>
        <v>869.19748768192801</v>
      </c>
      <c r="R152" s="59">
        <f t="shared" si="109"/>
        <v>1162.5308210152614</v>
      </c>
      <c r="S152" s="59">
        <f ca="1">AVERAGE(OFFSET($R$3,0,0,'Données projet'!$E$9+1,1))-AVERAGE(OFFSET($H$3,0,0,'Données projet'!$E$9+1,1))</f>
        <v>593.28343396240075</v>
      </c>
      <c r="T152" s="59">
        <f t="shared" si="142"/>
        <v>289.66477662068695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33.851434217520818</v>
      </c>
      <c r="AA152" s="21">
        <f>EXP(-LN(2)/25)*AA151+(1-EXP(-LN(2)/25))/(LN(2)/25)*Calculateur!V152*Calculateur!X152*VLOOKUP('Données projet'!$B$9,Paramètres!$A$1:$I$89,3,0)*0.475*44/12</f>
        <v>22.573442842234233</v>
      </c>
      <c r="AB152" s="21">
        <f>EXP(-LN(2)/2)*AB151+(1-EXP(-LN(2)/2))/(LN(2)/2)*V152*Y152*VLOOKUP('Données projet'!$B$9,Paramètres!$A$1:$I$89,3,0)*0.475*44/12</f>
        <v>1.1726082971462273</v>
      </c>
      <c r="AC152" s="22">
        <f t="shared" si="111"/>
        <v>57.597485356901274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1.1368683772161603E-13</v>
      </c>
      <c r="AJ152" s="13">
        <f>AI152*VLOOKUP('Données projet'!$B$10,Paramètres!$A$1:$I$89,3,0)*VLOOKUP('Données projet'!$B$10,Paramètres!$A$1:$I$89,5,0)</f>
        <v>6.7984728957526396E-14</v>
      </c>
      <c r="AK152" s="13">
        <f t="shared" si="143"/>
        <v>1.0682447123141398E-12</v>
      </c>
      <c r="AL152" s="20">
        <f t="shared" si="112"/>
        <v>1.978932943548152E-12</v>
      </c>
      <c r="AM152" s="59">
        <f t="shared" si="113"/>
        <v>293.3333333333353</v>
      </c>
      <c r="AN152" s="59">
        <f ca="1">AVERAGE(OFFSET($AM$3,0,0,'Données projet'!$E$10+1,1))-AVERAGE(OFFSET($H$3,0,0,'Données projet'!$E$10+1,1))</f>
        <v>302.00825291248458</v>
      </c>
      <c r="AO152" s="59">
        <f t="shared" si="144"/>
        <v>307.35115839449355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23.830292557686835</v>
      </c>
      <c r="AV152" s="21">
        <f>EXP(-LN(2)/25)*AV151+(1-EXP(-LN(2)/25))/(LN(2)/25)*Calculateur!AQ152*Calculateur!AS152*VLOOKUP('Données projet'!$B$10,Paramètres!$A$1:$I$89,3,0)*0.475*44/12</f>
        <v>4.1071635013904855</v>
      </c>
      <c r="AW152" s="21">
        <f>EXP(-LN(2)/2)*AW151+(1-EXP(-LN(2)/2))/(LN(2)/2)*AQ152*AT152*VLOOKUP('Données projet'!$B$10,Paramètres!$A$1:$I$89,3,0)*0.475*44/12</f>
        <v>2.4101122352318895E-12</v>
      </c>
      <c r="AX152" s="21">
        <f t="shared" si="114"/>
        <v>27.937456059079729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-2.2737367544323206E-13</v>
      </c>
      <c r="BE152" s="13">
        <f>BD152*VLOOKUP('Données projet'!$B$11,Paramètres!$A$1:$I$89,3,0)*VLOOKUP('Données projet'!$B$11,Paramètres!$A$1:$I$89,5,0)</f>
        <v>-1.3596945791505279E-13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349.71285006949597</v>
      </c>
      <c r="BJ152" s="59">
        <f t="shared" si="146"/>
        <v>258.51550516456842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39.083266604080755</v>
      </c>
      <c r="BQ152" s="21">
        <f>EXP(-LN(2)/25)*BQ151+(1-EXP(-LN(2)/25))/(LN(2)/25)*Calculateur!BL152*Calculateur!BN152*VLOOKUP('Données projet'!$B$11,Paramètres!$A$1:$I$89,3,0)*0.475*44/12</f>
        <v>7.6387155651804814</v>
      </c>
      <c r="BR152" s="21">
        <f>EXP(-LN(2)/2)*BR151+(1-EXP(-LN(2)/2))/(LN(2)/2)*BL152*BO152*VLOOKUP('Données projet'!$B$11,Paramètres!$A$1:$I$89,3,0)*0.475*44/12</f>
        <v>2.9106285462319808E-9</v>
      </c>
      <c r="BS152" s="22">
        <f t="shared" si="117"/>
        <v>46.72198217217187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7.5191666666666634</v>
      </c>
      <c r="N153" s="13">
        <f>IF('Données projet'!$A$36&gt;35,N152+M153-V152,IF(A153&lt;'Données projet'!$A$36,$K$205^A153,IF(A153='Données projet'!$A$36,'Données projet'!$B$36,N152+M153-V152)))</f>
        <v>364.0849999999997</v>
      </c>
      <c r="O153" s="13">
        <f>N153*VLOOKUP('Données projet'!$B$9,Paramètres!$A$1:$I$89,3,0)*VLOOKUP('Données projet'!$B$9,Paramètres!$A$1:$I$89,5,0)</f>
        <v>414.61999799999973</v>
      </c>
      <c r="P153" s="13">
        <f t="shared" si="141"/>
        <v>94.734424577852963</v>
      </c>
      <c r="Q153" s="20">
        <f t="shared" si="108"/>
        <v>887.12561932309336</v>
      </c>
      <c r="R153" s="59">
        <f t="shared" si="109"/>
        <v>1180.4589526564266</v>
      </c>
      <c r="S153" s="59">
        <f ca="1">AVERAGE(OFFSET($R$3,0,0,'Données projet'!$E$9+1,1))-AVERAGE(OFFSET($H$3,0,0,'Données projet'!$E$9+1,1))</f>
        <v>593.28343396240075</v>
      </c>
      <c r="T153" s="59">
        <f t="shared" si="142"/>
        <v>289.66477662068695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33.18762823985135</v>
      </c>
      <c r="AA153" s="21">
        <f>EXP(-LN(2)/25)*AA152+(1-EXP(-LN(2)/25))/(LN(2)/25)*Calculateur!V153*Calculateur!X153*VLOOKUP('Données projet'!$B$9,Paramètres!$A$1:$I$89,3,0)*0.475*44/12</f>
        <v>21.956170860627569</v>
      </c>
      <c r="AB153" s="21">
        <f>EXP(-LN(2)/2)*AB152+(1-EXP(-LN(2)/2))/(LN(2)/2)*V153*Y153*VLOOKUP('Données projet'!$B$9,Paramètres!$A$1:$I$89,3,0)*0.475*44/12</f>
        <v>0.82915927858770744</v>
      </c>
      <c r="AC153" s="22">
        <f t="shared" si="111"/>
        <v>55.972958379066625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1.1368683772161603E-13</v>
      </c>
      <c r="AJ153" s="13">
        <f>AI153*VLOOKUP('Données projet'!$B$10,Paramètres!$A$1:$I$89,3,0)*VLOOKUP('Données projet'!$B$10,Paramètres!$A$1:$I$89,5,0)</f>
        <v>6.7984728957526396E-14</v>
      </c>
      <c r="AK153" s="13">
        <f t="shared" si="143"/>
        <v>1.0682447123141398E-12</v>
      </c>
      <c r="AL153" s="20">
        <f t="shared" si="112"/>
        <v>1.978932943548152E-12</v>
      </c>
      <c r="AM153" s="59">
        <f t="shared" si="113"/>
        <v>293.3333333333353</v>
      </c>
      <c r="AN153" s="59">
        <f ca="1">AVERAGE(OFFSET($AM$3,0,0,'Données projet'!$E$10+1,1))-AVERAGE(OFFSET($H$3,0,0,'Données projet'!$E$10+1,1))</f>
        <v>302.00825291248458</v>
      </c>
      <c r="AO153" s="59">
        <f t="shared" si="144"/>
        <v>307.35115839449355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23.362995055673842</v>
      </c>
      <c r="AV153" s="21">
        <f>EXP(-LN(2)/25)*AV152+(1-EXP(-LN(2)/25))/(LN(2)/25)*Calculateur!AQ153*Calculateur!AS153*VLOOKUP('Données projet'!$B$10,Paramètres!$A$1:$I$89,3,0)*0.475*44/12</f>
        <v>3.9948528994586212</v>
      </c>
      <c r="AW153" s="21">
        <f>EXP(-LN(2)/2)*AW152+(1-EXP(-LN(2)/2))/(LN(2)/2)*AQ153*AT153*VLOOKUP('Données projet'!$B$10,Paramètres!$A$1:$I$89,3,0)*0.475*44/12</f>
        <v>1.7042067049531367E-12</v>
      </c>
      <c r="AX153" s="21">
        <f t="shared" si="114"/>
        <v>27.357847955134169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-2.2737367544323206E-13</v>
      </c>
      <c r="BE153" s="13">
        <f>BD153*VLOOKUP('Données projet'!$B$11,Paramètres!$A$1:$I$89,3,0)*VLOOKUP('Données projet'!$B$11,Paramètres!$A$1:$I$89,5,0)</f>
        <v>-1.3596945791505279E-13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349.71285006949597</v>
      </c>
      <c r="BJ153" s="59">
        <f t="shared" si="146"/>
        <v>258.51550516456842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38.316867584413508</v>
      </c>
      <c r="BQ153" s="21">
        <f>EXP(-LN(2)/25)*BQ152+(1-EXP(-LN(2)/25))/(LN(2)/25)*Calculateur!BL153*Calculateur!BN153*VLOOKUP('Données projet'!$B$11,Paramètres!$A$1:$I$89,3,0)*0.475*44/12</f>
        <v>7.4298344863480281</v>
      </c>
      <c r="BR153" s="21">
        <f>EXP(-LN(2)/2)*BR152+(1-EXP(-LN(2)/2))/(LN(2)/2)*BL153*BO153*VLOOKUP('Données projet'!$B$11,Paramètres!$A$1:$I$89,3,0)*0.475*44/12</f>
        <v>2.0581251825557762E-9</v>
      </c>
      <c r="BS153" s="22">
        <f t="shared" si="117"/>
        <v>45.746702072819659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7.5191666666666634</v>
      </c>
      <c r="N154" s="13">
        <f>IF('Données projet'!$A$36&gt;35,N153+M154-V153,IF(A154&lt;'Données projet'!$A$36,$K$205^A154,IF(A154='Données projet'!$A$36,'Données projet'!$B$36,N153+M154-V153)))</f>
        <v>371.60416666666634</v>
      </c>
      <c r="O154" s="13">
        <f>N154*VLOOKUP('Données projet'!$B$9,Paramètres!$A$1:$I$89,3,0)*VLOOKUP('Données projet'!$B$9,Paramètres!$A$1:$I$89,5,0)</f>
        <v>423.18282499999958</v>
      </c>
      <c r="P154" s="13">
        <f t="shared" si="141"/>
        <v>96.461105569944294</v>
      </c>
      <c r="Q154" s="20">
        <f t="shared" ref="Q154:Q203" si="162">(O154+P154)*0.475*44/12</f>
        <v>905.04651240931889</v>
      </c>
      <c r="R154" s="59">
        <f t="shared" si="109"/>
        <v>1198.3798457426522</v>
      </c>
      <c r="S154" s="59">
        <f ca="1">AVERAGE(OFFSET($R$3,0,0,'Données projet'!$E$9+1,1))-AVERAGE(OFFSET($H$3,0,0,'Données projet'!$E$9+1,1))</f>
        <v>593.28343396240075</v>
      </c>
      <c r="T154" s="59">
        <f t="shared" si="142"/>
        <v>289.66477662068695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32.536839092522314</v>
      </c>
      <c r="AA154" s="21">
        <f>EXP(-LN(2)/25)*AA153+(1-EXP(-LN(2)/25))/(LN(2)/25)*Calculateur!V154*Calculateur!X154*VLOOKUP('Données projet'!$B$9,Paramètres!$A$1:$I$89,3,0)*0.475*44/12</f>
        <v>21.355778213818866</v>
      </c>
      <c r="AB154" s="21">
        <f>EXP(-LN(2)/2)*AB153+(1-EXP(-LN(2)/2))/(LN(2)/2)*V154*Y154*VLOOKUP('Données projet'!$B$9,Paramètres!$A$1:$I$89,3,0)*0.475*44/12</f>
        <v>0.58630414857311364</v>
      </c>
      <c r="AC154" s="22">
        <f t="shared" ref="AC154:AC203" si="163">SUM(Z154:AB154)</f>
        <v>54.478921454914293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1.1368683772161603E-13</v>
      </c>
      <c r="AJ154" s="13">
        <f>AI154*VLOOKUP('Données projet'!$B$10,Paramètres!$A$1:$I$89,3,0)*VLOOKUP('Données projet'!$B$10,Paramètres!$A$1:$I$89,5,0)</f>
        <v>6.7984728957526396E-14</v>
      </c>
      <c r="AK154" s="13">
        <f t="shared" ref="AK154:AK203" si="164">EXP(-1.0587+0.8836*LN(AJ154)+0.284)</f>
        <v>1.0682447123141398E-12</v>
      </c>
      <c r="AL154" s="20">
        <f t="shared" ref="AL154:AL203" si="165">(AJ154+AK154)*0.475*44/12</f>
        <v>1.978932943548152E-12</v>
      </c>
      <c r="AM154" s="59">
        <f t="shared" si="113"/>
        <v>293.3333333333353</v>
      </c>
      <c r="AN154" s="59">
        <f ca="1">AVERAGE(OFFSET($AM$3,0,0,'Données projet'!$E$10+1,1))-AVERAGE(OFFSET($H$3,0,0,'Données projet'!$E$10+1,1))</f>
        <v>302.00825291248458</v>
      </c>
      <c r="AO154" s="59">
        <f t="shared" si="144"/>
        <v>307.35115839449355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22.904860972651989</v>
      </c>
      <c r="AV154" s="21">
        <f>EXP(-LN(2)/25)*AV153+(1-EXP(-LN(2)/25))/(LN(2)/25)*Calculateur!AQ154*Calculateur!AS154*VLOOKUP('Données projet'!$B$10,Paramètres!$A$1:$I$89,3,0)*0.475*44/12</f>
        <v>3.8856134368427417</v>
      </c>
      <c r="AW154" s="21">
        <f>EXP(-LN(2)/2)*AW153+(1-EXP(-LN(2)/2))/(LN(2)/2)*AQ154*AT154*VLOOKUP('Données projet'!$B$10,Paramètres!$A$1:$I$89,3,0)*0.475*44/12</f>
        <v>1.2050561176159448E-12</v>
      </c>
      <c r="AX154" s="21">
        <f t="shared" ref="AX154:AX203" si="166">SUM(AU154:AW154)</f>
        <v>26.790474409495936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-2.2737367544323206E-13</v>
      </c>
      <c r="BE154" s="13">
        <f>BD154*VLOOKUP('Données projet'!$B$11,Paramètres!$A$1:$I$89,3,0)*VLOOKUP('Données projet'!$B$11,Paramètres!$A$1:$I$89,5,0)</f>
        <v>-1.3596945791505279E-13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349.71285006949597</v>
      </c>
      <c r="BJ154" s="59">
        <f t="shared" si="146"/>
        <v>258.51550516456842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37.565497182064696</v>
      </c>
      <c r="BQ154" s="21">
        <f>EXP(-LN(2)/25)*BQ153+(1-EXP(-LN(2)/25))/(LN(2)/25)*Calculateur!BL154*Calculateur!BN154*VLOOKUP('Données projet'!$B$11,Paramètres!$A$1:$I$89,3,0)*0.475*44/12</f>
        <v>7.2266652716008268</v>
      </c>
      <c r="BR154" s="21">
        <f>EXP(-LN(2)/2)*BR153+(1-EXP(-LN(2)/2))/(LN(2)/2)*BL154*BO154*VLOOKUP('Données projet'!$B$11,Paramètres!$A$1:$I$89,3,0)*0.475*44/12</f>
        <v>1.4553142731159904E-9</v>
      </c>
      <c r="BS154" s="22">
        <f t="shared" ref="BS154:BS203" si="169">SUM(BP154:BR154)</f>
        <v>44.792162455120838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7.5191666666666634</v>
      </c>
      <c r="N155" s="13">
        <f>IF('Données projet'!$A$36&gt;35,N154+M155-V154,IF(A155&lt;'Données projet'!$A$36,$K$205^A155,IF(A155='Données projet'!$A$36,'Données projet'!$B$36,N154+M155-V154)))</f>
        <v>379.12333333333299</v>
      </c>
      <c r="O155" s="13">
        <f>N155*VLOOKUP('Données projet'!$B$9,Paramètres!$A$1:$I$89,3,0)*VLOOKUP('Données projet'!$B$9,Paramètres!$A$1:$I$89,5,0)</f>
        <v>431.74565199999961</v>
      </c>
      <c r="P155" s="13">
        <f t="shared" si="141"/>
        <v>98.183724241289511</v>
      </c>
      <c r="Q155" s="20">
        <f t="shared" si="162"/>
        <v>922.96033028691181</v>
      </c>
      <c r="R155" s="59">
        <f t="shared" si="109"/>
        <v>1216.2936636202451</v>
      </c>
      <c r="S155" s="59">
        <f ca="1">AVERAGE(OFFSET($R$3,0,0,'Données projet'!$E$9+1,1))-AVERAGE(OFFSET($H$3,0,0,'Données projet'!$E$9+1,1))</f>
        <v>593.28343396240075</v>
      </c>
      <c r="T155" s="59">
        <f t="shared" si="142"/>
        <v>289.66477662068695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31.898811523430215</v>
      </c>
      <c r="AA155" s="21">
        <f>EXP(-LN(2)/25)*AA154+(1-EXP(-LN(2)/25))/(LN(2)/25)*Calculateur!V155*Calculateur!X155*VLOOKUP('Données projet'!$B$9,Paramètres!$A$1:$I$89,3,0)*0.475*44/12</f>
        <v>20.771803335510423</v>
      </c>
      <c r="AB155" s="21">
        <f>EXP(-LN(2)/2)*AB154+(1-EXP(-LN(2)/2))/(LN(2)/2)*V155*Y155*VLOOKUP('Données projet'!$B$9,Paramètres!$A$1:$I$89,3,0)*0.475*44/12</f>
        <v>0.41457963929385372</v>
      </c>
      <c r="AC155" s="22">
        <f t="shared" si="163"/>
        <v>53.085194498234493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1.1368683772161603E-13</v>
      </c>
      <c r="AJ155" s="13">
        <f>AI155*VLOOKUP('Données projet'!$B$10,Paramètres!$A$1:$I$89,3,0)*VLOOKUP('Données projet'!$B$10,Paramètres!$A$1:$I$89,5,0)</f>
        <v>6.7984728957526396E-14</v>
      </c>
      <c r="AK155" s="13">
        <f t="shared" si="164"/>
        <v>1.0682447123141398E-12</v>
      </c>
      <c r="AL155" s="20">
        <f t="shared" si="165"/>
        <v>1.978932943548152E-12</v>
      </c>
      <c r="AM155" s="59">
        <f t="shared" si="113"/>
        <v>293.3333333333353</v>
      </c>
      <c r="AN155" s="59">
        <f ca="1">AVERAGE(OFFSET($AM$3,0,0,'Données projet'!$E$10+1,1))-AVERAGE(OFFSET($H$3,0,0,'Données projet'!$E$10+1,1))</f>
        <v>302.00825291248458</v>
      </c>
      <c r="AO155" s="59">
        <f t="shared" si="144"/>
        <v>307.35115839449355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22.455710619563995</v>
      </c>
      <c r="AV155" s="21">
        <f>EXP(-LN(2)/25)*AV154+(1-EXP(-LN(2)/25))/(LN(2)/25)*Calculateur!AQ155*Calculateur!AS155*VLOOKUP('Données projet'!$B$10,Paramètres!$A$1:$I$89,3,0)*0.475*44/12</f>
        <v>3.7793611330767471</v>
      </c>
      <c r="AW155" s="21">
        <f>EXP(-LN(2)/2)*AW154+(1-EXP(-LN(2)/2))/(LN(2)/2)*AQ155*AT155*VLOOKUP('Données projet'!$B$10,Paramètres!$A$1:$I$89,3,0)*0.475*44/12</f>
        <v>8.5210335247656834E-13</v>
      </c>
      <c r="AX155" s="21">
        <f t="shared" si="166"/>
        <v>26.235071752641595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-2.2737367544323206E-13</v>
      </c>
      <c r="BE155" s="13">
        <f>BD155*VLOOKUP('Données projet'!$B$11,Paramètres!$A$1:$I$89,3,0)*VLOOKUP('Données projet'!$B$11,Paramètres!$A$1:$I$89,5,0)</f>
        <v>-1.3596945791505279E-13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349.71285006949597</v>
      </c>
      <c r="BJ155" s="59">
        <f t="shared" si="146"/>
        <v>258.51550516456842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36.828860695015251</v>
      </c>
      <c r="BQ155" s="21">
        <f>EXP(-LN(2)/25)*BQ154+(1-EXP(-LN(2)/25))/(LN(2)/25)*Calculateur!BL155*Calculateur!BN155*VLOOKUP('Données projet'!$B$11,Paramètres!$A$1:$I$89,3,0)*0.475*44/12</f>
        <v>7.0290517297150927</v>
      </c>
      <c r="BR155" s="21">
        <f>EXP(-LN(2)/2)*BR154+(1-EXP(-LN(2)/2))/(LN(2)/2)*BL155*BO155*VLOOKUP('Données projet'!$B$11,Paramètres!$A$1:$I$89,3,0)*0.475*44/12</f>
        <v>1.0290625912778881E-9</v>
      </c>
      <c r="BS155" s="22">
        <f t="shared" si="169"/>
        <v>43.857912425759409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7.5191666666666634</v>
      </c>
      <c r="N156" s="13">
        <f>IF('Données projet'!$A$36&gt;35,N155+M156-V155,IF(A156&lt;'Données projet'!$A$36,$K$205^A156,IF(A156='Données projet'!$A$36,'Données projet'!$B$36,N155+M156-V155)))</f>
        <v>386.64249999999964</v>
      </c>
      <c r="O156" s="13">
        <f>N156*VLOOKUP('Données projet'!$B$9,Paramètres!$A$1:$I$89,3,0)*VLOOKUP('Données projet'!$B$9,Paramètres!$A$1:$I$89,5,0)</f>
        <v>440.30847899999958</v>
      </c>
      <c r="P156" s="13">
        <f t="shared" si="141"/>
        <v>99.902370446319125</v>
      </c>
      <c r="Q156" s="20">
        <f t="shared" si="162"/>
        <v>940.86722945233839</v>
      </c>
      <c r="R156" s="59">
        <f t="shared" si="109"/>
        <v>1234.2005627856718</v>
      </c>
      <c r="S156" s="59">
        <f ca="1">AVERAGE(OFFSET($R$3,0,0,'Données projet'!$E$9+1,1))-AVERAGE(OFFSET($H$3,0,0,'Données projet'!$E$9+1,1))</f>
        <v>593.28343396240075</v>
      </c>
      <c r="T156" s="59">
        <f t="shared" si="142"/>
        <v>289.66477662068695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31.273295285809624</v>
      </c>
      <c r="AA156" s="21">
        <f>EXP(-LN(2)/25)*AA155+(1-EXP(-LN(2)/25))/(LN(2)/25)*Calculateur!V156*Calculateur!X156*VLOOKUP('Données projet'!$B$9,Paramètres!$A$1:$I$89,3,0)*0.475*44/12</f>
        <v>20.203797280959229</v>
      </c>
      <c r="AB156" s="21">
        <f>EXP(-LN(2)/2)*AB155+(1-EXP(-LN(2)/2))/(LN(2)/2)*V156*Y156*VLOOKUP('Données projet'!$B$9,Paramètres!$A$1:$I$89,3,0)*0.475*44/12</f>
        <v>0.29315207428655682</v>
      </c>
      <c r="AC156" s="22">
        <f t="shared" si="163"/>
        <v>51.770244641055413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1.1368683772161603E-13</v>
      </c>
      <c r="AJ156" s="13">
        <f>AI156*VLOOKUP('Données projet'!$B$10,Paramètres!$A$1:$I$89,3,0)*VLOOKUP('Données projet'!$B$10,Paramètres!$A$1:$I$89,5,0)</f>
        <v>6.7984728957526396E-14</v>
      </c>
      <c r="AK156" s="13">
        <f t="shared" si="164"/>
        <v>1.0682447123141398E-12</v>
      </c>
      <c r="AL156" s="20">
        <f t="shared" si="165"/>
        <v>1.978932943548152E-12</v>
      </c>
      <c r="AM156" s="59">
        <f t="shared" si="113"/>
        <v>293.3333333333353</v>
      </c>
      <c r="AN156" s="59">
        <f ca="1">AVERAGE(OFFSET($AM$3,0,0,'Données projet'!$E$10+1,1))-AVERAGE(OFFSET($H$3,0,0,'Données projet'!$E$10+1,1))</f>
        <v>302.00825291248458</v>
      </c>
      <c r="AO156" s="59">
        <f t="shared" si="144"/>
        <v>307.35115839449355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22.015367830945394</v>
      </c>
      <c r="AV156" s="21">
        <f>EXP(-LN(2)/25)*AV155+(1-EXP(-LN(2)/25))/(LN(2)/25)*Calculateur!AQ156*Calculateur!AS156*VLOOKUP('Données projet'!$B$10,Paramètres!$A$1:$I$89,3,0)*0.475*44/12</f>
        <v>3.6760143041447995</v>
      </c>
      <c r="AW156" s="21">
        <f>EXP(-LN(2)/2)*AW155+(1-EXP(-LN(2)/2))/(LN(2)/2)*AQ156*AT156*VLOOKUP('Données projet'!$B$10,Paramètres!$A$1:$I$89,3,0)*0.475*44/12</f>
        <v>6.0252805880797238E-13</v>
      </c>
      <c r="AX156" s="21">
        <f t="shared" si="166"/>
        <v>25.691382135090798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-2.2737367544323206E-13</v>
      </c>
      <c r="BE156" s="13">
        <f>BD156*VLOOKUP('Données projet'!$B$11,Paramètres!$A$1:$I$89,3,0)*VLOOKUP('Données projet'!$B$11,Paramètres!$A$1:$I$89,5,0)</f>
        <v>-1.3596945791505279E-13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349.71285006949597</v>
      </c>
      <c r="BJ156" s="59">
        <f t="shared" si="146"/>
        <v>258.51550516456842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36.106669200172952</v>
      </c>
      <c r="BQ156" s="21">
        <f>EXP(-LN(2)/25)*BQ155+(1-EXP(-LN(2)/25))/(LN(2)/25)*Calculateur!BL156*Calculateur!BN156*VLOOKUP('Données projet'!$B$11,Paramètres!$A$1:$I$89,3,0)*0.475*44/12</f>
        <v>6.836841940524268</v>
      </c>
      <c r="BR156" s="21">
        <f>EXP(-LN(2)/2)*BR155+(1-EXP(-LN(2)/2))/(LN(2)/2)*BL156*BO156*VLOOKUP('Données projet'!$B$11,Paramètres!$A$1:$I$89,3,0)*0.475*44/12</f>
        <v>7.2765713655799521E-10</v>
      </c>
      <c r="BS156" s="22">
        <f t="shared" si="169"/>
        <v>42.943511141424878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7.5191666666666634</v>
      </c>
      <c r="N157" s="13">
        <f>IF('Données projet'!$A$36&gt;35,N156+M157-V156,IF(A157&lt;'Données projet'!$A$36,$K$205^A157,IF(A157='Données projet'!$A$36,'Données projet'!$B$36,N156+M157-V156)))</f>
        <v>394.16166666666629</v>
      </c>
      <c r="O157" s="13">
        <f>N157*VLOOKUP('Données projet'!$B$9,Paramètres!$A$1:$I$89,3,0)*VLOOKUP('Données projet'!$B$9,Paramètres!$A$1:$I$89,5,0)</f>
        <v>448.87130599999961</v>
      </c>
      <c r="P157" s="13">
        <f t="shared" si="141"/>
        <v>101.6171303446886</v>
      </c>
      <c r="Q157" s="20">
        <f t="shared" si="162"/>
        <v>958.76735996699881</v>
      </c>
      <c r="R157" s="59">
        <f t="shared" si="109"/>
        <v>1252.1006933003321</v>
      </c>
      <c r="S157" s="59">
        <f ca="1">AVERAGE(OFFSET($R$3,0,0,'Données projet'!$E$9+1,1))-AVERAGE(OFFSET($H$3,0,0,'Données projet'!$E$9+1,1))</f>
        <v>593.28343396240075</v>
      </c>
      <c r="T157" s="59">
        <f t="shared" si="142"/>
        <v>289.66477662068695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30.660045040081538</v>
      </c>
      <c r="AA157" s="21">
        <f>EXP(-LN(2)/25)*AA156+(1-EXP(-LN(2)/25))/(LN(2)/25)*Calculateur!V157*Calculateur!X157*VLOOKUP('Données projet'!$B$9,Paramètres!$A$1:$I$89,3,0)*0.475*44/12</f>
        <v>19.651323381839877</v>
      </c>
      <c r="AB157" s="21">
        <f>EXP(-LN(2)/2)*AB156+(1-EXP(-LN(2)/2))/(LN(2)/2)*V157*Y157*VLOOKUP('Données projet'!$B$9,Paramètres!$A$1:$I$89,3,0)*0.475*44/12</f>
        <v>0.20728981964692686</v>
      </c>
      <c r="AC157" s="22">
        <f t="shared" si="163"/>
        <v>50.518658241568339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1.1368683772161603E-13</v>
      </c>
      <c r="AJ157" s="13">
        <f>AI157*VLOOKUP('Données projet'!$B$10,Paramètres!$A$1:$I$89,3,0)*VLOOKUP('Données projet'!$B$10,Paramètres!$A$1:$I$89,5,0)</f>
        <v>6.7984728957526396E-14</v>
      </c>
      <c r="AK157" s="13">
        <f t="shared" si="164"/>
        <v>1.0682447123141398E-12</v>
      </c>
      <c r="AL157" s="20">
        <f t="shared" si="165"/>
        <v>1.978932943548152E-12</v>
      </c>
      <c r="AM157" s="59">
        <f t="shared" si="113"/>
        <v>293.3333333333353</v>
      </c>
      <c r="AN157" s="59">
        <f ca="1">AVERAGE(OFFSET($AM$3,0,0,'Données projet'!$E$10+1,1))-AVERAGE(OFFSET($H$3,0,0,'Données projet'!$E$10+1,1))</f>
        <v>302.00825291248458</v>
      </c>
      <c r="AO157" s="59">
        <f t="shared" si="144"/>
        <v>307.35115839449355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21.583659895829022</v>
      </c>
      <c r="AV157" s="21">
        <f>EXP(-LN(2)/25)*AV156+(1-EXP(-LN(2)/25))/(LN(2)/25)*Calculateur!AQ157*Calculateur!AS157*VLOOKUP('Données projet'!$B$10,Paramètres!$A$1:$I$89,3,0)*0.475*44/12</f>
        <v>3.5754934996847694</v>
      </c>
      <c r="AW157" s="21">
        <f>EXP(-LN(2)/2)*AW156+(1-EXP(-LN(2)/2))/(LN(2)/2)*AQ157*AT157*VLOOKUP('Données projet'!$B$10,Paramètres!$A$1:$I$89,3,0)*0.475*44/12</f>
        <v>4.2605167623828417E-13</v>
      </c>
      <c r="AX157" s="21">
        <f t="shared" si="166"/>
        <v>25.159153395514217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-2.2737367544323206E-13</v>
      </c>
      <c r="BE157" s="13">
        <f>BD157*VLOOKUP('Données projet'!$B$11,Paramètres!$A$1:$I$89,3,0)*VLOOKUP('Données projet'!$B$11,Paramètres!$A$1:$I$89,5,0)</f>
        <v>-1.3596945791505279E-13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349.71285006949597</v>
      </c>
      <c r="BJ157" s="59">
        <f t="shared" si="146"/>
        <v>258.51550516456842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35.398639440051191</v>
      </c>
      <c r="BQ157" s="21">
        <f>EXP(-LN(2)/25)*BQ156+(1-EXP(-LN(2)/25))/(LN(2)/25)*Calculateur!BL157*Calculateur!BN157*VLOOKUP('Données projet'!$B$11,Paramètres!$A$1:$I$89,3,0)*0.475*44/12</f>
        <v>6.6498881381267401</v>
      </c>
      <c r="BR157" s="21">
        <f>EXP(-LN(2)/2)*BR156+(1-EXP(-LN(2)/2))/(LN(2)/2)*BL157*BO157*VLOOKUP('Données projet'!$B$11,Paramètres!$A$1:$I$89,3,0)*0.475*44/12</f>
        <v>5.1453129563894404E-10</v>
      </c>
      <c r="BS157" s="22">
        <f t="shared" si="169"/>
        <v>42.048527578692465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7.5191666666666634</v>
      </c>
      <c r="N158" s="13">
        <f>IF('Données projet'!$A$36&gt;35,N157+M158-V157,IF(A158&lt;'Données projet'!$A$36,$K$205^A158,IF(A158='Données projet'!$A$36,'Données projet'!$B$36,N157+M158-V157)))</f>
        <v>401.68083333333294</v>
      </c>
      <c r="O158" s="13">
        <f>N158*VLOOKUP('Données projet'!$B$9,Paramètres!$A$1:$I$89,3,0)*VLOOKUP('Données projet'!$B$9,Paramètres!$A$1:$I$89,5,0)</f>
        <v>457.43413299999958</v>
      </c>
      <c r="P158" s="13">
        <f t="shared" si="141"/>
        <v>103.32808662074075</v>
      </c>
      <c r="Q158" s="20">
        <f t="shared" si="162"/>
        <v>976.66086583945616</v>
      </c>
      <c r="R158" s="59">
        <f t="shared" si="109"/>
        <v>1269.9941991727894</v>
      </c>
      <c r="S158" s="59">
        <f ca="1">AVERAGE(OFFSET($R$3,0,0,'Données projet'!$E$9+1,1))-AVERAGE(OFFSET($H$3,0,0,'Données projet'!$E$9+1,1))</f>
        <v>593.28343396240075</v>
      </c>
      <c r="T158" s="59">
        <f t="shared" si="142"/>
        <v>289.66477662068695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30.058820257626465</v>
      </c>
      <c r="AA158" s="21">
        <f>EXP(-LN(2)/25)*AA157+(1-EXP(-LN(2)/25))/(LN(2)/25)*Calculateur!V158*Calculateur!X158*VLOOKUP('Données projet'!$B$9,Paramètres!$A$1:$I$89,3,0)*0.475*44/12</f>
        <v>19.113956910545284</v>
      </c>
      <c r="AB158" s="21">
        <f>EXP(-LN(2)/2)*AB157+(1-EXP(-LN(2)/2))/(LN(2)/2)*V158*Y158*VLOOKUP('Données projet'!$B$9,Paramètres!$A$1:$I$89,3,0)*0.475*44/12</f>
        <v>0.14657603714327841</v>
      </c>
      <c r="AC158" s="22">
        <f t="shared" si="163"/>
        <v>49.319353205315025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1.1368683772161603E-13</v>
      </c>
      <c r="AJ158" s="13">
        <f>AI158*VLOOKUP('Données projet'!$B$10,Paramètres!$A$1:$I$89,3,0)*VLOOKUP('Données projet'!$B$10,Paramètres!$A$1:$I$89,5,0)</f>
        <v>6.7984728957526396E-14</v>
      </c>
      <c r="AK158" s="13">
        <f t="shared" si="164"/>
        <v>1.0682447123141398E-12</v>
      </c>
      <c r="AL158" s="20">
        <f t="shared" si="165"/>
        <v>1.978932943548152E-12</v>
      </c>
      <c r="AM158" s="59">
        <f t="shared" si="113"/>
        <v>293.3333333333353</v>
      </c>
      <c r="AN158" s="59">
        <f ca="1">AVERAGE(OFFSET($AM$3,0,0,'Données projet'!$E$10+1,1))-AVERAGE(OFFSET($H$3,0,0,'Données projet'!$E$10+1,1))</f>
        <v>302.00825291248458</v>
      </c>
      <c r="AO158" s="59">
        <f t="shared" si="144"/>
        <v>307.35115839449355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21.160417490004441</v>
      </c>
      <c r="AV158" s="21">
        <f>EXP(-LN(2)/25)*AV157+(1-EXP(-LN(2)/25))/(LN(2)/25)*Calculateur!AQ158*Calculateur!AS158*VLOOKUP('Données projet'!$B$10,Paramètres!$A$1:$I$89,3,0)*0.475*44/12</f>
        <v>3.4777214419088582</v>
      </c>
      <c r="AW158" s="21">
        <f>EXP(-LN(2)/2)*AW157+(1-EXP(-LN(2)/2))/(LN(2)/2)*AQ158*AT158*VLOOKUP('Données projet'!$B$10,Paramètres!$A$1:$I$89,3,0)*0.475*44/12</f>
        <v>3.0126402940398619E-13</v>
      </c>
      <c r="AX158" s="21">
        <f t="shared" si="166"/>
        <v>24.638138931913602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-2.2737367544323206E-13</v>
      </c>
      <c r="BE158" s="13">
        <f>BD158*VLOOKUP('Données projet'!$B$11,Paramètres!$A$1:$I$89,3,0)*VLOOKUP('Données projet'!$B$11,Paramètres!$A$1:$I$89,5,0)</f>
        <v>-1.3596945791505279E-13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349.71285006949597</v>
      </c>
      <c r="BJ158" s="59">
        <f t="shared" si="146"/>
        <v>258.51550516456842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34.704493711669905</v>
      </c>
      <c r="BQ158" s="21">
        <f>EXP(-LN(2)/25)*BQ157+(1-EXP(-LN(2)/25))/(LN(2)/25)*Calculateur!BL158*Calculateur!BN158*VLOOKUP('Données projet'!$B$11,Paramètres!$A$1:$I$89,3,0)*0.475*44/12</f>
        <v>6.4680465972872456</v>
      </c>
      <c r="BR158" s="21">
        <f>EXP(-LN(2)/2)*BR157+(1-EXP(-LN(2)/2))/(LN(2)/2)*BL158*BO158*VLOOKUP('Données projet'!$B$11,Paramètres!$A$1:$I$89,3,0)*0.475*44/12</f>
        <v>3.638285682789976E-10</v>
      </c>
      <c r="BS158" s="22">
        <f t="shared" si="169"/>
        <v>41.172540309320979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>
        <f>VLOOKUP(A159,'Données projet'!$A$35:$I$55,2,0)</f>
        <v>409.2</v>
      </c>
      <c r="L159" s="12">
        <f>VLOOKUP(A159,'Données projet'!$A$35:$I$55,9,0)</f>
        <v>7.5191666666666634</v>
      </c>
      <c r="M159" s="12">
        <f t="array" ref="M159">INDEX(L:L,MIN(IF(ISNUMBER(L159:L355),ROW(L159:L355),"")))</f>
        <v>7.5191666666666634</v>
      </c>
      <c r="N159" s="13">
        <f>IF('Données projet'!$A$36&gt;35,N158+M159-V158,IF(A159&lt;'Données projet'!$A$36,$K$205^A159,IF(A159='Données projet'!$A$36,'Données projet'!$B$36,N158+M159-V158)))</f>
        <v>409.19999999999959</v>
      </c>
      <c r="O159" s="13">
        <f>N159*VLOOKUP('Données projet'!$B$9,Paramètres!$A$1:$I$89,3,0)*VLOOKUP('Données projet'!$B$9,Paramètres!$A$1:$I$89,5,0)</f>
        <v>465.99695999999949</v>
      </c>
      <c r="P159" s="13">
        <f t="shared" si="141"/>
        <v>105.03531868607018</v>
      </c>
      <c r="Q159" s="20">
        <f t="shared" si="162"/>
        <v>994.54788537823799</v>
      </c>
      <c r="R159" s="59">
        <f t="shared" si="109"/>
        <v>1287.8812187115714</v>
      </c>
      <c r="S159" s="59">
        <f ca="1">AVERAGE(OFFSET($R$3,0,0,'Données projet'!$E$9+1,1))-AVERAGE(OFFSET($H$3,0,0,'Données projet'!$E$9+1,1))</f>
        <v>593.28343396240075</v>
      </c>
      <c r="T159" s="59">
        <f t="shared" si="142"/>
        <v>289.66477662068695</v>
      </c>
      <c r="U159" s="15">
        <f>IF(ISNA(VLOOKUP(A159,'Données projet'!$A$35:$I$55,3,0)),0,VLOOKUP(A159,'Données projet'!$A$35:$I$55,3,0))</f>
        <v>11</v>
      </c>
      <c r="V159" s="15">
        <f>IF(ISNA(VLOOKUP(A159,'Données projet'!$A$35:$I$55,4,0)),0,VLOOKUP(A159,'Données projet'!$A$35:$I$55,4,0))</f>
        <v>65.69</v>
      </c>
      <c r="W159" s="16">
        <f>IF(ISNA(VLOOKUP(A159,'Données projet'!$A$35:$I$55,5,0)),0%,VLOOKUP(A159,'Données projet'!$A$35:$I$55,5,0)*VLOOKUP('Données projet'!$B$9,Paramètres!$A$1:$I$89,7,0))</f>
        <v>0.215</v>
      </c>
      <c r="X159" s="16">
        <f>IF(ISNA(VLOOKUP(A159,'Données projet'!$A$35:$I$55,6,0)),0%,VLOOKUP(A159,'Données projet'!$A$35:$I$55,6,0)*VLOOKUP('Données projet'!$B$9,Paramètres!$A$1:$I$89,7,0))</f>
        <v>8.6000000000000007E-2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47.249406988988127</v>
      </c>
      <c r="AA159" s="21">
        <f>EXP(-LN(2)/25)*AA158+(1-EXP(-LN(2)/25))/(LN(2)/25)*Calculateur!V159*Calculateur!X159*VLOOKUP('Données projet'!$B$9,Paramètres!$A$1:$I$89,3,0)*0.475*44/12</f>
        <v>25.675290810367677</v>
      </c>
      <c r="AB159" s="21">
        <f>EXP(-LN(2)/2)*AB158+(1-EXP(-LN(2)/2))/(LN(2)/2)*V159*Y159*VLOOKUP('Données projet'!$B$9,Paramètres!$A$1:$I$89,3,0)*0.475*44/12</f>
        <v>0.10364490982346343</v>
      </c>
      <c r="AC159" s="22">
        <f t="shared" si="163"/>
        <v>73.02834270917927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1.1368683772161603E-13</v>
      </c>
      <c r="AJ159" s="13">
        <f>AI159*VLOOKUP('Données projet'!$B$10,Paramètres!$A$1:$I$89,3,0)*VLOOKUP('Données projet'!$B$10,Paramètres!$A$1:$I$89,5,0)</f>
        <v>6.7984728957526396E-14</v>
      </c>
      <c r="AK159" s="13">
        <f t="shared" si="164"/>
        <v>1.0682447123141398E-12</v>
      </c>
      <c r="AL159" s="20">
        <f t="shared" si="165"/>
        <v>1.978932943548152E-12</v>
      </c>
      <c r="AM159" s="59">
        <f t="shared" si="113"/>
        <v>293.3333333333353</v>
      </c>
      <c r="AN159" s="59">
        <f ca="1">AVERAGE(OFFSET($AM$3,0,0,'Données projet'!$E$10+1,1))-AVERAGE(OFFSET($H$3,0,0,'Données projet'!$E$10+1,1))</f>
        <v>302.00825291248458</v>
      </c>
      <c r="AO159" s="59">
        <f t="shared" si="144"/>
        <v>307.35115839449355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20.745474609605704</v>
      </c>
      <c r="AV159" s="21">
        <f>EXP(-LN(2)/25)*AV158+(1-EXP(-LN(2)/25))/(LN(2)/25)*Calculateur!AQ159*Calculateur!AS159*VLOOKUP('Données projet'!$B$10,Paramètres!$A$1:$I$89,3,0)*0.475*44/12</f>
        <v>3.3826229661944383</v>
      </c>
      <c r="AW159" s="21">
        <f>EXP(-LN(2)/2)*AW158+(1-EXP(-LN(2)/2))/(LN(2)/2)*AQ159*AT159*VLOOKUP('Données projet'!$B$10,Paramètres!$A$1:$I$89,3,0)*0.475*44/12</f>
        <v>2.1302583811914209E-13</v>
      </c>
      <c r="AX159" s="21">
        <f t="shared" si="166"/>
        <v>24.128097575800357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-2.2737367544323206E-13</v>
      </c>
      <c r="BE159" s="13">
        <f>BD159*VLOOKUP('Données projet'!$B$11,Paramètres!$A$1:$I$89,3,0)*VLOOKUP('Données projet'!$B$11,Paramètres!$A$1:$I$89,5,0)</f>
        <v>-1.3596945791505279E-13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349.71285006949597</v>
      </c>
      <c r="BJ159" s="59">
        <f t="shared" si="146"/>
        <v>258.51550516456842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34.02395975763509</v>
      </c>
      <c r="BQ159" s="21">
        <f>EXP(-LN(2)/25)*BQ158+(1-EXP(-LN(2)/25))/(LN(2)/25)*Calculateur!BL159*Calculateur!BN159*VLOOKUP('Données projet'!$B$11,Paramètres!$A$1:$I$89,3,0)*0.475*44/12</f>
        <v>6.2911775229446381</v>
      </c>
      <c r="BR159" s="21">
        <f>EXP(-LN(2)/2)*BR158+(1-EXP(-LN(2)/2))/(LN(2)/2)*BL159*BO159*VLOOKUP('Données projet'!$B$11,Paramètres!$A$1:$I$89,3,0)*0.475*44/12</f>
        <v>2.5726564781947202E-10</v>
      </c>
      <c r="BS159" s="22">
        <f t="shared" si="169"/>
        <v>40.315137280836993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7.6783333333333319</v>
      </c>
      <c r="N160" s="13">
        <f>IF('Données projet'!$A$36&gt;35,N159+M160-V159,IF(A160&lt;'Données projet'!$A$36,$K$205^A160,IF(A160='Données projet'!$A$36,'Données projet'!$B$36,N159+M160-V159)))</f>
        <v>351.18833333333293</v>
      </c>
      <c r="O160" s="13">
        <f>N160*VLOOKUP('Données projet'!$B$9,Paramètres!$A$1:$I$89,3,0)*VLOOKUP('Données projet'!$B$9,Paramètres!$A$1:$I$89,5,0)</f>
        <v>399.93327399999959</v>
      </c>
      <c r="P160" s="13">
        <f t="shared" si="141"/>
        <v>91.763137417414484</v>
      </c>
      <c r="Q160" s="20">
        <f t="shared" si="162"/>
        <v>856.37124988532958</v>
      </c>
      <c r="R160" s="59">
        <f t="shared" si="109"/>
        <v>1149.7045832186629</v>
      </c>
      <c r="S160" s="59">
        <f ca="1">AVERAGE(OFFSET($R$3,0,0,'Données projet'!$E$9+1,1))-AVERAGE(OFFSET($H$3,0,0,'Données projet'!$E$9+1,1))</f>
        <v>593.28343396240075</v>
      </c>
      <c r="T160" s="59">
        <f t="shared" si="142"/>
        <v>289.66477662068695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46.322874937226665</v>
      </c>
      <c r="AA160" s="21">
        <f>EXP(-LN(2)/25)*AA159+(1-EXP(-LN(2)/25))/(LN(2)/25)*Calculateur!V160*Calculateur!X160*VLOOKUP('Données projet'!$B$9,Paramètres!$A$1:$I$89,3,0)*0.475*44/12</f>
        <v>24.973198632953313</v>
      </c>
      <c r="AB160" s="21">
        <f>EXP(-LN(2)/2)*AB159+(1-EXP(-LN(2)/2))/(LN(2)/2)*V160*Y160*VLOOKUP('Données projet'!$B$9,Paramètres!$A$1:$I$89,3,0)*0.475*44/12</f>
        <v>7.3288018571639205E-2</v>
      </c>
      <c r="AC160" s="22">
        <f t="shared" si="163"/>
        <v>71.369361588751616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1.1368683772161603E-13</v>
      </c>
      <c r="AJ160" s="13">
        <f>AI160*VLOOKUP('Données projet'!$B$10,Paramètres!$A$1:$I$89,3,0)*VLOOKUP('Données projet'!$B$10,Paramètres!$A$1:$I$89,5,0)</f>
        <v>6.7984728957526396E-14</v>
      </c>
      <c r="AK160" s="13">
        <f t="shared" si="164"/>
        <v>1.0682447123141398E-12</v>
      </c>
      <c r="AL160" s="20">
        <f t="shared" si="165"/>
        <v>1.978932943548152E-12</v>
      </c>
      <c r="AM160" s="59">
        <f t="shared" si="113"/>
        <v>293.3333333333353</v>
      </c>
      <c r="AN160" s="59">
        <f ca="1">AVERAGE(OFFSET($AM$3,0,0,'Données projet'!$E$10+1,1))-AVERAGE(OFFSET($H$3,0,0,'Données projet'!$E$10+1,1))</f>
        <v>302.00825291248458</v>
      </c>
      <c r="AO160" s="59">
        <f t="shared" si="144"/>
        <v>307.35115839449355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20.338668506001419</v>
      </c>
      <c r="AV160" s="21">
        <f>EXP(-LN(2)/25)*AV159+(1-EXP(-LN(2)/25))/(LN(2)/25)*Calculateur!AQ160*Calculateur!AS160*VLOOKUP('Données projet'!$B$10,Paramètres!$A$1:$I$89,3,0)*0.475*44/12</f>
        <v>3.2901249632994407</v>
      </c>
      <c r="AW160" s="21">
        <f>EXP(-LN(2)/2)*AW159+(1-EXP(-LN(2)/2))/(LN(2)/2)*AQ160*AT160*VLOOKUP('Données projet'!$B$10,Paramètres!$A$1:$I$89,3,0)*0.475*44/12</f>
        <v>1.506320147019931E-13</v>
      </c>
      <c r="AX160" s="21">
        <f t="shared" si="166"/>
        <v>23.628793469301009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-2.2737367544323206E-13</v>
      </c>
      <c r="BE160" s="13">
        <f>BD160*VLOOKUP('Données projet'!$B$11,Paramètres!$A$1:$I$89,3,0)*VLOOKUP('Données projet'!$B$11,Paramètres!$A$1:$I$89,5,0)</f>
        <v>-1.3596945791505279E-13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349.71285006949597</v>
      </c>
      <c r="BJ160" s="59">
        <f t="shared" si="146"/>
        <v>258.51550516456842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33.356770659354176</v>
      </c>
      <c r="BQ160" s="21">
        <f>EXP(-LN(2)/25)*BQ159+(1-EXP(-LN(2)/25))/(LN(2)/25)*Calculateur!BL160*Calculateur!BN160*VLOOKUP('Données projet'!$B$11,Paramètres!$A$1:$I$89,3,0)*0.475*44/12</f>
        <v>6.1191449427410696</v>
      </c>
      <c r="BR160" s="21">
        <f>EXP(-LN(2)/2)*BR159+(1-EXP(-LN(2)/2))/(LN(2)/2)*BL160*BO160*VLOOKUP('Données projet'!$B$11,Paramètres!$A$1:$I$89,3,0)*0.475*44/12</f>
        <v>1.819142841394988E-10</v>
      </c>
      <c r="BS160" s="22">
        <f t="shared" si="169"/>
        <v>39.475915602277155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7.6783333333333319</v>
      </c>
      <c r="N161" s="13">
        <f>IF('Données projet'!$A$36&gt;35,N160+M161-V160,IF(A161&lt;'Données projet'!$A$36,$K$205^A161,IF(A161='Données projet'!$A$36,'Données projet'!$B$36,N160+M161-V160)))</f>
        <v>358.86666666666628</v>
      </c>
      <c r="O161" s="13">
        <f>N161*VLOOKUP('Données projet'!$B$9,Paramètres!$A$1:$I$89,3,0)*VLOOKUP('Données projet'!$B$9,Paramètres!$A$1:$I$89,5,0)</f>
        <v>408.67735999999957</v>
      </c>
      <c r="P161" s="13">
        <f t="shared" si="141"/>
        <v>93.533663431059196</v>
      </c>
      <c r="Q161" s="20">
        <f t="shared" si="162"/>
        <v>874.68419914242725</v>
      </c>
      <c r="R161" s="59">
        <f t="shared" si="109"/>
        <v>1168.0175324757606</v>
      </c>
      <c r="S161" s="59">
        <f ca="1">AVERAGE(OFFSET($R$3,0,0,'Données projet'!$E$9+1,1))-AVERAGE(OFFSET($H$3,0,0,'Données projet'!$E$9+1,1))</f>
        <v>593.28343396240075</v>
      </c>
      <c r="T161" s="59">
        <f t="shared" si="142"/>
        <v>289.66477662068695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45.414511613871497</v>
      </c>
      <c r="AA161" s="21">
        <f>EXP(-LN(2)/25)*AA160+(1-EXP(-LN(2)/25))/(LN(2)/25)*Calculateur!V161*Calculateur!X161*VLOOKUP('Données projet'!$B$9,Paramètres!$A$1:$I$89,3,0)*0.475*44/12</f>
        <v>24.290305203051766</v>
      </c>
      <c r="AB161" s="21">
        <f>EXP(-LN(2)/2)*AB160+(1-EXP(-LN(2)/2))/(LN(2)/2)*V161*Y161*VLOOKUP('Données projet'!$B$9,Paramètres!$A$1:$I$89,3,0)*0.475*44/12</f>
        <v>5.1822454911731715E-2</v>
      </c>
      <c r="AC161" s="22">
        <f t="shared" si="163"/>
        <v>69.756639271834985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1.1368683772161603E-13</v>
      </c>
      <c r="AJ161" s="13">
        <f>AI161*VLOOKUP('Données projet'!$B$10,Paramètres!$A$1:$I$89,3,0)*VLOOKUP('Données projet'!$B$10,Paramètres!$A$1:$I$89,5,0)</f>
        <v>6.7984728957526396E-14</v>
      </c>
      <c r="AK161" s="13">
        <f t="shared" si="164"/>
        <v>1.0682447123141398E-12</v>
      </c>
      <c r="AL161" s="20">
        <f t="shared" si="165"/>
        <v>1.978932943548152E-12</v>
      </c>
      <c r="AM161" s="59">
        <f t="shared" si="113"/>
        <v>293.3333333333353</v>
      </c>
      <c r="AN161" s="59">
        <f ca="1">AVERAGE(OFFSET($AM$3,0,0,'Données projet'!$E$10+1,1))-AVERAGE(OFFSET($H$3,0,0,'Données projet'!$E$10+1,1))</f>
        <v>302.00825291248458</v>
      </c>
      <c r="AO161" s="59">
        <f t="shared" si="144"/>
        <v>307.35115839449355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19.939839621961593</v>
      </c>
      <c r="AV161" s="21">
        <f>EXP(-LN(2)/25)*AV160+(1-EXP(-LN(2)/25))/(LN(2)/25)*Calculateur!AQ161*Calculateur!AS161*VLOOKUP('Données projet'!$B$10,Paramètres!$A$1:$I$89,3,0)*0.475*44/12</f>
        <v>3.2001563231578656</v>
      </c>
      <c r="AW161" s="21">
        <f>EXP(-LN(2)/2)*AW160+(1-EXP(-LN(2)/2))/(LN(2)/2)*AQ161*AT161*VLOOKUP('Données projet'!$B$10,Paramètres!$A$1:$I$89,3,0)*0.475*44/12</f>
        <v>1.0651291905957104E-13</v>
      </c>
      <c r="AX161" s="21">
        <f t="shared" si="166"/>
        <v>23.139995945119566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-2.2737367544323206E-13</v>
      </c>
      <c r="BE161" s="13">
        <f>BD161*VLOOKUP('Données projet'!$B$11,Paramètres!$A$1:$I$89,3,0)*VLOOKUP('Données projet'!$B$11,Paramètres!$A$1:$I$89,5,0)</f>
        <v>-1.3596945791505279E-13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349.71285006949597</v>
      </c>
      <c r="BJ161" s="59">
        <f t="shared" si="146"/>
        <v>258.51550516456842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32.702664732345376</v>
      </c>
      <c r="BQ161" s="21">
        <f>EXP(-LN(2)/25)*BQ160+(1-EXP(-LN(2)/25))/(LN(2)/25)*Calculateur!BL161*Calculateur!BN161*VLOOKUP('Données projet'!$B$11,Paramètres!$A$1:$I$89,3,0)*0.475*44/12</f>
        <v>5.9518166024899681</v>
      </c>
      <c r="BR161" s="21">
        <f>EXP(-LN(2)/2)*BR160+(1-EXP(-LN(2)/2))/(LN(2)/2)*BL161*BO161*VLOOKUP('Données projet'!$B$11,Paramètres!$A$1:$I$89,3,0)*0.475*44/12</f>
        <v>1.2863282390973601E-10</v>
      </c>
      <c r="BS161" s="22">
        <f t="shared" si="169"/>
        <v>38.654481334963975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7.6783333333333319</v>
      </c>
      <c r="N162" s="13">
        <f>IF('Données projet'!$A$36&gt;35,N161+M162-V161,IF(A162&lt;'Données projet'!$A$36,$K$205^A162,IF(A162='Données projet'!$A$36,'Données projet'!$B$36,N161+M162-V161)))</f>
        <v>366.54499999999962</v>
      </c>
      <c r="O162" s="13">
        <f>N162*VLOOKUP('Données projet'!$B$9,Paramètres!$A$1:$I$89,3,0)*VLOOKUP('Données projet'!$B$9,Paramètres!$A$1:$I$89,5,0)</f>
        <v>417.42144599999961</v>
      </c>
      <c r="P162" s="13">
        <f t="shared" si="141"/>
        <v>95.299785078044607</v>
      </c>
      <c r="Q162" s="20">
        <f t="shared" si="162"/>
        <v>892.98947746092699</v>
      </c>
      <c r="R162" s="59">
        <f t="shared" si="109"/>
        <v>1186.3228107942602</v>
      </c>
      <c r="S162" s="59">
        <f ca="1">AVERAGE(OFFSET($R$3,0,0,'Données projet'!$E$9+1,1))-AVERAGE(OFFSET($H$3,0,0,'Données projet'!$E$9+1,1))</f>
        <v>593.28343396240075</v>
      </c>
      <c r="T162" s="59">
        <f t="shared" si="142"/>
        <v>289.66477662068695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44.523960741240401</v>
      </c>
      <c r="AA162" s="21">
        <f>EXP(-LN(2)/25)*AA161+(1-EXP(-LN(2)/25))/(LN(2)/25)*Calculateur!V162*Calculateur!X162*VLOOKUP('Données projet'!$B$9,Paramètres!$A$1:$I$89,3,0)*0.475*44/12</f>
        <v>23.626085529902682</v>
      </c>
      <c r="AB162" s="21">
        <f>EXP(-LN(2)/2)*AB161+(1-EXP(-LN(2)/2))/(LN(2)/2)*V162*Y162*VLOOKUP('Données projet'!$B$9,Paramètres!$A$1:$I$89,3,0)*0.475*44/12</f>
        <v>3.6644009285819602E-2</v>
      </c>
      <c r="AC162" s="22">
        <f t="shared" si="163"/>
        <v>68.186690280428905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1.1368683772161603E-13</v>
      </c>
      <c r="AJ162" s="13">
        <f>AI162*VLOOKUP('Données projet'!$B$10,Paramètres!$A$1:$I$89,3,0)*VLOOKUP('Données projet'!$B$10,Paramètres!$A$1:$I$89,5,0)</f>
        <v>6.7984728957526396E-14</v>
      </c>
      <c r="AK162" s="13">
        <f t="shared" si="164"/>
        <v>1.0682447123141398E-12</v>
      </c>
      <c r="AL162" s="20">
        <f t="shared" si="165"/>
        <v>1.978932943548152E-12</v>
      </c>
      <c r="AM162" s="59">
        <f t="shared" si="113"/>
        <v>293.3333333333353</v>
      </c>
      <c r="AN162" s="59">
        <f ca="1">AVERAGE(OFFSET($AM$3,0,0,'Données projet'!$E$10+1,1))-AVERAGE(OFFSET($H$3,0,0,'Données projet'!$E$10+1,1))</f>
        <v>302.00825291248458</v>
      </c>
      <c r="AO162" s="59">
        <f t="shared" si="144"/>
        <v>307.35115839449355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19.548831529076189</v>
      </c>
      <c r="AV162" s="21">
        <f>EXP(-LN(2)/25)*AV161+(1-EXP(-LN(2)/25))/(LN(2)/25)*Calculateur!AQ162*Calculateur!AS162*VLOOKUP('Données projet'!$B$10,Paramètres!$A$1:$I$89,3,0)*0.475*44/12</f>
        <v>3.1126478802122066</v>
      </c>
      <c r="AW162" s="21">
        <f>EXP(-LN(2)/2)*AW161+(1-EXP(-LN(2)/2))/(LN(2)/2)*AQ162*AT162*VLOOKUP('Données projet'!$B$10,Paramètres!$A$1:$I$89,3,0)*0.475*44/12</f>
        <v>7.5316007350996548E-14</v>
      </c>
      <c r="AX162" s="21">
        <f t="shared" si="166"/>
        <v>22.661479409288471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-2.2737367544323206E-13</v>
      </c>
      <c r="BE162" s="13">
        <f>BD162*VLOOKUP('Données projet'!$B$11,Paramètres!$A$1:$I$89,3,0)*VLOOKUP('Données projet'!$B$11,Paramètres!$A$1:$I$89,5,0)</f>
        <v>-1.3596945791505279E-13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349.71285006949597</v>
      </c>
      <c r="BJ162" s="59">
        <f t="shared" si="146"/>
        <v>258.51550516456842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32.061385423600001</v>
      </c>
      <c r="BQ162" s="21">
        <f>EXP(-LN(2)/25)*BQ161+(1-EXP(-LN(2)/25))/(LN(2)/25)*Calculateur!BL162*Calculateur!BN162*VLOOKUP('Données projet'!$B$11,Paramètres!$A$1:$I$89,3,0)*0.475*44/12</f>
        <v>5.7890638645024479</v>
      </c>
      <c r="BR162" s="21">
        <f>EXP(-LN(2)/2)*BR161+(1-EXP(-LN(2)/2))/(LN(2)/2)*BL162*BO162*VLOOKUP('Données projet'!$B$11,Paramètres!$A$1:$I$89,3,0)*0.475*44/12</f>
        <v>9.0957142069749401E-11</v>
      </c>
      <c r="BS162" s="22">
        <f t="shared" si="169"/>
        <v>37.850449288193403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7.6783333333333319</v>
      </c>
      <c r="N163" s="13">
        <f>IF('Données projet'!$A$36&gt;35,N162+M163-V162,IF(A163&lt;'Données projet'!$A$36,$K$205^A163,IF(A163='Données projet'!$A$36,'Données projet'!$B$36,N162+M163-V162)))</f>
        <v>374.22333333333296</v>
      </c>
      <c r="O163" s="13">
        <f>N163*VLOOKUP('Données projet'!$B$9,Paramètres!$A$1:$I$89,3,0)*VLOOKUP('Données projet'!$B$9,Paramètres!$A$1:$I$89,5,0)</f>
        <v>426.16553199999959</v>
      </c>
      <c r="P163" s="13">
        <f t="shared" si="141"/>
        <v>97.061605249450551</v>
      </c>
      <c r="Q163" s="20">
        <f t="shared" si="162"/>
        <v>911.28726404279223</v>
      </c>
      <c r="R163" s="59">
        <f t="shared" si="109"/>
        <v>1204.6205973761255</v>
      </c>
      <c r="S163" s="59">
        <f ca="1">AVERAGE(OFFSET($R$3,0,0,'Données projet'!$E$9+1,1))-AVERAGE(OFFSET($H$3,0,0,'Données projet'!$E$9+1,1))</f>
        <v>593.28343396240075</v>
      </c>
      <c r="T163" s="59">
        <f t="shared" si="142"/>
        <v>289.66477662068695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43.650873028039207</v>
      </c>
      <c r="AA163" s="21">
        <f>EXP(-LN(2)/25)*AA162+(1-EXP(-LN(2)/25))/(LN(2)/25)*Calculateur!V163*Calculateur!X163*VLOOKUP('Données projet'!$B$9,Paramètres!$A$1:$I$89,3,0)*0.475*44/12</f>
        <v>22.980028978645652</v>
      </c>
      <c r="AB163" s="21">
        <f>EXP(-LN(2)/2)*AB162+(1-EXP(-LN(2)/2))/(LN(2)/2)*V163*Y163*VLOOKUP('Données projet'!$B$9,Paramètres!$A$1:$I$89,3,0)*0.475*44/12</f>
        <v>2.5911227455865857E-2</v>
      </c>
      <c r="AC163" s="22">
        <f t="shared" si="163"/>
        <v>66.656813234140728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1.1368683772161603E-13</v>
      </c>
      <c r="AJ163" s="13">
        <f>AI163*VLOOKUP('Données projet'!$B$10,Paramètres!$A$1:$I$89,3,0)*VLOOKUP('Données projet'!$B$10,Paramètres!$A$1:$I$89,5,0)</f>
        <v>6.7984728957526396E-14</v>
      </c>
      <c r="AK163" s="13">
        <f t="shared" si="164"/>
        <v>1.0682447123141398E-12</v>
      </c>
      <c r="AL163" s="20">
        <f t="shared" si="165"/>
        <v>1.978932943548152E-12</v>
      </c>
      <c r="AM163" s="59">
        <f t="shared" si="113"/>
        <v>293.3333333333353</v>
      </c>
      <c r="AN163" s="59">
        <f ca="1">AVERAGE(OFFSET($AM$3,0,0,'Données projet'!$E$10+1,1))-AVERAGE(OFFSET($H$3,0,0,'Données projet'!$E$10+1,1))</f>
        <v>302.00825291248458</v>
      </c>
      <c r="AO163" s="59">
        <f t="shared" si="144"/>
        <v>307.35115839449355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19.16549086640088</v>
      </c>
      <c r="AV163" s="21">
        <f>EXP(-LN(2)/25)*AV162+(1-EXP(-LN(2)/25))/(LN(2)/25)*Calculateur!AQ163*Calculateur!AS163*VLOOKUP('Données projet'!$B$10,Paramètres!$A$1:$I$89,3,0)*0.475*44/12</f>
        <v>3.027532360240766</v>
      </c>
      <c r="AW163" s="21">
        <f>EXP(-LN(2)/2)*AW162+(1-EXP(-LN(2)/2))/(LN(2)/2)*AQ163*AT163*VLOOKUP('Données projet'!$B$10,Paramètres!$A$1:$I$89,3,0)*0.475*44/12</f>
        <v>5.3256459529785521E-14</v>
      </c>
      <c r="AX163" s="21">
        <f t="shared" si="166"/>
        <v>22.193023226641699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-2.2737367544323206E-13</v>
      </c>
      <c r="BE163" s="13">
        <f>BD163*VLOOKUP('Données projet'!$B$11,Paramètres!$A$1:$I$89,3,0)*VLOOKUP('Données projet'!$B$11,Paramètres!$A$1:$I$89,5,0)</f>
        <v>-1.3596945791505279E-13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349.71285006949597</v>
      </c>
      <c r="BJ163" s="59">
        <f t="shared" si="146"/>
        <v>258.51550516456842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31.432681210957366</v>
      </c>
      <c r="BQ163" s="21">
        <f>EXP(-LN(2)/25)*BQ162+(1-EXP(-LN(2)/25))/(LN(2)/25)*Calculateur!BL163*Calculateur!BN163*VLOOKUP('Données projet'!$B$11,Paramètres!$A$1:$I$89,3,0)*0.475*44/12</f>
        <v>5.6307616086939909</v>
      </c>
      <c r="BR163" s="21">
        <f>EXP(-LN(2)/2)*BR162+(1-EXP(-LN(2)/2))/(LN(2)/2)*BL163*BO163*VLOOKUP('Données projet'!$B$11,Paramètres!$A$1:$I$89,3,0)*0.475*44/12</f>
        <v>6.4316411954868005E-11</v>
      </c>
      <c r="BS163" s="22">
        <f t="shared" si="169"/>
        <v>37.063442819715675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7.6783333333333319</v>
      </c>
      <c r="N164" s="13">
        <f>IF('Données projet'!$A$36&gt;35,N163+M164-V163,IF(A164&lt;'Données projet'!$A$36,$K$205^A164,IF(A164='Données projet'!$A$36,'Données projet'!$B$36,N163+M164-V163)))</f>
        <v>381.9016666666663</v>
      </c>
      <c r="O164" s="13">
        <f>N164*VLOOKUP('Données projet'!$B$9,Paramètres!$A$1:$I$89,3,0)*VLOOKUP('Données projet'!$B$9,Paramètres!$A$1:$I$89,5,0)</f>
        <v>434.90961799999963</v>
      </c>
      <c r="P164" s="13">
        <f t="shared" si="141"/>
        <v>98.819222372764287</v>
      </c>
      <c r="Q164" s="20">
        <f t="shared" si="162"/>
        <v>929.57773031589704</v>
      </c>
      <c r="R164" s="59">
        <f t="shared" si="109"/>
        <v>1222.9110636492303</v>
      </c>
      <c r="S164" s="59">
        <f ca="1">AVERAGE(OFFSET($R$3,0,0,'Données projet'!$E$9+1,1))-AVERAGE(OFFSET($H$3,0,0,'Données projet'!$E$9+1,1))</f>
        <v>593.28343396240075</v>
      </c>
      <c r="T164" s="59">
        <f t="shared" si="142"/>
        <v>289.66477662068695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42.794906032362967</v>
      </c>
      <c r="AA164" s="21">
        <f>EXP(-LN(2)/25)*AA163+(1-EXP(-LN(2)/25))/(LN(2)/25)*Calculateur!V164*Calculateur!X164*VLOOKUP('Données projet'!$B$9,Paramètres!$A$1:$I$89,3,0)*0.475*44/12</f>
        <v>22.351638877757384</v>
      </c>
      <c r="AB164" s="21">
        <f>EXP(-LN(2)/2)*AB163+(1-EXP(-LN(2)/2))/(LN(2)/2)*V164*Y164*VLOOKUP('Données projet'!$B$9,Paramètres!$A$1:$I$89,3,0)*0.475*44/12</f>
        <v>1.8322004642909801E-2</v>
      </c>
      <c r="AC164" s="22">
        <f t="shared" si="163"/>
        <v>65.164866914763266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1.1368683772161603E-13</v>
      </c>
      <c r="AJ164" s="13">
        <f>AI164*VLOOKUP('Données projet'!$B$10,Paramètres!$A$1:$I$89,3,0)*VLOOKUP('Données projet'!$B$10,Paramètres!$A$1:$I$89,5,0)</f>
        <v>6.7984728957526396E-14</v>
      </c>
      <c r="AK164" s="13">
        <f t="shared" si="164"/>
        <v>1.0682447123141398E-12</v>
      </c>
      <c r="AL164" s="20">
        <f t="shared" si="165"/>
        <v>1.978932943548152E-12</v>
      </c>
      <c r="AM164" s="59">
        <f t="shared" si="113"/>
        <v>293.3333333333353</v>
      </c>
      <c r="AN164" s="59">
        <f ca="1">AVERAGE(OFFSET($AM$3,0,0,'Données projet'!$E$10+1,1))-AVERAGE(OFFSET($H$3,0,0,'Données projet'!$E$10+1,1))</f>
        <v>302.00825291248458</v>
      </c>
      <c r="AO164" s="59">
        <f t="shared" si="144"/>
        <v>307.35115839449355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18.789667280305917</v>
      </c>
      <c r="AV164" s="21">
        <f>EXP(-LN(2)/25)*AV163+(1-EXP(-LN(2)/25))/(LN(2)/25)*Calculateur!AQ164*Calculateur!AS164*VLOOKUP('Données projet'!$B$10,Paramètres!$A$1:$I$89,3,0)*0.475*44/12</f>
        <v>2.9447443286389747</v>
      </c>
      <c r="AW164" s="21">
        <f>EXP(-LN(2)/2)*AW163+(1-EXP(-LN(2)/2))/(LN(2)/2)*AQ164*AT164*VLOOKUP('Données projet'!$B$10,Paramètres!$A$1:$I$89,3,0)*0.475*44/12</f>
        <v>3.7658003675498274E-14</v>
      </c>
      <c r="AX164" s="21">
        <f t="shared" si="166"/>
        <v>21.734411608944932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-2.2737367544323206E-13</v>
      </c>
      <c r="BE164" s="13">
        <f>BD164*VLOOKUP('Données projet'!$B$11,Paramètres!$A$1:$I$89,3,0)*VLOOKUP('Données projet'!$B$11,Paramètres!$A$1:$I$89,5,0)</f>
        <v>-1.3596945791505279E-13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349.71285006949597</v>
      </c>
      <c r="BJ164" s="59">
        <f t="shared" si="146"/>
        <v>258.51550516456842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30.816305504452949</v>
      </c>
      <c r="BQ164" s="21">
        <f>EXP(-LN(2)/25)*BQ163+(1-EXP(-LN(2)/25))/(LN(2)/25)*Calculateur!BL164*Calculateur!BN164*VLOOKUP('Données projet'!$B$11,Paramètres!$A$1:$I$89,3,0)*0.475*44/12</f>
        <v>5.4767881363953697</v>
      </c>
      <c r="BR164" s="21">
        <f>EXP(-LN(2)/2)*BR163+(1-EXP(-LN(2)/2))/(LN(2)/2)*BL164*BO164*VLOOKUP('Données projet'!$B$11,Paramètres!$A$1:$I$89,3,0)*0.475*44/12</f>
        <v>4.54785710348747E-11</v>
      </c>
      <c r="BS164" s="22">
        <f t="shared" si="169"/>
        <v>36.293093640893801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7.6783333333333319</v>
      </c>
      <c r="N165" s="13">
        <f>IF('Données projet'!$A$36&gt;35,N164+M165-V164,IF(A165&lt;'Données projet'!$A$36,$K$205^A165,IF(A165='Données projet'!$A$36,'Données projet'!$B$36,N164+M165-V164)))</f>
        <v>389.57999999999964</v>
      </c>
      <c r="O165" s="13">
        <f>N165*VLOOKUP('Données projet'!$B$9,Paramètres!$A$1:$I$89,3,0)*VLOOKUP('Données projet'!$B$9,Paramètres!$A$1:$I$89,5,0)</f>
        <v>443.65370399999966</v>
      </c>
      <c r="P165" s="13">
        <f t="shared" si="141"/>
        <v>100.57273069130399</v>
      </c>
      <c r="Q165" s="20">
        <f t="shared" si="162"/>
        <v>947.86104042068712</v>
      </c>
      <c r="R165" s="59">
        <f t="shared" si="109"/>
        <v>1241.1943737540205</v>
      </c>
      <c r="S165" s="59">
        <f ca="1">AVERAGE(OFFSET($R$3,0,0,'Données projet'!$E$9+1,1))-AVERAGE(OFFSET($H$3,0,0,'Données projet'!$E$9+1,1))</f>
        <v>593.28343396240075</v>
      </c>
      <c r="T165" s="59">
        <f t="shared" si="142"/>
        <v>289.66477662068695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41.955724027383617</v>
      </c>
      <c r="AA165" s="21">
        <f>EXP(-LN(2)/25)*AA164+(1-EXP(-LN(2)/25))/(LN(2)/25)*Calculateur!V165*Calculateur!X165*VLOOKUP('Données projet'!$B$9,Paramètres!$A$1:$I$89,3,0)*0.475*44/12</f>
        <v>21.740432137223504</v>
      </c>
      <c r="AB165" s="21">
        <f>EXP(-LN(2)/2)*AB164+(1-EXP(-LN(2)/2))/(LN(2)/2)*V165*Y165*VLOOKUP('Données projet'!$B$9,Paramètres!$A$1:$I$89,3,0)*0.475*44/12</f>
        <v>1.2955613727932929E-2</v>
      </c>
      <c r="AC165" s="22">
        <f t="shared" si="163"/>
        <v>63.70911177833505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1.1368683772161603E-13</v>
      </c>
      <c r="AJ165" s="13">
        <f>AI165*VLOOKUP('Données projet'!$B$10,Paramètres!$A$1:$I$89,3,0)*VLOOKUP('Données projet'!$B$10,Paramètres!$A$1:$I$89,5,0)</f>
        <v>6.7984728957526396E-14</v>
      </c>
      <c r="AK165" s="13">
        <f t="shared" si="164"/>
        <v>1.0682447123141398E-12</v>
      </c>
      <c r="AL165" s="20">
        <f t="shared" si="165"/>
        <v>1.978932943548152E-12</v>
      </c>
      <c r="AM165" s="59">
        <f t="shared" si="113"/>
        <v>293.3333333333353</v>
      </c>
      <c r="AN165" s="59">
        <f ca="1">AVERAGE(OFFSET($AM$3,0,0,'Données projet'!$E$10+1,1))-AVERAGE(OFFSET($H$3,0,0,'Données projet'!$E$10+1,1))</f>
        <v>302.00825291248458</v>
      </c>
      <c r="AO165" s="59">
        <f t="shared" si="144"/>
        <v>307.35115839449355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18.421213365504521</v>
      </c>
      <c r="AV165" s="21">
        <f>EXP(-LN(2)/25)*AV164+(1-EXP(-LN(2)/25))/(LN(2)/25)*Calculateur!AQ165*Calculateur!AS165*VLOOKUP('Données projet'!$B$10,Paramètres!$A$1:$I$89,3,0)*0.475*44/12</f>
        <v>2.8642201401149681</v>
      </c>
      <c r="AW165" s="21">
        <f>EXP(-LN(2)/2)*AW164+(1-EXP(-LN(2)/2))/(LN(2)/2)*AQ165*AT165*VLOOKUP('Données projet'!$B$10,Paramètres!$A$1:$I$89,3,0)*0.475*44/12</f>
        <v>2.6628229764892761E-14</v>
      </c>
      <c r="AX165" s="21">
        <f t="shared" si="166"/>
        <v>21.285433505619512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-2.2737367544323206E-13</v>
      </c>
      <c r="BE165" s="13">
        <f>BD165*VLOOKUP('Données projet'!$B$11,Paramètres!$A$1:$I$89,3,0)*VLOOKUP('Données projet'!$B$11,Paramètres!$A$1:$I$89,5,0)</f>
        <v>-1.3596945791505279E-13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349.71285006949597</v>
      </c>
      <c r="BJ165" s="59">
        <f t="shared" si="146"/>
        <v>258.51550516456842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30.212016549601024</v>
      </c>
      <c r="BQ165" s="21">
        <f>EXP(-LN(2)/25)*BQ164+(1-EXP(-LN(2)/25))/(LN(2)/25)*Calculateur!BL165*Calculateur!BN165*VLOOKUP('Données projet'!$B$11,Paramètres!$A$1:$I$89,3,0)*0.475*44/12</f>
        <v>5.3270250767938672</v>
      </c>
      <c r="BR165" s="21">
        <f>EXP(-LN(2)/2)*BR164+(1-EXP(-LN(2)/2))/(LN(2)/2)*BL165*BO165*VLOOKUP('Données projet'!$B$11,Paramètres!$A$1:$I$89,3,0)*0.475*44/12</f>
        <v>3.2158205977434003E-11</v>
      </c>
      <c r="BS165" s="22">
        <f t="shared" si="169"/>
        <v>35.53904162642705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7.6783333333333319</v>
      </c>
      <c r="N166" s="13">
        <f>IF('Données projet'!$A$36&gt;35,N165+M166-V165,IF(A166&lt;'Données projet'!$A$36,$K$205^A166,IF(A166='Données projet'!$A$36,'Données projet'!$B$36,N165+M166-V165)))</f>
        <v>397.25833333333298</v>
      </c>
      <c r="O166" s="13">
        <f>N166*VLOOKUP('Données projet'!$B$9,Paramètres!$A$1:$I$89,3,0)*VLOOKUP('Données projet'!$B$9,Paramètres!$A$1:$I$89,5,0)</f>
        <v>452.39778999999959</v>
      </c>
      <c r="P166" s="13">
        <f t="shared" si="141"/>
        <v>102.32222052098986</v>
      </c>
      <c r="Q166" s="20">
        <f t="shared" si="162"/>
        <v>966.13735165739001</v>
      </c>
      <c r="R166" s="59">
        <f t="shared" si="109"/>
        <v>1259.4706849907234</v>
      </c>
      <c r="S166" s="59">
        <f ca="1">AVERAGE(OFFSET($R$3,0,0,'Données projet'!$E$9+1,1))-AVERAGE(OFFSET($H$3,0,0,'Données projet'!$E$9+1,1))</f>
        <v>593.28343396240075</v>
      </c>
      <c r="T166" s="59">
        <f t="shared" si="142"/>
        <v>289.66477662068695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41.132997869671435</v>
      </c>
      <c r="AA166" s="21">
        <f>EXP(-LN(2)/25)*AA165+(1-EXP(-LN(2)/25))/(LN(2)/25)*Calculateur!V166*Calculateur!X166*VLOOKUP('Données projet'!$B$9,Paramètres!$A$1:$I$89,3,0)*0.475*44/12</f>
        <v>21.14593887715149</v>
      </c>
      <c r="AB166" s="21">
        <f>EXP(-LN(2)/2)*AB165+(1-EXP(-LN(2)/2))/(LN(2)/2)*V166*Y166*VLOOKUP('Données projet'!$B$9,Paramètres!$A$1:$I$89,3,0)*0.475*44/12</f>
        <v>9.1610023214549006E-3</v>
      </c>
      <c r="AC166" s="22">
        <f t="shared" si="163"/>
        <v>62.288097749144377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1.1368683772161603E-13</v>
      </c>
      <c r="AJ166" s="13">
        <f>AI166*VLOOKUP('Données projet'!$B$10,Paramètres!$A$1:$I$89,3,0)*VLOOKUP('Données projet'!$B$10,Paramètres!$A$1:$I$89,5,0)</f>
        <v>6.7984728957526396E-14</v>
      </c>
      <c r="AK166" s="13">
        <f t="shared" si="164"/>
        <v>1.0682447123141398E-12</v>
      </c>
      <c r="AL166" s="20">
        <f t="shared" si="165"/>
        <v>1.978932943548152E-12</v>
      </c>
      <c r="AM166" s="59">
        <f t="shared" si="113"/>
        <v>293.3333333333353</v>
      </c>
      <c r="AN166" s="59">
        <f ca="1">AVERAGE(OFFSET($AM$3,0,0,'Données projet'!$E$10+1,1))-AVERAGE(OFFSET($H$3,0,0,'Données projet'!$E$10+1,1))</f>
        <v>302.00825291248458</v>
      </c>
      <c r="AO166" s="59">
        <f t="shared" si="144"/>
        <v>307.35115839449355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18.059984607237684</v>
      </c>
      <c r="AV166" s="21">
        <f>EXP(-LN(2)/25)*AV165+(1-EXP(-LN(2)/25))/(LN(2)/25)*Calculateur!AQ166*Calculateur!AS166*VLOOKUP('Données projet'!$B$10,Paramètres!$A$1:$I$89,3,0)*0.475*44/12</f>
        <v>2.7858978897607334</v>
      </c>
      <c r="AW166" s="21">
        <f>EXP(-LN(2)/2)*AW165+(1-EXP(-LN(2)/2))/(LN(2)/2)*AQ166*AT166*VLOOKUP('Données projet'!$B$10,Paramètres!$A$1:$I$89,3,0)*0.475*44/12</f>
        <v>1.8829001837749137E-14</v>
      </c>
      <c r="AX166" s="21">
        <f t="shared" si="166"/>
        <v>20.845882496998435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-2.2737367544323206E-13</v>
      </c>
      <c r="BE166" s="13">
        <f>BD166*VLOOKUP('Données projet'!$B$11,Paramètres!$A$1:$I$89,3,0)*VLOOKUP('Données projet'!$B$11,Paramètres!$A$1:$I$89,5,0)</f>
        <v>-1.3596945791505279E-13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349.71285006949597</v>
      </c>
      <c r="BJ166" s="59">
        <f t="shared" si="146"/>
        <v>258.51550516456842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29.619577332573879</v>
      </c>
      <c r="BQ166" s="21">
        <f>EXP(-LN(2)/25)*BQ165+(1-EXP(-LN(2)/25))/(LN(2)/25)*Calculateur!BL166*Calculateur!BN166*VLOOKUP('Données projet'!$B$11,Paramètres!$A$1:$I$89,3,0)*0.475*44/12</f>
        <v>5.1813572959328651</v>
      </c>
      <c r="BR166" s="21">
        <f>EXP(-LN(2)/2)*BR165+(1-EXP(-LN(2)/2))/(LN(2)/2)*BL166*BO166*VLOOKUP('Données projet'!$B$11,Paramètres!$A$1:$I$89,3,0)*0.475*44/12</f>
        <v>2.273928551743735E-11</v>
      </c>
      <c r="BS166" s="22">
        <f t="shared" si="169"/>
        <v>34.800934628529482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7.6783333333333319</v>
      </c>
      <c r="N167" s="13">
        <f>IF('Données projet'!$A$36&gt;35,N166+M167-V166,IF(A167&lt;'Données projet'!$A$36,$K$205^A167,IF(A167='Données projet'!$A$36,'Données projet'!$B$36,N166+M167-V166)))</f>
        <v>404.93666666666633</v>
      </c>
      <c r="O167" s="13">
        <f>N167*VLOOKUP('Données projet'!$B$9,Paramètres!$A$1:$I$89,3,0)*VLOOKUP('Données projet'!$B$9,Paramètres!$A$1:$I$89,5,0)</f>
        <v>461.14187599999957</v>
      </c>
      <c r="P167" s="13">
        <f t="shared" si="141"/>
        <v>104.06777848670333</v>
      </c>
      <c r="Q167" s="20">
        <f t="shared" si="162"/>
        <v>984.40681489767428</v>
      </c>
      <c r="R167" s="59">
        <f t="shared" si="109"/>
        <v>1277.7401482310077</v>
      </c>
      <c r="S167" s="59">
        <f ca="1">AVERAGE(OFFSET($R$3,0,0,'Données projet'!$E$9+1,1))-AVERAGE(OFFSET($H$3,0,0,'Données projet'!$E$9+1,1))</f>
        <v>593.28343396240075</v>
      </c>
      <c r="T167" s="59">
        <f t="shared" si="142"/>
        <v>289.66477662068695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40.326404870098578</v>
      </c>
      <c r="AA167" s="21">
        <f>EXP(-LN(2)/25)*AA166+(1-EXP(-LN(2)/25))/(LN(2)/25)*Calculateur!V167*Calculateur!X167*VLOOKUP('Données projet'!$B$9,Paramètres!$A$1:$I$89,3,0)*0.475*44/12</f>
        <v>20.567702066539187</v>
      </c>
      <c r="AB167" s="21">
        <f>EXP(-LN(2)/2)*AB166+(1-EXP(-LN(2)/2))/(LN(2)/2)*V167*Y167*VLOOKUP('Données projet'!$B$9,Paramètres!$A$1:$I$89,3,0)*0.475*44/12</f>
        <v>6.4778068639664644E-3</v>
      </c>
      <c r="AC167" s="22">
        <f t="shared" si="163"/>
        <v>60.900584743501739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1.1368683772161603E-13</v>
      </c>
      <c r="AJ167" s="13">
        <f>AI167*VLOOKUP('Données projet'!$B$10,Paramètres!$A$1:$I$89,3,0)*VLOOKUP('Données projet'!$B$10,Paramètres!$A$1:$I$89,5,0)</f>
        <v>6.7984728957526396E-14</v>
      </c>
      <c r="AK167" s="13">
        <f t="shared" si="164"/>
        <v>1.0682447123141398E-12</v>
      </c>
      <c r="AL167" s="20">
        <f t="shared" si="165"/>
        <v>1.978932943548152E-12</v>
      </c>
      <c r="AM167" s="59">
        <f t="shared" si="113"/>
        <v>293.3333333333353</v>
      </c>
      <c r="AN167" s="59">
        <f ca="1">AVERAGE(OFFSET($AM$3,0,0,'Données projet'!$E$10+1,1))-AVERAGE(OFFSET($H$3,0,0,'Données projet'!$E$10+1,1))</f>
        <v>302.00825291248458</v>
      </c>
      <c r="AO167" s="59">
        <f t="shared" si="144"/>
        <v>307.35115839449355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17.705839324592674</v>
      </c>
      <c r="AV167" s="21">
        <f>EXP(-LN(2)/25)*AV166+(1-EXP(-LN(2)/25))/(LN(2)/25)*Calculateur!AQ167*Calculateur!AS167*VLOOKUP('Données projet'!$B$10,Paramètres!$A$1:$I$89,3,0)*0.475*44/12</f>
        <v>2.7097173654612234</v>
      </c>
      <c r="AW167" s="21">
        <f>EXP(-LN(2)/2)*AW166+(1-EXP(-LN(2)/2))/(LN(2)/2)*AQ167*AT167*VLOOKUP('Données projet'!$B$10,Paramètres!$A$1:$I$89,3,0)*0.475*44/12</f>
        <v>1.331411488244638E-14</v>
      </c>
      <c r="AX167" s="21">
        <f t="shared" si="166"/>
        <v>20.415556690053911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-2.2737367544323206E-13</v>
      </c>
      <c r="BE167" s="13">
        <f>BD167*VLOOKUP('Données projet'!$B$11,Paramètres!$A$1:$I$89,3,0)*VLOOKUP('Données projet'!$B$11,Paramètres!$A$1:$I$89,5,0)</f>
        <v>-1.3596945791505279E-13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349.71285006949597</v>
      </c>
      <c r="BJ167" s="59">
        <f t="shared" si="146"/>
        <v>258.51550516456842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29.038755487240394</v>
      </c>
      <c r="BQ167" s="21">
        <f>EXP(-LN(2)/25)*BQ166+(1-EXP(-LN(2)/25))/(LN(2)/25)*Calculateur!BL167*Calculateur!BN167*VLOOKUP('Données projet'!$B$11,Paramètres!$A$1:$I$89,3,0)*0.475*44/12</f>
        <v>5.0396728081998425</v>
      </c>
      <c r="BR167" s="21">
        <f>EXP(-LN(2)/2)*BR166+(1-EXP(-LN(2)/2))/(LN(2)/2)*BL167*BO167*VLOOKUP('Données projet'!$B$11,Paramètres!$A$1:$I$89,3,0)*0.475*44/12</f>
        <v>1.6079102988717001E-11</v>
      </c>
      <c r="BS167" s="22">
        <f t="shared" si="169"/>
        <v>34.078428295456312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7.6783333333333319</v>
      </c>
      <c r="N168" s="13">
        <f>IF('Données projet'!$A$36&gt;35,N167+M168-V167,IF(A168&lt;'Données projet'!$A$36,$K$205^A168,IF(A168='Données projet'!$A$36,'Données projet'!$B$36,N167+M168-V167)))</f>
        <v>412.61499999999967</v>
      </c>
      <c r="O168" s="13">
        <f>N168*VLOOKUP('Données projet'!$B$9,Paramètres!$A$1:$I$89,3,0)*VLOOKUP('Données projet'!$B$9,Paramètres!$A$1:$I$89,5,0)</f>
        <v>469.88596199999961</v>
      </c>
      <c r="P168" s="13">
        <f t="shared" si="141"/>
        <v>105.80948774021181</v>
      </c>
      <c r="Q168" s="20">
        <f t="shared" si="162"/>
        <v>1002.6695749642014</v>
      </c>
      <c r="R168" s="59">
        <f t="shared" si="109"/>
        <v>1296.0029082975348</v>
      </c>
      <c r="S168" s="59">
        <f ca="1">AVERAGE(OFFSET($R$3,0,0,'Données projet'!$E$9+1,1))-AVERAGE(OFFSET($H$3,0,0,'Données projet'!$E$9+1,1))</f>
        <v>593.28343396240075</v>
      </c>
      <c r="T168" s="59">
        <f t="shared" si="142"/>
        <v>289.66477662068695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39.535628667274196</v>
      </c>
      <c r="AA168" s="21">
        <f>EXP(-LN(2)/25)*AA167+(1-EXP(-LN(2)/25))/(LN(2)/25)*Calculateur!V168*Calculateur!X168*VLOOKUP('Données projet'!$B$9,Paramètres!$A$1:$I$89,3,0)*0.475*44/12</f>
        <v>20.005277171921229</v>
      </c>
      <c r="AB168" s="21">
        <f>EXP(-LN(2)/2)*AB167+(1-EXP(-LN(2)/2))/(LN(2)/2)*V168*Y168*VLOOKUP('Données projet'!$B$9,Paramètres!$A$1:$I$89,3,0)*0.475*44/12</f>
        <v>4.5805011607274503E-3</v>
      </c>
      <c r="AC168" s="22">
        <f t="shared" si="163"/>
        <v>59.545486340356149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1.1368683772161603E-13</v>
      </c>
      <c r="AJ168" s="13">
        <f>AI168*VLOOKUP('Données projet'!$B$10,Paramètres!$A$1:$I$89,3,0)*VLOOKUP('Données projet'!$B$10,Paramètres!$A$1:$I$89,5,0)</f>
        <v>6.7984728957526396E-14</v>
      </c>
      <c r="AK168" s="13">
        <f t="shared" si="164"/>
        <v>1.0682447123141398E-12</v>
      </c>
      <c r="AL168" s="20">
        <f t="shared" si="165"/>
        <v>1.978932943548152E-12</v>
      </c>
      <c r="AM168" s="59">
        <f t="shared" si="113"/>
        <v>293.3333333333353</v>
      </c>
      <c r="AN168" s="59">
        <f ca="1">AVERAGE(OFFSET($AM$3,0,0,'Données projet'!$E$10+1,1))-AVERAGE(OFFSET($H$3,0,0,'Données projet'!$E$10+1,1))</f>
        <v>302.00825291248458</v>
      </c>
      <c r="AO168" s="59">
        <f t="shared" si="144"/>
        <v>307.35115839449355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17.358638614933039</v>
      </c>
      <c r="AV168" s="21">
        <f>EXP(-LN(2)/25)*AV167+(1-EXP(-LN(2)/25))/(LN(2)/25)*Calculateur!AQ168*Calculateur!AS168*VLOOKUP('Données projet'!$B$10,Paramètres!$A$1:$I$89,3,0)*0.475*44/12</f>
        <v>2.6356200016048432</v>
      </c>
      <c r="AW168" s="21">
        <f>EXP(-LN(2)/2)*AW167+(1-EXP(-LN(2)/2))/(LN(2)/2)*AQ168*AT168*VLOOKUP('Données projet'!$B$10,Paramètres!$A$1:$I$89,3,0)*0.475*44/12</f>
        <v>9.4145009188745685E-15</v>
      </c>
      <c r="AX168" s="21">
        <f t="shared" si="166"/>
        <v>19.994258616537891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-2.2737367544323206E-13</v>
      </c>
      <c r="BE168" s="13">
        <f>BD168*VLOOKUP('Données projet'!$B$11,Paramètres!$A$1:$I$89,3,0)*VLOOKUP('Données projet'!$B$11,Paramètres!$A$1:$I$89,5,0)</f>
        <v>-1.3596945791505279E-13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349.71285006949597</v>
      </c>
      <c r="BJ168" s="59">
        <f t="shared" si="146"/>
        <v>258.51550516456842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28.469323204027553</v>
      </c>
      <c r="BQ168" s="21">
        <f>EXP(-LN(2)/25)*BQ167+(1-EXP(-LN(2)/25))/(LN(2)/25)*Calculateur!BL168*Calculateur!BN168*VLOOKUP('Données projet'!$B$11,Paramètres!$A$1:$I$89,3,0)*0.475*44/12</f>
        <v>4.9018626902347435</v>
      </c>
      <c r="BR168" s="21">
        <f>EXP(-LN(2)/2)*BR167+(1-EXP(-LN(2)/2))/(LN(2)/2)*BL168*BO168*VLOOKUP('Données projet'!$B$11,Paramètres!$A$1:$I$89,3,0)*0.475*44/12</f>
        <v>1.1369642758718675E-11</v>
      </c>
      <c r="BS168" s="22">
        <f t="shared" si="169"/>
        <v>33.371185894273665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7.6783333333333319</v>
      </c>
      <c r="N169" s="13">
        <f>IF('Données projet'!$A$36&gt;35,N168+M169-V168,IF(A169&lt;'Données projet'!$A$36,$K$205^A169,IF(A169='Données projet'!$A$36,'Données projet'!$B$36,N168+M169-V168)))</f>
        <v>420.29333333333301</v>
      </c>
      <c r="O169" s="13">
        <f>N169*VLOOKUP('Données projet'!$B$9,Paramètres!$A$1:$I$89,3,0)*VLOOKUP('Données projet'!$B$9,Paramètres!$A$1:$I$89,5,0)</f>
        <v>478.63004799999959</v>
      </c>
      <c r="P169" s="13">
        <f t="shared" si="141"/>
        <v>107.54742816141284</v>
      </c>
      <c r="Q169" s="20">
        <f t="shared" si="162"/>
        <v>1020.9257709811267</v>
      </c>
      <c r="R169" s="59">
        <f t="shared" si="109"/>
        <v>1314.25910431446</v>
      </c>
      <c r="S169" s="59">
        <f ca="1">AVERAGE(OFFSET($R$3,0,0,'Données projet'!$E$9+1,1))-AVERAGE(OFFSET($H$3,0,0,'Données projet'!$E$9+1,1))</f>
        <v>593.28343396240075</v>
      </c>
      <c r="T169" s="59">
        <f t="shared" si="142"/>
        <v>289.66477662068695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38.76035910346134</v>
      </c>
      <c r="AA169" s="21">
        <f>EXP(-LN(2)/25)*AA168+(1-EXP(-LN(2)/25))/(LN(2)/25)*Calculateur!V169*Calculateur!X169*VLOOKUP('Données projet'!$B$9,Paramètres!$A$1:$I$89,3,0)*0.475*44/12</f>
        <v>19.45823181562324</v>
      </c>
      <c r="AB169" s="21">
        <f>EXP(-LN(2)/2)*AB168+(1-EXP(-LN(2)/2))/(LN(2)/2)*V169*Y169*VLOOKUP('Données projet'!$B$9,Paramètres!$A$1:$I$89,3,0)*0.475*44/12</f>
        <v>3.2389034319832322E-3</v>
      </c>
      <c r="AC169" s="22">
        <f t="shared" si="163"/>
        <v>58.221829822516561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1.1368683772161603E-13</v>
      </c>
      <c r="AJ169" s="13">
        <f>AI169*VLOOKUP('Données projet'!$B$10,Paramètres!$A$1:$I$89,3,0)*VLOOKUP('Données projet'!$B$10,Paramètres!$A$1:$I$89,5,0)</f>
        <v>6.7984728957526396E-14</v>
      </c>
      <c r="AK169" s="13">
        <f t="shared" si="164"/>
        <v>1.0682447123141398E-12</v>
      </c>
      <c r="AL169" s="20">
        <f t="shared" si="165"/>
        <v>1.978932943548152E-12</v>
      </c>
      <c r="AM169" s="59">
        <f t="shared" si="113"/>
        <v>293.3333333333353</v>
      </c>
      <c r="AN169" s="59">
        <f ca="1">AVERAGE(OFFSET($AM$3,0,0,'Données projet'!$E$10+1,1))-AVERAGE(OFFSET($H$3,0,0,'Données projet'!$E$10+1,1))</f>
        <v>302.00825291248458</v>
      </c>
      <c r="AO169" s="59">
        <f t="shared" si="144"/>
        <v>307.35115839449355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17.018246299418305</v>
      </c>
      <c r="AV169" s="21">
        <f>EXP(-LN(2)/25)*AV168+(1-EXP(-LN(2)/25))/(LN(2)/25)*Calculateur!AQ169*Calculateur!AS169*VLOOKUP('Données projet'!$B$10,Paramètres!$A$1:$I$89,3,0)*0.475*44/12</f>
        <v>2.5635488340597266</v>
      </c>
      <c r="AW169" s="21">
        <f>EXP(-LN(2)/2)*AW168+(1-EXP(-LN(2)/2))/(LN(2)/2)*AQ169*AT169*VLOOKUP('Données projet'!$B$10,Paramètres!$A$1:$I$89,3,0)*0.475*44/12</f>
        <v>6.6570574412231902E-15</v>
      </c>
      <c r="AX169" s="21">
        <f t="shared" si="166"/>
        <v>19.581795133478039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-2.2737367544323206E-13</v>
      </c>
      <c r="BE169" s="13">
        <f>BD169*VLOOKUP('Données projet'!$B$11,Paramètres!$A$1:$I$89,3,0)*VLOOKUP('Données projet'!$B$11,Paramètres!$A$1:$I$89,5,0)</f>
        <v>-1.3596945791505279E-13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349.71285006949597</v>
      </c>
      <c r="BJ169" s="59">
        <f t="shared" si="146"/>
        <v>258.51550516456842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27.911057140569117</v>
      </c>
      <c r="BQ169" s="21">
        <f>EXP(-LN(2)/25)*BQ168+(1-EXP(-LN(2)/25))/(LN(2)/25)*Calculateur!BL169*Calculateur!BN169*VLOOKUP('Données projet'!$B$11,Paramètres!$A$1:$I$89,3,0)*0.475*44/12</f>
        <v>4.7678209971925192</v>
      </c>
      <c r="BR169" s="21">
        <f>EXP(-LN(2)/2)*BR168+(1-EXP(-LN(2)/2))/(LN(2)/2)*BL169*BO169*VLOOKUP('Données projet'!$B$11,Paramètres!$A$1:$I$89,3,0)*0.475*44/12</f>
        <v>8.0395514943585007E-12</v>
      </c>
      <c r="BS169" s="22">
        <f t="shared" si="169"/>
        <v>32.678878137769672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7.6783333333333319</v>
      </c>
      <c r="N170" s="13">
        <f>IF('Données projet'!$A$36&gt;35,N169+M170-V169,IF(A170&lt;'Données projet'!$A$36,$K$205^A170,IF(A170='Données projet'!$A$36,'Données projet'!$B$36,N169+M170-V169)))</f>
        <v>427.97166666666635</v>
      </c>
      <c r="O170" s="13">
        <f>N170*VLOOKUP('Données projet'!$B$9,Paramètres!$A$1:$I$89,3,0)*VLOOKUP('Données projet'!$B$9,Paramètres!$A$1:$I$89,5,0)</f>
        <v>487.37413399999963</v>
      </c>
      <c r="P170" s="13">
        <f t="shared" si="141"/>
        <v>109.28167654445673</v>
      </c>
      <c r="Q170" s="20">
        <f t="shared" si="162"/>
        <v>1039.1755366982613</v>
      </c>
      <c r="R170" s="59">
        <f t="shared" si="109"/>
        <v>1332.5088700315946</v>
      </c>
      <c r="S170" s="59">
        <f ca="1">AVERAGE(OFFSET($R$3,0,0,'Données projet'!$E$9+1,1))-AVERAGE(OFFSET($H$3,0,0,'Données projet'!$E$9+1,1))</f>
        <v>593.28343396240075</v>
      </c>
      <c r="T170" s="59">
        <f t="shared" si="142"/>
        <v>289.66477662068695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38.000292102927112</v>
      </c>
      <c r="AA170" s="21">
        <f>EXP(-LN(2)/25)*AA169+(1-EXP(-LN(2)/25))/(LN(2)/25)*Calculateur!V170*Calculateur!X170*VLOOKUP('Données projet'!$B$9,Paramètres!$A$1:$I$89,3,0)*0.475*44/12</f>
        <v>18.926145443361083</v>
      </c>
      <c r="AB170" s="21">
        <f>EXP(-LN(2)/2)*AB169+(1-EXP(-LN(2)/2))/(LN(2)/2)*V170*Y170*VLOOKUP('Données projet'!$B$9,Paramètres!$A$1:$I$89,3,0)*0.475*44/12</f>
        <v>2.2902505803637251E-3</v>
      </c>
      <c r="AC170" s="22">
        <f t="shared" si="163"/>
        <v>56.928727796868564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1.1368683772161603E-13</v>
      </c>
      <c r="AJ170" s="13">
        <f>AI170*VLOOKUP('Données projet'!$B$10,Paramètres!$A$1:$I$89,3,0)*VLOOKUP('Données projet'!$B$10,Paramètres!$A$1:$I$89,5,0)</f>
        <v>6.7984728957526396E-14</v>
      </c>
      <c r="AK170" s="13">
        <f t="shared" si="164"/>
        <v>1.0682447123141398E-12</v>
      </c>
      <c r="AL170" s="20">
        <f t="shared" si="165"/>
        <v>1.978932943548152E-12</v>
      </c>
      <c r="AM170" s="59">
        <f t="shared" si="113"/>
        <v>293.3333333333353</v>
      </c>
      <c r="AN170" s="59">
        <f ca="1">AVERAGE(OFFSET($AM$3,0,0,'Données projet'!$E$10+1,1))-AVERAGE(OFFSET($H$3,0,0,'Données projet'!$E$10+1,1))</f>
        <v>302.00825291248458</v>
      </c>
      <c r="AO170" s="59">
        <f t="shared" si="144"/>
        <v>307.35115839449355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16.684528869592004</v>
      </c>
      <c r="AV170" s="21">
        <f>EXP(-LN(2)/25)*AV169+(1-EXP(-LN(2)/25))/(LN(2)/25)*Calculateur!AQ170*Calculateur!AS170*VLOOKUP('Données projet'!$B$10,Paramètres!$A$1:$I$89,3,0)*0.475*44/12</f>
        <v>2.4934484563811892</v>
      </c>
      <c r="AW170" s="21">
        <f>EXP(-LN(2)/2)*AW169+(1-EXP(-LN(2)/2))/(LN(2)/2)*AQ170*AT170*VLOOKUP('Données projet'!$B$10,Paramètres!$A$1:$I$89,3,0)*0.475*44/12</f>
        <v>4.7072504594372843E-15</v>
      </c>
      <c r="AX170" s="21">
        <f t="shared" si="166"/>
        <v>19.177977325973195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-2.2737367544323206E-13</v>
      </c>
      <c r="BE170" s="13">
        <f>BD170*VLOOKUP('Données projet'!$B$11,Paramètres!$A$1:$I$89,3,0)*VLOOKUP('Données projet'!$B$11,Paramètres!$A$1:$I$89,5,0)</f>
        <v>-1.3596945791505279E-13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349.71285006949597</v>
      </c>
      <c r="BJ170" s="59">
        <f t="shared" si="146"/>
        <v>258.51550516456842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27.363738334106426</v>
      </c>
      <c r="BQ170" s="21">
        <f>EXP(-LN(2)/25)*BQ169+(1-EXP(-LN(2)/25))/(LN(2)/25)*Calculateur!BL170*Calculateur!BN170*VLOOKUP('Données projet'!$B$11,Paramètres!$A$1:$I$89,3,0)*0.475*44/12</f>
        <v>4.6374446812954808</v>
      </c>
      <c r="BR170" s="21">
        <f>EXP(-LN(2)/2)*BR169+(1-EXP(-LN(2)/2))/(LN(2)/2)*BL170*BO170*VLOOKUP('Données projet'!$B$11,Paramètres!$A$1:$I$89,3,0)*0.475*44/12</f>
        <v>5.6848213793593375E-12</v>
      </c>
      <c r="BS170" s="22">
        <f t="shared" si="169"/>
        <v>32.001183015407591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>
        <f>VLOOKUP(A171,'Données projet'!$A$35:$I$55,2,0)</f>
        <v>435.65</v>
      </c>
      <c r="L171" s="12">
        <f>VLOOKUP(A171,'Données projet'!$A$35:$I$55,9,0)</f>
        <v>7.6783333333333319</v>
      </c>
      <c r="M171" s="12">
        <f t="array" ref="M171">INDEX(L:L,MIN(IF(ISNUMBER(L171:L367),ROW(L171:L367),"")))</f>
        <v>7.6783333333333319</v>
      </c>
      <c r="N171" s="13">
        <f>IF('Données projet'!$A$36&gt;35,N170+M171-V170,IF(A171&lt;'Données projet'!$A$36,$K$205^A171,IF(A171='Données projet'!$A$36,'Données projet'!$B$36,N170+M171-V170)))</f>
        <v>435.64999999999969</v>
      </c>
      <c r="O171" s="13">
        <f>N171*VLOOKUP('Données projet'!$B$9,Paramètres!$A$1:$I$89,3,0)*VLOOKUP('Données projet'!$B$9,Paramètres!$A$1:$I$89,5,0)</f>
        <v>496.11821999999967</v>
      </c>
      <c r="P171" s="13">
        <f t="shared" si="141"/>
        <v>111.01230677013324</v>
      </c>
      <c r="Q171" s="20">
        <f t="shared" si="162"/>
        <v>1057.4190007913146</v>
      </c>
      <c r="R171" s="59">
        <f t="shared" si="109"/>
        <v>1350.7523341246479</v>
      </c>
      <c r="S171" s="59">
        <f ca="1">AVERAGE(OFFSET($R$3,0,0,'Données projet'!$E$9+1,1))-AVERAGE(OFFSET($H$3,0,0,'Données projet'!$E$9+1,1))</f>
        <v>593.28343396240075</v>
      </c>
      <c r="T171" s="59">
        <f t="shared" si="142"/>
        <v>289.66477662068695</v>
      </c>
      <c r="U171" s="15">
        <f>IF(ISNA(VLOOKUP(A171,'Données projet'!$A$35:$I$55,3,0)),0,VLOOKUP(A171,'Données projet'!$A$35:$I$55,3,0))</f>
        <v>12</v>
      </c>
      <c r="V171" s="15">
        <f>IF(ISNA(VLOOKUP(A171,'Données projet'!$A$35:$I$55,4,0)),0,VLOOKUP(A171,'Données projet'!$A$35:$I$55,4,0))</f>
        <v>71.37</v>
      </c>
      <c r="W171" s="16">
        <f>IF(ISNA(VLOOKUP(A171,'Données projet'!$A$35:$I$55,5,0)),0%,VLOOKUP(A171,'Données projet'!$A$35:$I$55,5,0)*VLOOKUP('Données projet'!$B$9,Paramètres!$A$1:$I$89,7,0))</f>
        <v>0.215</v>
      </c>
      <c r="X171" s="16">
        <f>IF(ISNA(VLOOKUP(A171,'Données projet'!$A$35:$I$55,6,0)),0%,VLOOKUP(A171,'Données projet'!$A$35:$I$55,6,0)*VLOOKUP('Données projet'!$B$9,Paramètres!$A$1:$I$89,7,0))</f>
        <v>8.6000000000000007E-2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56.572531902042613</v>
      </c>
      <c r="AA171" s="21">
        <f>EXP(-LN(2)/25)*AA170+(1-EXP(-LN(2)/25))/(LN(2)/25)*Calculateur!V171*Calculateur!X171*VLOOKUP('Données projet'!$B$9,Paramètres!$A$1:$I$89,3,0)*0.475*44/12</f>
        <v>26.105145951252659</v>
      </c>
      <c r="AB171" s="21">
        <f>EXP(-LN(2)/2)*AB170+(1-EXP(-LN(2)/2))/(LN(2)/2)*V171*Y171*VLOOKUP('Données projet'!$B$9,Paramètres!$A$1:$I$89,3,0)*0.475*44/12</f>
        <v>1.6194517159916161E-3</v>
      </c>
      <c r="AC171" s="22">
        <f t="shared" si="163"/>
        <v>82.679297305011275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1.1368683772161603E-13</v>
      </c>
      <c r="AJ171" s="13">
        <f>AI171*VLOOKUP('Données projet'!$B$10,Paramètres!$A$1:$I$89,3,0)*VLOOKUP('Données projet'!$B$10,Paramètres!$A$1:$I$89,5,0)</f>
        <v>6.7984728957526396E-14</v>
      </c>
      <c r="AK171" s="13">
        <f t="shared" si="164"/>
        <v>1.0682447123141398E-12</v>
      </c>
      <c r="AL171" s="20">
        <f t="shared" si="165"/>
        <v>1.978932943548152E-12</v>
      </c>
      <c r="AM171" s="59">
        <f t="shared" si="113"/>
        <v>293.3333333333353</v>
      </c>
      <c r="AN171" s="59">
        <f ca="1">AVERAGE(OFFSET($AM$3,0,0,'Données projet'!$E$10+1,1))-AVERAGE(OFFSET($H$3,0,0,'Données projet'!$E$10+1,1))</f>
        <v>302.00825291248458</v>
      </c>
      <c r="AO171" s="59">
        <f t="shared" si="144"/>
        <v>307.35115839449355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16.357355435017062</v>
      </c>
      <c r="AV171" s="21">
        <f>EXP(-LN(2)/25)*AV170+(1-EXP(-LN(2)/25))/(LN(2)/25)*Calculateur!AQ171*Calculateur!AS171*VLOOKUP('Données projet'!$B$10,Paramètres!$A$1:$I$89,3,0)*0.475*44/12</f>
        <v>2.4252649772166901</v>
      </c>
      <c r="AW171" s="21">
        <f>EXP(-LN(2)/2)*AW170+(1-EXP(-LN(2)/2))/(LN(2)/2)*AQ171*AT171*VLOOKUP('Données projet'!$B$10,Paramètres!$A$1:$I$89,3,0)*0.475*44/12</f>
        <v>3.3285287206115951E-15</v>
      </c>
      <c r="AX171" s="21">
        <f t="shared" si="166"/>
        <v>18.782620412233758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-2.2737367544323206E-13</v>
      </c>
      <c r="BE171" s="13">
        <f>BD171*VLOOKUP('Données projet'!$B$11,Paramètres!$A$1:$I$89,3,0)*VLOOKUP('Données projet'!$B$11,Paramètres!$A$1:$I$89,5,0)</f>
        <v>-1.3596945791505279E-13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349.71285006949597</v>
      </c>
      <c r="BJ171" s="59">
        <f t="shared" si="146"/>
        <v>258.51550516456842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26.82715211560696</v>
      </c>
      <c r="BQ171" s="21">
        <f>EXP(-LN(2)/25)*BQ170+(1-EXP(-LN(2)/25))/(LN(2)/25)*Calculateur!BL171*Calculateur!BN171*VLOOKUP('Données projet'!$B$11,Paramètres!$A$1:$I$89,3,0)*0.475*44/12</f>
        <v>4.5106335126128387</v>
      </c>
      <c r="BR171" s="21">
        <f>EXP(-LN(2)/2)*BR170+(1-EXP(-LN(2)/2))/(LN(2)/2)*BL171*BO171*VLOOKUP('Données projet'!$B$11,Paramètres!$A$1:$I$89,3,0)*0.475*44/12</f>
        <v>4.0197757471792503E-12</v>
      </c>
      <c r="BS171" s="22">
        <f t="shared" si="169"/>
        <v>31.337785628223816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7.688333333333337</v>
      </c>
      <c r="N172" s="13">
        <f>IF('Données projet'!$A$36&gt;35,N171+M172-V171,IF(A172&lt;'Données projet'!$A$36,$K$205^A172,IF(A172='Données projet'!$A$36,'Données projet'!$B$36,N171+M172-V171)))</f>
        <v>371.96833333333302</v>
      </c>
      <c r="O172" s="13">
        <f>N172*VLOOKUP('Données projet'!$B$9,Paramètres!$A$1:$I$89,3,0)*VLOOKUP('Données projet'!$B$9,Paramètres!$A$1:$I$89,5,0)</f>
        <v>423.59753799999964</v>
      </c>
      <c r="P172" s="13">
        <f t="shared" si="141"/>
        <v>96.544627937527807</v>
      </c>
      <c r="Q172" s="20">
        <f t="shared" si="162"/>
        <v>905.91427234119362</v>
      </c>
      <c r="R172" s="59">
        <f t="shared" si="109"/>
        <v>1199.247605674527</v>
      </c>
      <c r="S172" s="59">
        <f ca="1">AVERAGE(OFFSET($R$3,0,0,'Données projet'!$E$9+1,1))-AVERAGE(OFFSET($H$3,0,0,'Données projet'!$E$9+1,1))</f>
        <v>593.28343396240075</v>
      </c>
      <c r="T172" s="59">
        <f t="shared" si="142"/>
        <v>289.66477662068695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55.463179057280847</v>
      </c>
      <c r="AA172" s="21">
        <f>EXP(-LN(2)/25)*AA171+(1-EXP(-LN(2)/25))/(LN(2)/25)*Calculateur!V172*Calculateur!X172*VLOOKUP('Données projet'!$B$9,Paramètres!$A$1:$I$89,3,0)*0.475*44/12</f>
        <v>25.391299362405693</v>
      </c>
      <c r="AB172" s="21">
        <f>EXP(-LN(2)/2)*AB171+(1-EXP(-LN(2)/2))/(LN(2)/2)*V172*Y172*VLOOKUP('Données projet'!$B$9,Paramètres!$A$1:$I$89,3,0)*0.475*44/12</f>
        <v>1.1451252901818626E-3</v>
      </c>
      <c r="AC172" s="22">
        <f t="shared" si="163"/>
        <v>80.855623544976723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1.1368683772161603E-13</v>
      </c>
      <c r="AJ172" s="13">
        <f>AI172*VLOOKUP('Données projet'!$B$10,Paramètres!$A$1:$I$89,3,0)*VLOOKUP('Données projet'!$B$10,Paramètres!$A$1:$I$89,5,0)</f>
        <v>6.7984728957526396E-14</v>
      </c>
      <c r="AK172" s="13">
        <f t="shared" si="164"/>
        <v>1.0682447123141398E-12</v>
      </c>
      <c r="AL172" s="20">
        <f t="shared" si="165"/>
        <v>1.978932943548152E-12</v>
      </c>
      <c r="AM172" s="59">
        <f t="shared" si="113"/>
        <v>293.3333333333353</v>
      </c>
      <c r="AN172" s="59">
        <f ca="1">AVERAGE(OFFSET($AM$3,0,0,'Données projet'!$E$10+1,1))-AVERAGE(OFFSET($H$3,0,0,'Données projet'!$E$10+1,1))</f>
        <v>302.00825291248458</v>
      </c>
      <c r="AO172" s="59">
        <f t="shared" si="144"/>
        <v>307.35115839449355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16.036597671938047</v>
      </c>
      <c r="AV172" s="21">
        <f>EXP(-LN(2)/25)*AV171+(1-EXP(-LN(2)/25))/(LN(2)/25)*Calculateur!AQ172*Calculateur!AS172*VLOOKUP('Données projet'!$B$10,Paramètres!$A$1:$I$89,3,0)*0.475*44/12</f>
        <v>2.3589459788755578</v>
      </c>
      <c r="AW172" s="21">
        <f>EXP(-LN(2)/2)*AW171+(1-EXP(-LN(2)/2))/(LN(2)/2)*AQ172*AT172*VLOOKUP('Données projet'!$B$10,Paramètres!$A$1:$I$89,3,0)*0.475*44/12</f>
        <v>2.3536252297186421E-15</v>
      </c>
      <c r="AX172" s="21">
        <f t="shared" si="166"/>
        <v>18.395543650813607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-2.2737367544323206E-13</v>
      </c>
      <c r="BE172" s="13">
        <f>BD172*VLOOKUP('Données projet'!$B$11,Paramètres!$A$1:$I$89,3,0)*VLOOKUP('Données projet'!$B$11,Paramètres!$A$1:$I$89,5,0)</f>
        <v>-1.3596945791505279E-13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349.71285006949597</v>
      </c>
      <c r="BJ172" s="59">
        <f t="shared" si="146"/>
        <v>258.51550516456842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26.30108802556699</v>
      </c>
      <c r="BQ172" s="21">
        <f>EXP(-LN(2)/25)*BQ171+(1-EXP(-LN(2)/25))/(LN(2)/25)*Calculateur!BL172*Calculateur!BN172*VLOOKUP('Données projet'!$B$11,Paramètres!$A$1:$I$89,3,0)*0.475*44/12</f>
        <v>4.3872900020065337</v>
      </c>
      <c r="BR172" s="21">
        <f>EXP(-LN(2)/2)*BR171+(1-EXP(-LN(2)/2))/(LN(2)/2)*BL172*BO172*VLOOKUP('Données projet'!$B$11,Paramètres!$A$1:$I$89,3,0)*0.475*44/12</f>
        <v>2.8424106896796688E-12</v>
      </c>
      <c r="BS172" s="22">
        <f t="shared" si="169"/>
        <v>30.688378027576366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7.688333333333337</v>
      </c>
      <c r="N173" s="13">
        <f>IF('Données projet'!$A$36&gt;35,N172+M173-V172,IF(A173&lt;'Données projet'!$A$36,$K$205^A173,IF(A173='Données projet'!$A$36,'Données projet'!$B$36,N172+M173-V172)))</f>
        <v>379.65666666666635</v>
      </c>
      <c r="O173" s="13">
        <f>N173*VLOOKUP('Données projet'!$B$9,Paramètres!$A$1:$I$89,3,0)*VLOOKUP('Données projet'!$B$9,Paramètres!$A$1:$I$89,5,0)</f>
        <v>432.35301199999964</v>
      </c>
      <c r="P173" s="13">
        <f t="shared" si="141"/>
        <v>98.305757408394228</v>
      </c>
      <c r="Q173" s="20">
        <f t="shared" si="162"/>
        <v>924.23069005295258</v>
      </c>
      <c r="R173" s="59">
        <f t="shared" si="109"/>
        <v>1217.564023386286</v>
      </c>
      <c r="S173" s="59">
        <f ca="1">AVERAGE(OFFSET($R$3,0,0,'Données projet'!$E$9+1,1))-AVERAGE(OFFSET($H$3,0,0,'Données projet'!$E$9+1,1))</f>
        <v>593.28343396240075</v>
      </c>
      <c r="T173" s="59">
        <f t="shared" si="142"/>
        <v>289.66477662068695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54.375579945166436</v>
      </c>
      <c r="AA173" s="21">
        <f>EXP(-LN(2)/25)*AA172+(1-EXP(-LN(2)/25))/(LN(2)/25)*Calculateur!V173*Calculateur!X173*VLOOKUP('Données projet'!$B$9,Paramètres!$A$1:$I$89,3,0)*0.475*44/12</f>
        <v>24.696972946070307</v>
      </c>
      <c r="AB173" s="21">
        <f>EXP(-LN(2)/2)*AB172+(1-EXP(-LN(2)/2))/(LN(2)/2)*V173*Y173*VLOOKUP('Données projet'!$B$9,Paramètres!$A$1:$I$89,3,0)*0.475*44/12</f>
        <v>8.0972585799580804E-4</v>
      </c>
      <c r="AC173" s="22">
        <f t="shared" si="163"/>
        <v>79.07336261709473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1.1368683772161603E-13</v>
      </c>
      <c r="AJ173" s="13">
        <f>AI173*VLOOKUP('Données projet'!$B$10,Paramètres!$A$1:$I$89,3,0)*VLOOKUP('Données projet'!$B$10,Paramètres!$A$1:$I$89,5,0)</f>
        <v>6.7984728957526396E-14</v>
      </c>
      <c r="AK173" s="13">
        <f t="shared" si="164"/>
        <v>1.0682447123141398E-12</v>
      </c>
      <c r="AL173" s="20">
        <f t="shared" si="165"/>
        <v>1.978932943548152E-12</v>
      </c>
      <c r="AM173" s="59">
        <f t="shared" si="113"/>
        <v>293.3333333333353</v>
      </c>
      <c r="AN173" s="59">
        <f ca="1">AVERAGE(OFFSET($AM$3,0,0,'Données projet'!$E$10+1,1))-AVERAGE(OFFSET($H$3,0,0,'Données projet'!$E$10+1,1))</f>
        <v>302.00825291248458</v>
      </c>
      <c r="AO173" s="59">
        <f t="shared" si="144"/>
        <v>307.35115839449355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15.722129772950092</v>
      </c>
      <c r="AV173" s="21">
        <f>EXP(-LN(2)/25)*AV172+(1-EXP(-LN(2)/25))/(LN(2)/25)*Calculateur!AQ173*Calculateur!AS173*VLOOKUP('Données projet'!$B$10,Paramètres!$A$1:$I$89,3,0)*0.475*44/12</f>
        <v>2.2944404770316282</v>
      </c>
      <c r="AW173" s="21">
        <f>EXP(-LN(2)/2)*AW172+(1-EXP(-LN(2)/2))/(LN(2)/2)*AQ173*AT173*VLOOKUP('Données projet'!$B$10,Paramètres!$A$1:$I$89,3,0)*0.475*44/12</f>
        <v>1.6642643603057975E-15</v>
      </c>
      <c r="AX173" s="21">
        <f t="shared" si="166"/>
        <v>18.016570249981719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-2.2737367544323206E-13</v>
      </c>
      <c r="BE173" s="13">
        <f>BD173*VLOOKUP('Données projet'!$B$11,Paramètres!$A$1:$I$89,3,0)*VLOOKUP('Données projet'!$B$11,Paramètres!$A$1:$I$89,5,0)</f>
        <v>-1.3596945791505279E-13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349.71285006949597</v>
      </c>
      <c r="BJ173" s="59">
        <f t="shared" si="146"/>
        <v>258.51550516456842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25.785339731465292</v>
      </c>
      <c r="BQ173" s="21">
        <f>EXP(-LN(2)/25)*BQ172+(1-EXP(-LN(2)/25))/(LN(2)/25)*Calculateur!BL173*Calculateur!BN173*VLOOKUP('Données projet'!$B$11,Paramètres!$A$1:$I$89,3,0)*0.475*44/12</f>
        <v>4.2673193261841114</v>
      </c>
      <c r="BR173" s="21">
        <f>EXP(-LN(2)/2)*BR172+(1-EXP(-LN(2)/2))/(LN(2)/2)*BL173*BO173*VLOOKUP('Données projet'!$B$11,Paramètres!$A$1:$I$89,3,0)*0.475*44/12</f>
        <v>2.0098878735896252E-12</v>
      </c>
      <c r="BS173" s="22">
        <f t="shared" si="169"/>
        <v>30.052659057651415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7.688333333333337</v>
      </c>
      <c r="N174" s="13">
        <f>IF('Données projet'!$A$36&gt;35,N173+M174-V173,IF(A174&lt;'Données projet'!$A$36,$K$205^A174,IF(A174='Données projet'!$A$36,'Données projet'!$B$36,N173+M174-V173)))</f>
        <v>387.34499999999969</v>
      </c>
      <c r="O174" s="13">
        <f>N174*VLOOKUP('Données projet'!$B$9,Paramètres!$A$1:$I$89,3,0)*VLOOKUP('Données projet'!$B$9,Paramètres!$A$1:$I$89,5,0)</f>
        <v>441.10848599999963</v>
      </c>
      <c r="P174" s="13">
        <f t="shared" si="141"/>
        <v>100.06274015592311</v>
      </c>
      <c r="Q174" s="20">
        <f t="shared" si="162"/>
        <v>942.53988555489889</v>
      </c>
      <c r="R174" s="59">
        <f t="shared" si="109"/>
        <v>1235.8732188882323</v>
      </c>
      <c r="S174" s="59">
        <f ca="1">AVERAGE(OFFSET($R$3,0,0,'Données projet'!$E$9+1,1))-AVERAGE(OFFSET($H$3,0,0,'Données projet'!$E$9+1,1))</f>
        <v>593.28343396240075</v>
      </c>
      <c r="T174" s="59">
        <f t="shared" si="142"/>
        <v>289.66477662068695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53.309307988270632</v>
      </c>
      <c r="AA174" s="21">
        <f>EXP(-LN(2)/25)*AA173+(1-EXP(-LN(2)/25))/(LN(2)/25)*Calculateur!V174*Calculateur!X174*VLOOKUP('Données projet'!$B$9,Paramètres!$A$1:$I$89,3,0)*0.475*44/12</f>
        <v>24.021632922102654</v>
      </c>
      <c r="AB174" s="21">
        <f>EXP(-LN(2)/2)*AB173+(1-EXP(-LN(2)/2))/(LN(2)/2)*V174*Y174*VLOOKUP('Données projet'!$B$9,Paramètres!$A$1:$I$89,3,0)*0.475*44/12</f>
        <v>5.7256264509093129E-4</v>
      </c>
      <c r="AC174" s="22">
        <f t="shared" si="163"/>
        <v>77.331513473018376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1.1368683772161603E-13</v>
      </c>
      <c r="AJ174" s="13">
        <f>AI174*VLOOKUP('Données projet'!$B$10,Paramètres!$A$1:$I$89,3,0)*VLOOKUP('Données projet'!$B$10,Paramètres!$A$1:$I$89,5,0)</f>
        <v>6.7984728957526396E-14</v>
      </c>
      <c r="AK174" s="13">
        <f t="shared" si="164"/>
        <v>1.0682447123141398E-12</v>
      </c>
      <c r="AL174" s="20">
        <f t="shared" si="165"/>
        <v>1.978932943548152E-12</v>
      </c>
      <c r="AM174" s="59">
        <f t="shared" si="113"/>
        <v>293.3333333333353</v>
      </c>
      <c r="AN174" s="59">
        <f ca="1">AVERAGE(OFFSET($AM$3,0,0,'Données projet'!$E$10+1,1))-AVERAGE(OFFSET($H$3,0,0,'Données projet'!$E$10+1,1))</f>
        <v>302.00825291248458</v>
      </c>
      <c r="AO174" s="59">
        <f t="shared" si="144"/>
        <v>307.35115839449355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15.413828397654813</v>
      </c>
      <c r="AV174" s="21">
        <f>EXP(-LN(2)/25)*AV173+(1-EXP(-LN(2)/25))/(LN(2)/25)*Calculateur!AQ174*Calculateur!AS174*VLOOKUP('Données projet'!$B$10,Paramètres!$A$1:$I$89,3,0)*0.475*44/12</f>
        <v>2.2316988815278176</v>
      </c>
      <c r="AW174" s="21">
        <f>EXP(-LN(2)/2)*AW173+(1-EXP(-LN(2)/2))/(LN(2)/2)*AQ174*AT174*VLOOKUP('Données projet'!$B$10,Paramètres!$A$1:$I$89,3,0)*0.475*44/12</f>
        <v>1.1768126148593211E-15</v>
      </c>
      <c r="AX174" s="21">
        <f t="shared" si="166"/>
        <v>17.64552727918263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-2.2737367544323206E-13</v>
      </c>
      <c r="BE174" s="13">
        <f>BD174*VLOOKUP('Données projet'!$B$11,Paramètres!$A$1:$I$89,3,0)*VLOOKUP('Données projet'!$B$11,Paramètres!$A$1:$I$89,5,0)</f>
        <v>-1.3596945791505279E-13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349.71285006949597</v>
      </c>
      <c r="BJ174" s="59">
        <f t="shared" si="146"/>
        <v>258.51550516456842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25.279704946835533</v>
      </c>
      <c r="BQ174" s="21">
        <f>EXP(-LN(2)/25)*BQ173+(1-EXP(-LN(2)/25))/(LN(2)/25)*Calculateur!BL174*Calculateur!BN174*VLOOKUP('Données projet'!$B$11,Paramètres!$A$1:$I$89,3,0)*0.475*44/12</f>
        <v>4.1506292548010366</v>
      </c>
      <c r="BR174" s="21">
        <f>EXP(-LN(2)/2)*BR173+(1-EXP(-LN(2)/2))/(LN(2)/2)*BL174*BO174*VLOOKUP('Données projet'!$B$11,Paramètres!$A$1:$I$89,3,0)*0.475*44/12</f>
        <v>1.4212053448398344E-12</v>
      </c>
      <c r="BS174" s="22">
        <f t="shared" si="169"/>
        <v>29.43033420163799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7.688333333333337</v>
      </c>
      <c r="N175" s="13">
        <f>IF('Données projet'!$A$36&gt;35,N174+M175-V174,IF(A175&lt;'Données projet'!$A$36,$K$205^A175,IF(A175='Données projet'!$A$36,'Données projet'!$B$36,N174+M175-V174)))</f>
        <v>395.03333333333302</v>
      </c>
      <c r="O175" s="13">
        <f>N175*VLOOKUP('Données projet'!$B$9,Paramètres!$A$1:$I$89,3,0)*VLOOKUP('Données projet'!$B$9,Paramètres!$A$1:$I$89,5,0)</f>
        <v>449.86395999999962</v>
      </c>
      <c r="P175" s="13">
        <f t="shared" si="141"/>
        <v>101.81566797428304</v>
      </c>
      <c r="Q175" s="20">
        <f t="shared" si="162"/>
        <v>960.84201872187566</v>
      </c>
      <c r="R175" s="59">
        <f t="shared" si="109"/>
        <v>1254.175352055209</v>
      </c>
      <c r="S175" s="59">
        <f ca="1">AVERAGE(OFFSET($R$3,0,0,'Données projet'!$E$9+1,1))-AVERAGE(OFFSET($H$3,0,0,'Données projet'!$E$9+1,1))</f>
        <v>593.28343396240075</v>
      </c>
      <c r="T175" s="59">
        <f t="shared" si="142"/>
        <v>289.66477662068695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52.263944974087885</v>
      </c>
      <c r="AA175" s="21">
        <f>EXP(-LN(2)/25)*AA174+(1-EXP(-LN(2)/25))/(LN(2)/25)*Calculateur!V175*Calculateur!X175*VLOOKUP('Données projet'!$B$9,Paramètres!$A$1:$I$89,3,0)*0.475*44/12</f>
        <v>23.364760106604983</v>
      </c>
      <c r="AB175" s="21">
        <f>EXP(-LN(2)/2)*AB174+(1-EXP(-LN(2)/2))/(LN(2)/2)*V175*Y175*VLOOKUP('Données projet'!$B$9,Paramètres!$A$1:$I$89,3,0)*0.475*44/12</f>
        <v>4.0486292899790402E-4</v>
      </c>
      <c r="AC175" s="22">
        <f t="shared" si="163"/>
        <v>75.62910994362187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1.1368683772161603E-13</v>
      </c>
      <c r="AJ175" s="13">
        <f>AI175*VLOOKUP('Données projet'!$B$10,Paramètres!$A$1:$I$89,3,0)*VLOOKUP('Données projet'!$B$10,Paramètres!$A$1:$I$89,5,0)</f>
        <v>6.7984728957526396E-14</v>
      </c>
      <c r="AK175" s="13">
        <f t="shared" si="164"/>
        <v>1.0682447123141398E-12</v>
      </c>
      <c r="AL175" s="20">
        <f t="shared" si="165"/>
        <v>1.978932943548152E-12</v>
      </c>
      <c r="AM175" s="59">
        <f t="shared" si="113"/>
        <v>293.3333333333353</v>
      </c>
      <c r="AN175" s="59">
        <f ca="1">AVERAGE(OFFSET($AM$3,0,0,'Données projet'!$E$10+1,1))-AVERAGE(OFFSET($H$3,0,0,'Données projet'!$E$10+1,1))</f>
        <v>302.00825291248458</v>
      </c>
      <c r="AO175" s="59">
        <f t="shared" si="144"/>
        <v>307.35115839449355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15.111572624283802</v>
      </c>
      <c r="AV175" s="21">
        <f>EXP(-LN(2)/25)*AV174+(1-EXP(-LN(2)/25))/(LN(2)/25)*Calculateur!AQ175*Calculateur!AS175*VLOOKUP('Données projet'!$B$10,Paramètres!$A$1:$I$89,3,0)*0.475*44/12</f>
        <v>2.1706729582524957</v>
      </c>
      <c r="AW175" s="21">
        <f>EXP(-LN(2)/2)*AW174+(1-EXP(-LN(2)/2))/(LN(2)/2)*AQ175*AT175*VLOOKUP('Données projet'!$B$10,Paramètres!$A$1:$I$89,3,0)*0.475*44/12</f>
        <v>8.3213218015289877E-16</v>
      </c>
      <c r="AX175" s="21">
        <f t="shared" si="166"/>
        <v>17.282245582536298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-2.2737367544323206E-13</v>
      </c>
      <c r="BE175" s="13">
        <f>BD175*VLOOKUP('Données projet'!$B$11,Paramètres!$A$1:$I$89,3,0)*VLOOKUP('Données projet'!$B$11,Paramètres!$A$1:$I$89,5,0)</f>
        <v>-1.3596945791505279E-13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349.71285006949597</v>
      </c>
      <c r="BJ175" s="59">
        <f t="shared" si="146"/>
        <v>258.51550516456842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24.783985351925597</v>
      </c>
      <c r="BQ175" s="21">
        <f>EXP(-LN(2)/25)*BQ174+(1-EXP(-LN(2)/25))/(LN(2)/25)*Calculateur!BL175*Calculateur!BN175*VLOOKUP('Données projet'!$B$11,Paramètres!$A$1:$I$89,3,0)*0.475*44/12</f>
        <v>4.0371300795563965</v>
      </c>
      <c r="BR175" s="21">
        <f>EXP(-LN(2)/2)*BR174+(1-EXP(-LN(2)/2))/(LN(2)/2)*BL175*BO175*VLOOKUP('Données projet'!$B$11,Paramètres!$A$1:$I$89,3,0)*0.475*44/12</f>
        <v>1.0049439367948126E-12</v>
      </c>
      <c r="BS175" s="22">
        <f t="shared" si="169"/>
        <v>28.821115431482998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7.688333333333337</v>
      </c>
      <c r="N176" s="13">
        <f>IF('Données projet'!$A$36&gt;35,N175+M176-V175,IF(A176&lt;'Données projet'!$A$36,$K$205^A176,IF(A176='Données projet'!$A$36,'Données projet'!$B$36,N175+M176-V175)))</f>
        <v>402.72166666666635</v>
      </c>
      <c r="O176" s="13">
        <f>N176*VLOOKUP('Données projet'!$B$9,Paramètres!$A$1:$I$89,3,0)*VLOOKUP('Données projet'!$B$9,Paramètres!$A$1:$I$89,5,0)</f>
        <v>458.61943399999961</v>
      </c>
      <c r="P176" s="13">
        <f t="shared" si="141"/>
        <v>103.56462888016677</v>
      </c>
      <c r="Q176" s="20">
        <f t="shared" si="162"/>
        <v>979.13724284962302</v>
      </c>
      <c r="R176" s="59">
        <f t="shared" si="109"/>
        <v>1272.4705761829564</v>
      </c>
      <c r="S176" s="59">
        <f ca="1">AVERAGE(OFFSET($R$3,0,0,'Données projet'!$E$9+1,1))-AVERAGE(OFFSET($H$3,0,0,'Données projet'!$E$9+1,1))</f>
        <v>593.28343396240075</v>
      </c>
      <c r="T176" s="59">
        <f t="shared" si="142"/>
        <v>289.66477662068695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51.239080891004775</v>
      </c>
      <c r="AA176" s="21">
        <f>EXP(-LN(2)/25)*AA175+(1-EXP(-LN(2)/25))/(LN(2)/25)*Calculateur!V176*Calculateur!X176*VLOOKUP('Données projet'!$B$9,Paramètres!$A$1:$I$89,3,0)*0.475*44/12</f>
        <v>22.725849512790536</v>
      </c>
      <c r="AB176" s="21">
        <f>EXP(-LN(2)/2)*AB175+(1-EXP(-LN(2)/2))/(LN(2)/2)*V176*Y176*VLOOKUP('Données projet'!$B$9,Paramètres!$A$1:$I$89,3,0)*0.475*44/12</f>
        <v>2.8628132254546564E-4</v>
      </c>
      <c r="AC176" s="22">
        <f t="shared" si="163"/>
        <v>73.965216685117852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1.1368683772161603E-13</v>
      </c>
      <c r="AJ176" s="13">
        <f>AI176*VLOOKUP('Données projet'!$B$10,Paramètres!$A$1:$I$89,3,0)*VLOOKUP('Données projet'!$B$10,Paramètres!$A$1:$I$89,5,0)</f>
        <v>6.7984728957526396E-14</v>
      </c>
      <c r="AK176" s="13">
        <f t="shared" si="164"/>
        <v>1.0682447123141398E-12</v>
      </c>
      <c r="AL176" s="20">
        <f t="shared" si="165"/>
        <v>1.978932943548152E-12</v>
      </c>
      <c r="AM176" s="59">
        <f t="shared" si="113"/>
        <v>293.3333333333353</v>
      </c>
      <c r="AN176" s="59">
        <f ca="1">AVERAGE(OFFSET($AM$3,0,0,'Données projet'!$E$10+1,1))-AVERAGE(OFFSET($H$3,0,0,'Données projet'!$E$10+1,1))</f>
        <v>302.00825291248458</v>
      </c>
      <c r="AO176" s="59">
        <f t="shared" si="144"/>
        <v>307.35115839449355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14.81524390227078</v>
      </c>
      <c r="AV176" s="21">
        <f>EXP(-LN(2)/25)*AV175+(1-EXP(-LN(2)/25))/(LN(2)/25)*Calculateur!AQ176*Calculateur!AS176*VLOOKUP('Données projet'!$B$10,Paramètres!$A$1:$I$89,3,0)*0.475*44/12</f>
        <v>2.1113157920583516</v>
      </c>
      <c r="AW176" s="21">
        <f>EXP(-LN(2)/2)*AW175+(1-EXP(-LN(2)/2))/(LN(2)/2)*AQ176*AT176*VLOOKUP('Données projet'!$B$10,Paramètres!$A$1:$I$89,3,0)*0.475*44/12</f>
        <v>5.8840630742966053E-16</v>
      </c>
      <c r="AX176" s="21">
        <f t="shared" si="166"/>
        <v>16.926559694329132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-2.2737367544323206E-13</v>
      </c>
      <c r="BE176" s="13">
        <f>BD176*VLOOKUP('Données projet'!$B$11,Paramètres!$A$1:$I$89,3,0)*VLOOKUP('Données projet'!$B$11,Paramètres!$A$1:$I$89,5,0)</f>
        <v>-1.3596945791505279E-13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349.71285006949597</v>
      </c>
      <c r="BJ176" s="59">
        <f t="shared" si="146"/>
        <v>258.51550516456842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24.297986515912747</v>
      </c>
      <c r="BQ176" s="21">
        <f>EXP(-LN(2)/25)*BQ175+(1-EXP(-LN(2)/25))/(LN(2)/25)*Calculateur!BL176*Calculateur!BN176*VLOOKUP('Données projet'!$B$11,Paramètres!$A$1:$I$89,3,0)*0.475*44/12</f>
        <v>3.9267345452274829</v>
      </c>
      <c r="BR176" s="21">
        <f>EXP(-LN(2)/2)*BR175+(1-EXP(-LN(2)/2))/(LN(2)/2)*BL176*BO176*VLOOKUP('Données projet'!$B$11,Paramètres!$A$1:$I$89,3,0)*0.475*44/12</f>
        <v>7.1060267241991719E-13</v>
      </c>
      <c r="BS176" s="22">
        <f t="shared" si="169"/>
        <v>28.22472106114094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7.688333333333337</v>
      </c>
      <c r="N177" s="13">
        <f>IF('Données projet'!$A$36&gt;35,N176+M177-V176,IF(A177&lt;'Données projet'!$A$36,$K$205^A177,IF(A177='Données projet'!$A$36,'Données projet'!$B$36,N176+M177-V176)))</f>
        <v>410.40999999999968</v>
      </c>
      <c r="O177" s="13">
        <f>N177*VLOOKUP('Données projet'!$B$9,Paramètres!$A$1:$I$89,3,0)*VLOOKUP('Données projet'!$B$9,Paramètres!$A$1:$I$89,5,0)</f>
        <v>467.37490799999961</v>
      </c>
      <c r="P177" s="13">
        <f t="shared" si="141"/>
        <v>105.30970733733747</v>
      </c>
      <c r="Q177" s="20">
        <f t="shared" si="162"/>
        <v>997.42570504586217</v>
      </c>
      <c r="R177" s="59">
        <f t="shared" si="109"/>
        <v>1290.7590383791955</v>
      </c>
      <c r="S177" s="59">
        <f ca="1">AVERAGE(OFFSET($R$3,0,0,'Données projet'!$E$9+1,1))-AVERAGE(OFFSET($H$3,0,0,'Données projet'!$E$9+1,1))</f>
        <v>593.28343396240075</v>
      </c>
      <c r="T177" s="59">
        <f t="shared" si="142"/>
        <v>289.66477662068695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50.23431376748556</v>
      </c>
      <c r="AA177" s="21">
        <f>EXP(-LN(2)/25)*AA176+(1-EXP(-LN(2)/25))/(LN(2)/25)*Calculateur!V177*Calculateur!X177*VLOOKUP('Données projet'!$B$9,Paramètres!$A$1:$I$89,3,0)*0.475*44/12</f>
        <v>22.104409962762794</v>
      </c>
      <c r="AB177" s="21">
        <f>EXP(-LN(2)/2)*AB176+(1-EXP(-LN(2)/2))/(LN(2)/2)*V177*Y177*VLOOKUP('Données projet'!$B$9,Paramètres!$A$1:$I$89,3,0)*0.475*44/12</f>
        <v>2.0243146449895201E-4</v>
      </c>
      <c r="AC177" s="22">
        <f t="shared" si="163"/>
        <v>72.338926161712848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1.1368683772161603E-13</v>
      </c>
      <c r="AJ177" s="13">
        <f>AI177*VLOOKUP('Données projet'!$B$10,Paramètres!$A$1:$I$89,3,0)*VLOOKUP('Données projet'!$B$10,Paramètres!$A$1:$I$89,5,0)</f>
        <v>6.7984728957526396E-14</v>
      </c>
      <c r="AK177" s="13">
        <f t="shared" si="164"/>
        <v>1.0682447123141398E-12</v>
      </c>
      <c r="AL177" s="20">
        <f t="shared" si="165"/>
        <v>1.978932943548152E-12</v>
      </c>
      <c r="AM177" s="59">
        <f t="shared" si="113"/>
        <v>293.3333333333353</v>
      </c>
      <c r="AN177" s="59">
        <f ca="1">AVERAGE(OFFSET($AM$3,0,0,'Données projet'!$E$10+1,1))-AVERAGE(OFFSET($H$3,0,0,'Données projet'!$E$10+1,1))</f>
        <v>302.00825291248458</v>
      </c>
      <c r="AO177" s="59">
        <f t="shared" si="144"/>
        <v>307.35115839449355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14.524726005753759</v>
      </c>
      <c r="AV177" s="21">
        <f>EXP(-LN(2)/25)*AV176+(1-EXP(-LN(2)/25))/(LN(2)/25)*Calculateur!AQ177*Calculateur!AS177*VLOOKUP('Données projet'!$B$10,Paramètres!$A$1:$I$89,3,0)*0.475*44/12</f>
        <v>2.0535817506952441</v>
      </c>
      <c r="AW177" s="21">
        <f>EXP(-LN(2)/2)*AW176+(1-EXP(-LN(2)/2))/(LN(2)/2)*AQ177*AT177*VLOOKUP('Données projet'!$B$10,Paramètres!$A$1:$I$89,3,0)*0.475*44/12</f>
        <v>4.1606609007644939E-16</v>
      </c>
      <c r="AX177" s="21">
        <f t="shared" si="166"/>
        <v>16.578307756449004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-2.2737367544323206E-13</v>
      </c>
      <c r="BE177" s="13">
        <f>BD177*VLOOKUP('Données projet'!$B$11,Paramètres!$A$1:$I$89,3,0)*VLOOKUP('Données projet'!$B$11,Paramètres!$A$1:$I$89,5,0)</f>
        <v>-1.3596945791505279E-13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349.71285006949597</v>
      </c>
      <c r="BJ177" s="59">
        <f t="shared" si="146"/>
        <v>258.51550516456842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23.82151782064409</v>
      </c>
      <c r="BQ177" s="21">
        <f>EXP(-LN(2)/25)*BQ176+(1-EXP(-LN(2)/25))/(LN(2)/25)*Calculateur!BL177*Calculateur!BN177*VLOOKUP('Données projet'!$B$11,Paramètres!$A$1:$I$89,3,0)*0.475*44/12</f>
        <v>3.8193577825902425</v>
      </c>
      <c r="BR177" s="21">
        <f>EXP(-LN(2)/2)*BR176+(1-EXP(-LN(2)/2))/(LN(2)/2)*BL177*BO177*VLOOKUP('Données projet'!$B$11,Paramètres!$A$1:$I$89,3,0)*0.475*44/12</f>
        <v>5.0247196839740629E-13</v>
      </c>
      <c r="BS177" s="22">
        <f t="shared" si="169"/>
        <v>27.640875603234832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7.688333333333337</v>
      </c>
      <c r="N178" s="13">
        <f>IF('Données projet'!$A$36&gt;35,N177+M178-V177,IF(A178&lt;'Données projet'!$A$36,$K$205^A178,IF(A178='Données projet'!$A$36,'Données projet'!$B$36,N177+M178-V177)))</f>
        <v>418.09833333333302</v>
      </c>
      <c r="O178" s="13">
        <f>N178*VLOOKUP('Données projet'!$B$9,Paramètres!$A$1:$I$89,3,0)*VLOOKUP('Données projet'!$B$9,Paramètres!$A$1:$I$89,5,0)</f>
        <v>476.1303819999996</v>
      </c>
      <c r="P178" s="13">
        <f t="shared" si="141"/>
        <v>107.05098446387258</v>
      </c>
      <c r="Q178" s="20">
        <f t="shared" si="162"/>
        <v>1015.7075465912441</v>
      </c>
      <c r="R178" s="59">
        <f t="shared" si="109"/>
        <v>1309.0408799245774</v>
      </c>
      <c r="S178" s="59">
        <f ca="1">AVERAGE(OFFSET($R$3,0,0,'Données projet'!$E$9+1,1))-AVERAGE(OFFSET($H$3,0,0,'Données projet'!$E$9+1,1))</f>
        <v>593.28343396240075</v>
      </c>
      <c r="T178" s="59">
        <f t="shared" si="142"/>
        <v>289.66477662068695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49.249249514411126</v>
      </c>
      <c r="AA178" s="21">
        <f>EXP(-LN(2)/25)*AA177+(1-EXP(-LN(2)/25))/(LN(2)/25)*Calculateur!V178*Calculateur!X178*VLOOKUP('Données projet'!$B$9,Paramètres!$A$1:$I$89,3,0)*0.475*44/12</f>
        <v>21.499963709910645</v>
      </c>
      <c r="AB178" s="21">
        <f>EXP(-LN(2)/2)*AB177+(1-EXP(-LN(2)/2))/(LN(2)/2)*V178*Y178*VLOOKUP('Données projet'!$B$9,Paramètres!$A$1:$I$89,3,0)*0.475*44/12</f>
        <v>1.4314066127273282E-4</v>
      </c>
      <c r="AC178" s="22">
        <f t="shared" si="163"/>
        <v>70.749356364983058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1.1368683772161603E-13</v>
      </c>
      <c r="AJ178" s="13">
        <f>AI178*VLOOKUP('Données projet'!$B$10,Paramètres!$A$1:$I$89,3,0)*VLOOKUP('Données projet'!$B$10,Paramètres!$A$1:$I$89,5,0)</f>
        <v>6.7984728957526396E-14</v>
      </c>
      <c r="AK178" s="13">
        <f t="shared" si="164"/>
        <v>1.0682447123141398E-12</v>
      </c>
      <c r="AL178" s="20">
        <f t="shared" si="165"/>
        <v>1.978932943548152E-12</v>
      </c>
      <c r="AM178" s="59">
        <f t="shared" si="113"/>
        <v>293.3333333333353</v>
      </c>
      <c r="AN178" s="59">
        <f ca="1">AVERAGE(OFFSET($AM$3,0,0,'Données projet'!$E$10+1,1))-AVERAGE(OFFSET($H$3,0,0,'Données projet'!$E$10+1,1))</f>
        <v>302.00825291248458</v>
      </c>
      <c r="AO178" s="59">
        <f t="shared" si="144"/>
        <v>307.35115839449355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14.239904987989018</v>
      </c>
      <c r="AV178" s="21">
        <f>EXP(-LN(2)/25)*AV177+(1-EXP(-LN(2)/25))/(LN(2)/25)*Calculateur!AQ178*Calculateur!AS178*VLOOKUP('Données projet'!$B$10,Paramètres!$A$1:$I$89,3,0)*0.475*44/12</f>
        <v>1.9974264497293119</v>
      </c>
      <c r="AW178" s="21">
        <f>EXP(-LN(2)/2)*AW177+(1-EXP(-LN(2)/2))/(LN(2)/2)*AQ178*AT178*VLOOKUP('Données projet'!$B$10,Paramètres!$A$1:$I$89,3,0)*0.475*44/12</f>
        <v>2.9420315371483027E-16</v>
      </c>
      <c r="AX178" s="21">
        <f t="shared" si="166"/>
        <v>16.237331437718328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-2.2737367544323206E-13</v>
      </c>
      <c r="BE178" s="13">
        <f>BD178*VLOOKUP('Données projet'!$B$11,Paramètres!$A$1:$I$89,3,0)*VLOOKUP('Données projet'!$B$11,Paramètres!$A$1:$I$89,5,0)</f>
        <v>-1.3596945791505279E-13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349.71285006949597</v>
      </c>
      <c r="BJ178" s="59">
        <f t="shared" si="146"/>
        <v>258.51550516456842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23.35439238587244</v>
      </c>
      <c r="BQ178" s="21">
        <f>EXP(-LN(2)/25)*BQ177+(1-EXP(-LN(2)/25))/(LN(2)/25)*Calculateur!BL178*Calculateur!BN178*VLOOKUP('Données projet'!$B$11,Paramètres!$A$1:$I$89,3,0)*0.475*44/12</f>
        <v>3.7149172431740158</v>
      </c>
      <c r="BR178" s="21">
        <f>EXP(-LN(2)/2)*BR177+(1-EXP(-LN(2)/2))/(LN(2)/2)*BL178*BO178*VLOOKUP('Données projet'!$B$11,Paramètres!$A$1:$I$89,3,0)*0.475*44/12</f>
        <v>3.553013362099586E-13</v>
      </c>
      <c r="BS178" s="22">
        <f t="shared" si="169"/>
        <v>27.069309629046813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7.688333333333337</v>
      </c>
      <c r="N179" s="13">
        <f>IF('Données projet'!$A$36&gt;35,N178+M179-V178,IF(A179&lt;'Données projet'!$A$36,$K$205^A179,IF(A179='Données projet'!$A$36,'Données projet'!$B$36,N178+M179-V178)))</f>
        <v>425.78666666666635</v>
      </c>
      <c r="O179" s="13">
        <f>N179*VLOOKUP('Données projet'!$B$9,Paramètres!$A$1:$I$89,3,0)*VLOOKUP('Données projet'!$B$9,Paramètres!$A$1:$I$89,5,0)</f>
        <v>484.88585599999959</v>
      </c>
      <c r="P179" s="13">
        <f t="shared" si="141"/>
        <v>108.78853822373283</v>
      </c>
      <c r="Q179" s="20">
        <f t="shared" si="162"/>
        <v>1033.9829032730006</v>
      </c>
      <c r="R179" s="59">
        <f t="shared" si="109"/>
        <v>1327.3162366063339</v>
      </c>
      <c r="S179" s="59">
        <f ca="1">AVERAGE(OFFSET($R$3,0,0,'Données projet'!$E$9+1,1))-AVERAGE(OFFSET($H$3,0,0,'Données projet'!$E$9+1,1))</f>
        <v>593.28343396240075</v>
      </c>
      <c r="T179" s="59">
        <f t="shared" si="142"/>
        <v>289.66477662068695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48.283501770509616</v>
      </c>
      <c r="AA179" s="21">
        <f>EXP(-LN(2)/25)*AA178+(1-EXP(-LN(2)/25))/(LN(2)/25)*Calculateur!V179*Calculateur!X179*VLOOKUP('Données projet'!$B$9,Paramètres!$A$1:$I$89,3,0)*0.475*44/12</f>
        <v>20.912046071629184</v>
      </c>
      <c r="AB179" s="21">
        <f>EXP(-LN(2)/2)*AB178+(1-EXP(-LN(2)/2))/(LN(2)/2)*V179*Y179*VLOOKUP('Données projet'!$B$9,Paramètres!$A$1:$I$89,3,0)*0.475*44/12</f>
        <v>1.0121573224947601E-4</v>
      </c>
      <c r="AC179" s="22">
        <f t="shared" si="163"/>
        <v>69.195649057871051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1.1368683772161603E-13</v>
      </c>
      <c r="AJ179" s="13">
        <f>AI179*VLOOKUP('Données projet'!$B$10,Paramètres!$A$1:$I$89,3,0)*VLOOKUP('Données projet'!$B$10,Paramètres!$A$1:$I$89,5,0)</f>
        <v>6.7984728957526396E-14</v>
      </c>
      <c r="AK179" s="13">
        <f t="shared" si="164"/>
        <v>1.0682447123141398E-12</v>
      </c>
      <c r="AL179" s="20">
        <f t="shared" si="165"/>
        <v>1.978932943548152E-12</v>
      </c>
      <c r="AM179" s="59">
        <f t="shared" si="113"/>
        <v>293.3333333333353</v>
      </c>
      <c r="AN179" s="59">
        <f ca="1">AVERAGE(OFFSET($AM$3,0,0,'Données projet'!$E$10+1,1))-AVERAGE(OFFSET($H$3,0,0,'Données projet'!$E$10+1,1))</f>
        <v>302.00825291248458</v>
      </c>
      <c r="AO179" s="59">
        <f t="shared" si="144"/>
        <v>307.35115839449355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13.960669136658975</v>
      </c>
      <c r="AV179" s="21">
        <f>EXP(-LN(2)/25)*AV178+(1-EXP(-LN(2)/25))/(LN(2)/25)*Calculateur!AQ179*Calculateur!AS179*VLOOKUP('Données projet'!$B$10,Paramètres!$A$1:$I$89,3,0)*0.475*44/12</f>
        <v>1.942806718421372</v>
      </c>
      <c r="AW179" s="21">
        <f>EXP(-LN(2)/2)*AW178+(1-EXP(-LN(2)/2))/(LN(2)/2)*AQ179*AT179*VLOOKUP('Données projet'!$B$10,Paramètres!$A$1:$I$89,3,0)*0.475*44/12</f>
        <v>2.0803304503822469E-16</v>
      </c>
      <c r="AX179" s="21">
        <f t="shared" si="166"/>
        <v>15.903475855080346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-2.2737367544323206E-13</v>
      </c>
      <c r="BE179" s="13">
        <f>BD179*VLOOKUP('Données projet'!$B$11,Paramètres!$A$1:$I$89,3,0)*VLOOKUP('Données projet'!$B$11,Paramètres!$A$1:$I$89,5,0)</f>
        <v>-1.3596945791505279E-13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349.71285006949597</v>
      </c>
      <c r="BJ179" s="59">
        <f t="shared" si="146"/>
        <v>258.51550516456842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22.896426995958283</v>
      </c>
      <c r="BQ179" s="21">
        <f>EXP(-LN(2)/25)*BQ178+(1-EXP(-LN(2)/25))/(LN(2)/25)*Calculateur!BL179*Calculateur!BN179*VLOOKUP('Données projet'!$B$11,Paramètres!$A$1:$I$89,3,0)*0.475*44/12</f>
        <v>3.6133326358004152</v>
      </c>
      <c r="BR179" s="21">
        <f>EXP(-LN(2)/2)*BR178+(1-EXP(-LN(2)/2))/(LN(2)/2)*BL179*BO179*VLOOKUP('Données projet'!$B$11,Paramètres!$A$1:$I$89,3,0)*0.475*44/12</f>
        <v>2.5123598419870315E-13</v>
      </c>
      <c r="BS179" s="22">
        <f t="shared" si="169"/>
        <v>26.50975963175895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7.688333333333337</v>
      </c>
      <c r="N180" s="13">
        <f>IF('Données projet'!$A$36&gt;35,N179+M180-V179,IF(A180&lt;'Données projet'!$A$36,$K$205^A180,IF(A180='Données projet'!$A$36,'Données projet'!$B$36,N179+M180-V179)))</f>
        <v>433.47499999999968</v>
      </c>
      <c r="O180" s="13">
        <f>N180*VLOOKUP('Données projet'!$B$9,Paramètres!$A$1:$I$89,3,0)*VLOOKUP('Données projet'!$B$9,Paramètres!$A$1:$I$89,5,0)</f>
        <v>493.64132999999958</v>
      </c>
      <c r="P180" s="13">
        <f t="shared" si="141"/>
        <v>110.52244360410316</v>
      </c>
      <c r="Q180" s="20">
        <f t="shared" si="162"/>
        <v>1052.2519056938124</v>
      </c>
      <c r="R180" s="59">
        <f t="shared" si="109"/>
        <v>1345.5852390271457</v>
      </c>
      <c r="S180" s="59">
        <f ca="1">AVERAGE(OFFSET($R$3,0,0,'Données projet'!$E$9+1,1))-AVERAGE(OFFSET($H$3,0,0,'Données projet'!$E$9+1,1))</f>
        <v>593.28343396240075</v>
      </c>
      <c r="T180" s="59">
        <f t="shared" si="142"/>
        <v>289.66477662068695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47.336691750818055</v>
      </c>
      <c r="AA180" s="21">
        <f>EXP(-LN(2)/25)*AA179+(1-EXP(-LN(2)/25))/(LN(2)/25)*Calculateur!V180*Calculateur!X180*VLOOKUP('Données projet'!$B$9,Paramètres!$A$1:$I$89,3,0)*0.475*44/12</f>
        <v>20.340205072083776</v>
      </c>
      <c r="AB180" s="21">
        <f>EXP(-LN(2)/2)*AB179+(1-EXP(-LN(2)/2))/(LN(2)/2)*V180*Y180*VLOOKUP('Données projet'!$B$9,Paramètres!$A$1:$I$89,3,0)*0.475*44/12</f>
        <v>7.1570330636366411E-5</v>
      </c>
      <c r="AC180" s="22">
        <f t="shared" si="163"/>
        <v>67.676968393232457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1.1368683772161603E-13</v>
      </c>
      <c r="AJ180" s="13">
        <f>AI180*VLOOKUP('Données projet'!$B$10,Paramètres!$A$1:$I$89,3,0)*VLOOKUP('Données projet'!$B$10,Paramètres!$A$1:$I$89,5,0)</f>
        <v>6.7984728957526396E-14</v>
      </c>
      <c r="AK180" s="13">
        <f t="shared" si="164"/>
        <v>1.0682447123141398E-12</v>
      </c>
      <c r="AL180" s="20">
        <f t="shared" si="165"/>
        <v>1.978932943548152E-12</v>
      </c>
      <c r="AM180" s="59">
        <f t="shared" si="113"/>
        <v>293.3333333333353</v>
      </c>
      <c r="AN180" s="59">
        <f ca="1">AVERAGE(OFFSET($AM$3,0,0,'Données projet'!$E$10+1,1))-AVERAGE(OFFSET($H$3,0,0,'Données projet'!$E$10+1,1))</f>
        <v>302.00825291248458</v>
      </c>
      <c r="AO180" s="59">
        <f t="shared" si="144"/>
        <v>307.35115839449355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13.686908930056463</v>
      </c>
      <c r="AV180" s="21">
        <f>EXP(-LN(2)/25)*AV179+(1-EXP(-LN(2)/25))/(LN(2)/25)*Calculateur!AQ180*Calculateur!AS180*VLOOKUP('Données projet'!$B$10,Paramètres!$A$1:$I$89,3,0)*0.475*44/12</f>
        <v>1.8896805665383747</v>
      </c>
      <c r="AW180" s="21">
        <f>EXP(-LN(2)/2)*AW179+(1-EXP(-LN(2)/2))/(LN(2)/2)*AQ180*AT180*VLOOKUP('Données projet'!$B$10,Paramètres!$A$1:$I$89,3,0)*0.475*44/12</f>
        <v>1.4710157685741513E-16</v>
      </c>
      <c r="AX180" s="21">
        <f t="shared" si="166"/>
        <v>15.576589496594838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-2.2737367544323206E-13</v>
      </c>
      <c r="BE180" s="13">
        <f>BD180*VLOOKUP('Données projet'!$B$11,Paramètres!$A$1:$I$89,3,0)*VLOOKUP('Données projet'!$B$11,Paramètres!$A$1:$I$89,5,0)</f>
        <v>-1.3596945791505279E-13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349.71285006949597</v>
      </c>
      <c r="BJ180" s="59">
        <f t="shared" si="146"/>
        <v>258.51550516456842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22.447442028009036</v>
      </c>
      <c r="BQ180" s="21">
        <f>EXP(-LN(2)/25)*BQ179+(1-EXP(-LN(2)/25))/(LN(2)/25)*Calculateur!BL180*Calculateur!BN180*VLOOKUP('Données projet'!$B$11,Paramètres!$A$1:$I$89,3,0)*0.475*44/12</f>
        <v>3.5145258648575477</v>
      </c>
      <c r="BR180" s="21">
        <f>EXP(-LN(2)/2)*BR179+(1-EXP(-LN(2)/2))/(LN(2)/2)*BL180*BO180*VLOOKUP('Données projet'!$B$11,Paramètres!$A$1:$I$89,3,0)*0.475*44/12</f>
        <v>1.776506681049793E-13</v>
      </c>
      <c r="BS180" s="22">
        <f t="shared" si="169"/>
        <v>25.96196789286676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7.688333333333337</v>
      </c>
      <c r="N181" s="13">
        <f>IF('Données projet'!$A$36&gt;35,N180+M181-V180,IF(A181&lt;'Données projet'!$A$36,$K$205^A181,IF(A181='Données projet'!$A$36,'Données projet'!$B$36,N180+M181-V180)))</f>
        <v>441.16333333333301</v>
      </c>
      <c r="O181" s="13">
        <f>N181*VLOOKUP('Données projet'!$B$9,Paramètres!$A$1:$I$89,3,0)*VLOOKUP('Données projet'!$B$9,Paramètres!$A$1:$I$89,5,0)</f>
        <v>502.39680399999969</v>
      </c>
      <c r="P181" s="13">
        <f t="shared" si="141"/>
        <v>112.25277277979573</v>
      </c>
      <c r="Q181" s="20">
        <f t="shared" si="162"/>
        <v>1070.5146795581438</v>
      </c>
      <c r="R181" s="59">
        <f t="shared" si="109"/>
        <v>1363.8480128914771</v>
      </c>
      <c r="S181" s="59">
        <f ca="1">AVERAGE(OFFSET($R$3,0,0,'Données projet'!$E$9+1,1))-AVERAGE(OFFSET($H$3,0,0,'Données projet'!$E$9+1,1))</f>
        <v>593.28343396240075</v>
      </c>
      <c r="T181" s="59">
        <f t="shared" si="142"/>
        <v>289.66477662068695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46.408448098115556</v>
      </c>
      <c r="AA181" s="21">
        <f>EXP(-LN(2)/25)*AA180+(1-EXP(-LN(2)/25))/(LN(2)/25)*Calculateur!V181*Calculateur!X181*VLOOKUP('Données projet'!$B$9,Paramètres!$A$1:$I$89,3,0)*0.475*44/12</f>
        <v>19.784001094742749</v>
      </c>
      <c r="AB181" s="21">
        <f>EXP(-LN(2)/2)*AB180+(1-EXP(-LN(2)/2))/(LN(2)/2)*V181*Y181*VLOOKUP('Données projet'!$B$9,Paramètres!$A$1:$I$89,3,0)*0.475*44/12</f>
        <v>5.0607866124738003E-5</v>
      </c>
      <c r="AC181" s="22">
        <f t="shared" si="163"/>
        <v>66.192499800724434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1.1368683772161603E-13</v>
      </c>
      <c r="AJ181" s="13">
        <f>AI181*VLOOKUP('Données projet'!$B$10,Paramètres!$A$1:$I$89,3,0)*VLOOKUP('Données projet'!$B$10,Paramètres!$A$1:$I$89,5,0)</f>
        <v>6.7984728957526396E-14</v>
      </c>
      <c r="AK181" s="13">
        <f t="shared" si="164"/>
        <v>1.0682447123141398E-12</v>
      </c>
      <c r="AL181" s="20">
        <f t="shared" si="165"/>
        <v>1.978932943548152E-12</v>
      </c>
      <c r="AM181" s="59">
        <f t="shared" si="113"/>
        <v>293.3333333333353</v>
      </c>
      <c r="AN181" s="59">
        <f ca="1">AVERAGE(OFFSET($AM$3,0,0,'Données projet'!$E$10+1,1))-AVERAGE(OFFSET($H$3,0,0,'Données projet'!$E$10+1,1))</f>
        <v>302.00825291248458</v>
      </c>
      <c r="AO181" s="59">
        <f t="shared" si="144"/>
        <v>307.35115839449355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13.418516994128188</v>
      </c>
      <c r="AV181" s="21">
        <f>EXP(-LN(2)/25)*AV180+(1-EXP(-LN(2)/25))/(LN(2)/25)*Calculateur!AQ181*Calculateur!AS181*VLOOKUP('Données projet'!$B$10,Paramètres!$A$1:$I$89,3,0)*0.475*44/12</f>
        <v>1.8380071520724008</v>
      </c>
      <c r="AW181" s="21">
        <f>EXP(-LN(2)/2)*AW180+(1-EXP(-LN(2)/2))/(LN(2)/2)*AQ181*AT181*VLOOKUP('Données projet'!$B$10,Paramètres!$A$1:$I$89,3,0)*0.475*44/12</f>
        <v>1.0401652251911235E-16</v>
      </c>
      <c r="AX181" s="21">
        <f t="shared" si="166"/>
        <v>15.256524146200588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-2.2737367544323206E-13</v>
      </c>
      <c r="BE181" s="13">
        <f>BD181*VLOOKUP('Données projet'!$B$11,Paramètres!$A$1:$I$89,3,0)*VLOOKUP('Données projet'!$B$11,Paramètres!$A$1:$I$89,5,0)</f>
        <v>-1.3596945791505279E-13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349.71285006949597</v>
      </c>
      <c r="BJ181" s="59">
        <f t="shared" si="146"/>
        <v>258.51550516456842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22.007261381427483</v>
      </c>
      <c r="BQ181" s="21">
        <f>EXP(-LN(2)/25)*BQ180+(1-EXP(-LN(2)/25))/(LN(2)/25)*Calculateur!BL181*Calculateur!BN181*VLOOKUP('Données projet'!$B$11,Paramètres!$A$1:$I$89,3,0)*0.475*44/12</f>
        <v>3.4184209702621353</v>
      </c>
      <c r="BR181" s="21">
        <f>EXP(-LN(2)/2)*BR180+(1-EXP(-LN(2)/2))/(LN(2)/2)*BL181*BO181*VLOOKUP('Données projet'!$B$11,Paramètres!$A$1:$I$89,3,0)*0.475*44/12</f>
        <v>1.2561799209935157E-13</v>
      </c>
      <c r="BS181" s="22">
        <f t="shared" si="169"/>
        <v>25.425682351689744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7.688333333333337</v>
      </c>
      <c r="N182" s="13">
        <f>IF('Données projet'!$A$36&gt;35,N181+M182-V181,IF(A182&lt;'Données projet'!$A$36,$K$205^A182,IF(A182='Données projet'!$A$36,'Données projet'!$B$36,N181+M182-V181)))</f>
        <v>448.85166666666635</v>
      </c>
      <c r="O182" s="13">
        <f>N182*VLOOKUP('Données projet'!$B$9,Paramètres!$A$1:$I$89,3,0)*VLOOKUP('Données projet'!$B$9,Paramètres!$A$1:$I$89,5,0)</f>
        <v>511.15227799999968</v>
      </c>
      <c r="P182" s="13">
        <f t="shared" si="141"/>
        <v>113.9795952658682</v>
      </c>
      <c r="Q182" s="20">
        <f t="shared" si="162"/>
        <v>1088.7713459380532</v>
      </c>
      <c r="R182" s="59">
        <f t="shared" si="109"/>
        <v>1382.1046792713864</v>
      </c>
      <c r="S182" s="59">
        <f ca="1">AVERAGE(OFFSET($R$3,0,0,'Données projet'!$E$9+1,1))-AVERAGE(OFFSET($H$3,0,0,'Données projet'!$E$9+1,1))</f>
        <v>593.28343396240075</v>
      </c>
      <c r="T182" s="59">
        <f t="shared" si="142"/>
        <v>289.66477662068695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45.498406737269832</v>
      </c>
      <c r="AA182" s="21">
        <f>EXP(-LN(2)/25)*AA181+(1-EXP(-LN(2)/25))/(LN(2)/25)*Calculateur!V182*Calculateur!X182*VLOOKUP('Données projet'!$B$9,Paramètres!$A$1:$I$89,3,0)*0.475*44/12</f>
        <v>19.243006544411607</v>
      </c>
      <c r="AB182" s="21">
        <f>EXP(-LN(2)/2)*AB181+(1-EXP(-LN(2)/2))/(LN(2)/2)*V182*Y182*VLOOKUP('Données projet'!$B$9,Paramètres!$A$1:$I$89,3,0)*0.475*44/12</f>
        <v>3.5785165318183205E-5</v>
      </c>
      <c r="AC182" s="22">
        <f t="shared" si="163"/>
        <v>64.741449066846769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1.1368683772161603E-13</v>
      </c>
      <c r="AJ182" s="13">
        <f>AI182*VLOOKUP('Données projet'!$B$10,Paramètres!$A$1:$I$89,3,0)*VLOOKUP('Données projet'!$B$10,Paramètres!$A$1:$I$89,5,0)</f>
        <v>6.7984728957526396E-14</v>
      </c>
      <c r="AK182" s="13">
        <f t="shared" si="164"/>
        <v>1.0682447123141398E-12</v>
      </c>
      <c r="AL182" s="20">
        <f t="shared" si="165"/>
        <v>1.978932943548152E-12</v>
      </c>
      <c r="AM182" s="59">
        <f t="shared" si="113"/>
        <v>293.3333333333353</v>
      </c>
      <c r="AN182" s="59">
        <f ca="1">AVERAGE(OFFSET($AM$3,0,0,'Données projet'!$E$10+1,1))-AVERAGE(OFFSET($H$3,0,0,'Données projet'!$E$10+1,1))</f>
        <v>302.00825291248458</v>
      </c>
      <c r="AO182" s="59">
        <f t="shared" si="144"/>
        <v>307.35115839449355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13.155388060360551</v>
      </c>
      <c r="AV182" s="21">
        <f>EXP(-LN(2)/25)*AV181+(1-EXP(-LN(2)/25))/(LN(2)/25)*Calculateur!AQ182*Calculateur!AS182*VLOOKUP('Données projet'!$B$10,Paramètres!$A$1:$I$89,3,0)*0.475*44/12</f>
        <v>1.7877467498423858</v>
      </c>
      <c r="AW182" s="21">
        <f>EXP(-LN(2)/2)*AW181+(1-EXP(-LN(2)/2))/(LN(2)/2)*AQ182*AT182*VLOOKUP('Données projet'!$B$10,Paramètres!$A$1:$I$89,3,0)*0.475*44/12</f>
        <v>7.3550788428707566E-17</v>
      </c>
      <c r="AX182" s="21">
        <f t="shared" si="166"/>
        <v>14.943134810202936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-2.2737367544323206E-13</v>
      </c>
      <c r="BE182" s="13">
        <f>BD182*VLOOKUP('Données projet'!$B$11,Paramètres!$A$1:$I$89,3,0)*VLOOKUP('Données projet'!$B$11,Paramètres!$A$1:$I$89,5,0)</f>
        <v>-1.3596945791505279E-13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349.71285006949597</v>
      </c>
      <c r="BJ182" s="59">
        <f t="shared" si="146"/>
        <v>258.51550516456842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21.57571240884171</v>
      </c>
      <c r="BQ182" s="21">
        <f>EXP(-LN(2)/25)*BQ181+(1-EXP(-LN(2)/25))/(LN(2)/25)*Calculateur!BL182*Calculateur!BN182*VLOOKUP('Données projet'!$B$11,Paramètres!$A$1:$I$89,3,0)*0.475*44/12</f>
        <v>3.3249440690633714</v>
      </c>
      <c r="BR182" s="21">
        <f>EXP(-LN(2)/2)*BR181+(1-EXP(-LN(2)/2))/(LN(2)/2)*BL182*BO182*VLOOKUP('Données projet'!$B$11,Paramètres!$A$1:$I$89,3,0)*0.475*44/12</f>
        <v>8.8825334052489649E-14</v>
      </c>
      <c r="BS182" s="22">
        <f t="shared" si="169"/>
        <v>24.900656477905169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>
        <f>VLOOKUP(A183,'Données projet'!$A$35:$I$55,2,0)</f>
        <v>456.54</v>
      </c>
      <c r="L183" s="12">
        <f>VLOOKUP(A183,'Données projet'!$A$35:$I$55,9,0)</f>
        <v>7.688333333333337</v>
      </c>
      <c r="M183" s="12">
        <f t="array" ref="M183">INDEX(L:L,MIN(IF(ISNUMBER(L183:L379),ROW(L183:L379),"")))</f>
        <v>7.688333333333337</v>
      </c>
      <c r="N183" s="13">
        <f>IF('Données projet'!$A$36&gt;35,N182+M183-V182,IF(A183&lt;'Données projet'!$A$36,$K$205^A183,IF(A183='Données projet'!$A$36,'Données projet'!$B$36,N182+M183-V182)))</f>
        <v>456.53999999999968</v>
      </c>
      <c r="O183" s="13">
        <f>N183*VLOOKUP('Données projet'!$B$9,Paramètres!$A$1:$I$89,3,0)*VLOOKUP('Données projet'!$B$9,Paramètres!$A$1:$I$89,5,0)</f>
        <v>519.90775199999962</v>
      </c>
      <c r="P183" s="13">
        <f t="shared" si="141"/>
        <v>115.70297805948883</v>
      </c>
      <c r="Q183" s="20">
        <f t="shared" si="162"/>
        <v>1107.0220215202758</v>
      </c>
      <c r="R183" s="59">
        <f t="shared" si="109"/>
        <v>1400.355354853609</v>
      </c>
      <c r="S183" s="59">
        <f ca="1">AVERAGE(OFFSET($R$3,0,0,'Données projet'!$E$9+1,1))-AVERAGE(OFFSET($H$3,0,0,'Données projet'!$E$9+1,1))</f>
        <v>593.28343396240075</v>
      </c>
      <c r="T183" s="59">
        <f t="shared" si="142"/>
        <v>289.66477662068695</v>
      </c>
      <c r="U183" s="15">
        <f>IF(ISNA(VLOOKUP(A183,'Données projet'!$A$35:$I$55,3,0)),0,VLOOKUP(A183,'Données projet'!$A$35:$I$55,3,0))</f>
        <v>13</v>
      </c>
      <c r="V183" s="15">
        <f>IF(ISNA(VLOOKUP(A183,'Données projet'!$A$35:$I$55,4,0)),0,VLOOKUP(A183,'Données projet'!$A$35:$I$55,4,0))</f>
        <v>175.59000000000003</v>
      </c>
      <c r="W183" s="16">
        <f>IF(ISNA(VLOOKUP(A183,'Données projet'!$A$35:$I$55,5,0)),0%,VLOOKUP(A183,'Données projet'!$A$35:$I$55,5,0)*VLOOKUP('Données projet'!$B$9,Paramètres!$A$1:$I$89,7,0))</f>
        <v>0.215</v>
      </c>
      <c r="X183" s="16">
        <f>IF(ISNA(VLOOKUP(A183,'Données projet'!$A$35:$I$55,6,0)),0%,VLOOKUP(A183,'Données projet'!$A$35:$I$55,6,0)*VLOOKUP('Données projet'!$B$9,Paramètres!$A$1:$I$89,7,0))</f>
        <v>8.6000000000000007E-2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92.132379690333735</v>
      </c>
      <c r="AA183" s="21">
        <f>EXP(-LN(2)/25)*AA182+(1-EXP(-LN(2)/25))/(LN(2)/25)*Calculateur!V183*Calculateur!X183*VLOOKUP('Données projet'!$B$9,Paramètres!$A$1:$I$89,3,0)*0.475*44/12</f>
        <v>37.652421647235556</v>
      </c>
      <c r="AB183" s="21">
        <f>EXP(-LN(2)/2)*AB182+(1-EXP(-LN(2)/2))/(LN(2)/2)*V183*Y183*VLOOKUP('Données projet'!$B$9,Paramètres!$A$1:$I$89,3,0)*0.475*44/12</f>
        <v>2.5303933062369001E-5</v>
      </c>
      <c r="AC183" s="22">
        <f t="shared" si="163"/>
        <v>129.78482664150235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1.1368683772161603E-13</v>
      </c>
      <c r="AJ183" s="13">
        <f>AI183*VLOOKUP('Données projet'!$B$10,Paramètres!$A$1:$I$89,3,0)*VLOOKUP('Données projet'!$B$10,Paramètres!$A$1:$I$89,5,0)</f>
        <v>6.7984728957526396E-14</v>
      </c>
      <c r="AK183" s="13">
        <f t="shared" si="164"/>
        <v>1.0682447123141398E-12</v>
      </c>
      <c r="AL183" s="20">
        <f t="shared" si="165"/>
        <v>1.978932943548152E-12</v>
      </c>
      <c r="AM183" s="59">
        <f t="shared" si="113"/>
        <v>293.3333333333353</v>
      </c>
      <c r="AN183" s="59">
        <f ca="1">AVERAGE(OFFSET($AM$3,0,0,'Données projet'!$E$10+1,1))-AVERAGE(OFFSET($H$3,0,0,'Données projet'!$E$10+1,1))</f>
        <v>302.00825291248458</v>
      </c>
      <c r="AO183" s="59">
        <f t="shared" si="144"/>
        <v>307.35115839449355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12.897418924491294</v>
      </c>
      <c r="AV183" s="21">
        <f>EXP(-LN(2)/25)*AV182+(1-EXP(-LN(2)/25))/(LN(2)/25)*Calculateur!AQ183*Calculateur!AS183*VLOOKUP('Données projet'!$B$10,Paramètres!$A$1:$I$89,3,0)*0.475*44/12</f>
        <v>1.7388607209544302</v>
      </c>
      <c r="AW183" s="21">
        <f>EXP(-LN(2)/2)*AW182+(1-EXP(-LN(2)/2))/(LN(2)/2)*AQ183*AT183*VLOOKUP('Données projet'!$B$10,Paramètres!$A$1:$I$89,3,0)*0.475*44/12</f>
        <v>5.2008261259556173E-17</v>
      </c>
      <c r="AX183" s="21">
        <f t="shared" si="166"/>
        <v>14.636279645445725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-2.2737367544323206E-13</v>
      </c>
      <c r="BE183" s="13">
        <f>BD183*VLOOKUP('Données projet'!$B$11,Paramètres!$A$1:$I$89,3,0)*VLOOKUP('Données projet'!$B$11,Paramètres!$A$1:$I$89,5,0)</f>
        <v>-1.3596945791505279E-13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349.71285006949597</v>
      </c>
      <c r="BJ183" s="59">
        <f t="shared" si="146"/>
        <v>258.51550516456842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21.152625848389462</v>
      </c>
      <c r="BQ183" s="21">
        <f>EXP(-LN(2)/25)*BQ182+(1-EXP(-LN(2)/25))/(LN(2)/25)*Calculateur!BL183*Calculateur!BN183*VLOOKUP('Données projet'!$B$11,Paramètres!$A$1:$I$89,3,0)*0.475*44/12</f>
        <v>3.2340232986436241</v>
      </c>
      <c r="BR183" s="21">
        <f>EXP(-LN(2)/2)*BR182+(1-EXP(-LN(2)/2))/(LN(2)/2)*BL183*BO183*VLOOKUP('Données projet'!$B$11,Paramètres!$A$1:$I$89,3,0)*0.475*44/12</f>
        <v>6.2808996049675786E-14</v>
      </c>
      <c r="BS183" s="22">
        <f t="shared" si="169"/>
        <v>24.38664914703315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4.7974999999999994</v>
      </c>
      <c r="N184" s="13">
        <f>IF('Données projet'!$A$36&gt;35,N183+M184-V183,IF(A184&lt;'Données projet'!$A$36,$K$205^A184,IF(A184='Données projet'!$A$36,'Données projet'!$B$36,N183+M184-V183)))</f>
        <v>285.74749999999966</v>
      </c>
      <c r="O184" s="13">
        <f>N184*VLOOKUP('Données projet'!$B$9,Paramètres!$A$1:$I$89,3,0)*VLOOKUP('Données projet'!$B$9,Paramètres!$A$1:$I$89,5,0)</f>
        <v>325.40925299999964</v>
      </c>
      <c r="P184" s="13">
        <f t="shared" si="141"/>
        <v>76.477753575181453</v>
      </c>
      <c r="Q184" s="20">
        <f t="shared" si="162"/>
        <v>699.95320311844034</v>
      </c>
      <c r="R184" s="59">
        <f t="shared" si="109"/>
        <v>993.2865364517736</v>
      </c>
      <c r="S184" s="59">
        <f ca="1">AVERAGE(OFFSET($R$3,0,0,'Données projet'!$E$9+1,1))-AVERAGE(OFFSET($H$3,0,0,'Données projet'!$E$9+1,1))</f>
        <v>593.28343396240075</v>
      </c>
      <c r="T184" s="59">
        <f t="shared" si="142"/>
        <v>289.66477662068695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90.325719919809089</v>
      </c>
      <c r="AA184" s="21">
        <f>EXP(-LN(2)/25)*AA183+(1-EXP(-LN(2)/25))/(LN(2)/25)*Calculateur!V184*Calculateur!X184*VLOOKUP('Données projet'!$B$9,Paramètres!$A$1:$I$89,3,0)*0.475*44/12</f>
        <v>36.622814197237098</v>
      </c>
      <c r="AB184" s="21">
        <f>EXP(-LN(2)/2)*AB183+(1-EXP(-LN(2)/2))/(LN(2)/2)*V184*Y184*VLOOKUP('Données projet'!$B$9,Paramètres!$A$1:$I$89,3,0)*0.475*44/12</f>
        <v>1.7892582659091603E-5</v>
      </c>
      <c r="AC184" s="22">
        <f t="shared" si="163"/>
        <v>126.94855200962886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1.1368683772161603E-13</v>
      </c>
      <c r="AJ184" s="13">
        <f>AI184*VLOOKUP('Données projet'!$B$10,Paramètres!$A$1:$I$89,3,0)*VLOOKUP('Données projet'!$B$10,Paramètres!$A$1:$I$89,5,0)</f>
        <v>6.7984728957526396E-14</v>
      </c>
      <c r="AK184" s="13">
        <f t="shared" si="164"/>
        <v>1.0682447123141398E-12</v>
      </c>
      <c r="AL184" s="20">
        <f t="shared" si="165"/>
        <v>1.978932943548152E-12</v>
      </c>
      <c r="AM184" s="59">
        <f t="shared" si="113"/>
        <v>293.3333333333353</v>
      </c>
      <c r="AN184" s="59">
        <f ca="1">AVERAGE(OFFSET($AM$3,0,0,'Données projet'!$E$10+1,1))-AVERAGE(OFFSET($H$3,0,0,'Données projet'!$E$10+1,1))</f>
        <v>302.00825291248458</v>
      </c>
      <c r="AO184" s="59">
        <f t="shared" si="144"/>
        <v>307.35115839449355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12.644508406030797</v>
      </c>
      <c r="AV184" s="21">
        <f>EXP(-LN(2)/25)*AV183+(1-EXP(-LN(2)/25))/(LN(2)/25)*Calculateur!AQ184*Calculateur!AS184*VLOOKUP('Données projet'!$B$10,Paramètres!$A$1:$I$89,3,0)*0.475*44/12</f>
        <v>1.6913114830972202</v>
      </c>
      <c r="AW184" s="21">
        <f>EXP(-LN(2)/2)*AW183+(1-EXP(-LN(2)/2))/(LN(2)/2)*AQ184*AT184*VLOOKUP('Données projet'!$B$10,Paramètres!$A$1:$I$89,3,0)*0.475*44/12</f>
        <v>3.6775394214353783E-17</v>
      </c>
      <c r="AX184" s="21">
        <f t="shared" si="166"/>
        <v>14.335819889128016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-2.2737367544323206E-13</v>
      </c>
      <c r="BE184" s="13">
        <f>BD184*VLOOKUP('Données projet'!$B$11,Paramètres!$A$1:$I$89,3,0)*VLOOKUP('Données projet'!$B$11,Paramètres!$A$1:$I$89,5,0)</f>
        <v>-1.3596945791505279E-13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349.71285006949597</v>
      </c>
      <c r="BJ184" s="59">
        <f t="shared" si="146"/>
        <v>258.51550516456842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20.737835757330362</v>
      </c>
      <c r="BQ184" s="21">
        <f>EXP(-LN(2)/25)*BQ183+(1-EXP(-LN(2)/25))/(LN(2)/25)*Calculateur!BL184*Calculateur!BN184*VLOOKUP('Données projet'!$B$11,Paramètres!$A$1:$I$89,3,0)*0.475*44/12</f>
        <v>3.1455887614723204</v>
      </c>
      <c r="BR184" s="21">
        <f>EXP(-LN(2)/2)*BR183+(1-EXP(-LN(2)/2))/(LN(2)/2)*BL184*BO184*VLOOKUP('Données projet'!$B$11,Paramètres!$A$1:$I$89,3,0)*0.475*44/12</f>
        <v>4.4412667026244825E-14</v>
      </c>
      <c r="BS184" s="22">
        <f t="shared" si="169"/>
        <v>23.88342451880273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4.7974999999999994</v>
      </c>
      <c r="N185" s="13">
        <f>IF('Données projet'!$A$36&gt;35,N184+M185-V184,IF(A185&lt;'Données projet'!$A$36,$K$205^A185,IF(A185='Données projet'!$A$36,'Données projet'!$B$36,N184+M185-V184)))</f>
        <v>290.54499999999967</v>
      </c>
      <c r="O185" s="13">
        <f>N185*VLOOKUP('Données projet'!$B$9,Paramètres!$A$1:$I$89,3,0)*VLOOKUP('Données projet'!$B$9,Paramètres!$A$1:$I$89,5,0)</f>
        <v>330.87264599999963</v>
      </c>
      <c r="P185" s="13">
        <f t="shared" si="141"/>
        <v>77.611201134728788</v>
      </c>
      <c r="Q185" s="20">
        <f t="shared" si="162"/>
        <v>711.44270042631854</v>
      </c>
      <c r="R185" s="59">
        <f t="shared" si="109"/>
        <v>1004.7760337596519</v>
      </c>
      <c r="S185" s="59">
        <f ca="1">AVERAGE(OFFSET($R$3,0,0,'Données projet'!$E$9+1,1))-AVERAGE(OFFSET($H$3,0,0,'Données projet'!$E$9+1,1))</f>
        <v>593.28343396240075</v>
      </c>
      <c r="T185" s="59">
        <f t="shared" si="142"/>
        <v>289.66477662068695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88.554487645430783</v>
      </c>
      <c r="AA185" s="21">
        <f>EXP(-LN(2)/25)*AA184+(1-EXP(-LN(2)/25))/(LN(2)/25)*Calculateur!V185*Calculateur!X185*VLOOKUP('Données projet'!$B$9,Paramètres!$A$1:$I$89,3,0)*0.475*44/12</f>
        <v>35.62136141710355</v>
      </c>
      <c r="AB185" s="21">
        <f>EXP(-LN(2)/2)*AB184+(1-EXP(-LN(2)/2))/(LN(2)/2)*V185*Y185*VLOOKUP('Données projet'!$B$9,Paramètres!$A$1:$I$89,3,0)*0.475*44/12</f>
        <v>1.2651966531184501E-5</v>
      </c>
      <c r="AC185" s="22">
        <f t="shared" si="163"/>
        <v>124.17586171450085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1.1368683772161603E-13</v>
      </c>
      <c r="AJ185" s="13">
        <f>AI185*VLOOKUP('Données projet'!$B$10,Paramètres!$A$1:$I$89,3,0)*VLOOKUP('Données projet'!$B$10,Paramètres!$A$1:$I$89,5,0)</f>
        <v>6.7984728957526396E-14</v>
      </c>
      <c r="AK185" s="13">
        <f t="shared" si="164"/>
        <v>1.0682447123141398E-12</v>
      </c>
      <c r="AL185" s="20">
        <f t="shared" si="165"/>
        <v>1.978932943548152E-12</v>
      </c>
      <c r="AM185" s="59">
        <f t="shared" si="113"/>
        <v>293.3333333333353</v>
      </c>
      <c r="AN185" s="59">
        <f ca="1">AVERAGE(OFFSET($AM$3,0,0,'Données projet'!$E$10+1,1))-AVERAGE(OFFSET($H$3,0,0,'Données projet'!$E$10+1,1))</f>
        <v>302.00825291248458</v>
      </c>
      <c r="AO185" s="59">
        <f t="shared" si="144"/>
        <v>307.35115839449355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12.396557308577126</v>
      </c>
      <c r="AV185" s="21">
        <f>EXP(-LN(2)/25)*AV184+(1-EXP(-LN(2)/25))/(LN(2)/25)*Calculateur!AQ185*Calculateur!AS185*VLOOKUP('Données projet'!$B$10,Paramètres!$A$1:$I$89,3,0)*0.475*44/12</f>
        <v>1.6450624816497215</v>
      </c>
      <c r="AW185" s="21">
        <f>EXP(-LN(2)/2)*AW184+(1-EXP(-LN(2)/2))/(LN(2)/2)*AQ185*AT185*VLOOKUP('Données projet'!$B$10,Paramètres!$A$1:$I$89,3,0)*0.475*44/12</f>
        <v>2.6004130629778087E-17</v>
      </c>
      <c r="AX185" s="21">
        <f t="shared" si="166"/>
        <v>14.041619790226848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-2.2737367544323206E-13</v>
      </c>
      <c r="BE185" s="13">
        <f>BD185*VLOOKUP('Données projet'!$B$11,Paramètres!$A$1:$I$89,3,0)*VLOOKUP('Données projet'!$B$11,Paramètres!$A$1:$I$89,5,0)</f>
        <v>-1.3596945791505279E-13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349.71285006949597</v>
      </c>
      <c r="BJ185" s="59">
        <f t="shared" si="146"/>
        <v>258.51550516456842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20.331179446959958</v>
      </c>
      <c r="BQ185" s="21">
        <f>EXP(-LN(2)/25)*BQ184+(1-EXP(-LN(2)/25))/(LN(2)/25)*Calculateur!BL185*Calculateur!BN185*VLOOKUP('Données projet'!$B$11,Paramètres!$A$1:$I$89,3,0)*0.475*44/12</f>
        <v>3.0595724713705361</v>
      </c>
      <c r="BR185" s="21">
        <f>EXP(-LN(2)/2)*BR184+(1-EXP(-LN(2)/2))/(LN(2)/2)*BL185*BO185*VLOOKUP('Données projet'!$B$11,Paramètres!$A$1:$I$89,3,0)*0.475*44/12</f>
        <v>3.1404498024837893E-14</v>
      </c>
      <c r="BS185" s="22">
        <f t="shared" si="169"/>
        <v>23.390751918330526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4.7974999999999994</v>
      </c>
      <c r="N186" s="13">
        <f>IF('Données projet'!$A$36&gt;35,N185+M186-V185,IF(A186&lt;'Données projet'!$A$36,$K$205^A186,IF(A186='Données projet'!$A$36,'Données projet'!$B$36,N185+M186-V185)))</f>
        <v>295.34249999999969</v>
      </c>
      <c r="O186" s="13">
        <f>N186*VLOOKUP('Données projet'!$B$9,Paramètres!$A$1:$I$89,3,0)*VLOOKUP('Données projet'!$B$9,Paramètres!$A$1:$I$89,5,0)</f>
        <v>336.33603899999963</v>
      </c>
      <c r="P186" s="13">
        <f t="shared" si="141"/>
        <v>78.742472189805937</v>
      </c>
      <c r="Q186" s="20">
        <f t="shared" si="162"/>
        <v>722.92840698891132</v>
      </c>
      <c r="R186" s="59">
        <f t="shared" si="109"/>
        <v>1016.2617403222446</v>
      </c>
      <c r="S186" s="59">
        <f ca="1">AVERAGE(OFFSET($R$3,0,0,'Données projet'!$E$9+1,1))-AVERAGE(OFFSET($H$3,0,0,'Données projet'!$E$9+1,1))</f>
        <v>593.28343396240075</v>
      </c>
      <c r="T186" s="59">
        <f t="shared" si="142"/>
        <v>289.66477662068695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86.81798815560802</v>
      </c>
      <c r="AA186" s="21">
        <f>EXP(-LN(2)/25)*AA185+(1-EXP(-LN(2)/25))/(LN(2)/25)*Calculateur!V186*Calculateur!X186*VLOOKUP('Données projet'!$B$9,Paramètres!$A$1:$I$89,3,0)*0.475*44/12</f>
        <v>34.647293415906873</v>
      </c>
      <c r="AB186" s="21">
        <f>EXP(-LN(2)/2)*AB185+(1-EXP(-LN(2)/2))/(LN(2)/2)*V186*Y186*VLOOKUP('Données projet'!$B$9,Paramètres!$A$1:$I$89,3,0)*0.475*44/12</f>
        <v>8.9462913295458013E-6</v>
      </c>
      <c r="AC186" s="22">
        <f t="shared" si="163"/>
        <v>121.46529051780622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1.1368683772161603E-13</v>
      </c>
      <c r="AJ186" s="13">
        <f>AI186*VLOOKUP('Données projet'!$B$10,Paramètres!$A$1:$I$89,3,0)*VLOOKUP('Données projet'!$B$10,Paramètres!$A$1:$I$89,5,0)</f>
        <v>6.7984728957526396E-14</v>
      </c>
      <c r="AK186" s="13">
        <f t="shared" si="164"/>
        <v>1.0682447123141398E-12</v>
      </c>
      <c r="AL186" s="20">
        <f t="shared" si="165"/>
        <v>1.978932943548152E-12</v>
      </c>
      <c r="AM186" s="59">
        <f t="shared" si="113"/>
        <v>293.3333333333353</v>
      </c>
      <c r="AN186" s="59">
        <f ca="1">AVERAGE(OFFSET($AM$3,0,0,'Données projet'!$E$10+1,1))-AVERAGE(OFFSET($H$3,0,0,'Données projet'!$E$10+1,1))</f>
        <v>302.00825291248458</v>
      </c>
      <c r="AO186" s="59">
        <f t="shared" si="144"/>
        <v>307.35115839449355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12.153468380909285</v>
      </c>
      <c r="AV186" s="21">
        <f>EXP(-LN(2)/25)*AV185+(1-EXP(-LN(2)/25))/(LN(2)/25)*Calculateur!AQ186*Calculateur!AS186*VLOOKUP('Données projet'!$B$10,Paramètres!$A$1:$I$89,3,0)*0.475*44/12</f>
        <v>1.6000781615789337</v>
      </c>
      <c r="AW186" s="21">
        <f>EXP(-LN(2)/2)*AW185+(1-EXP(-LN(2)/2))/(LN(2)/2)*AQ186*AT186*VLOOKUP('Données projet'!$B$10,Paramètres!$A$1:$I$89,3,0)*0.475*44/12</f>
        <v>1.8387697107176892E-17</v>
      </c>
      <c r="AX186" s="21">
        <f t="shared" si="166"/>
        <v>13.753546542488218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-2.2737367544323206E-13</v>
      </c>
      <c r="BE186" s="13">
        <f>BD186*VLOOKUP('Données projet'!$B$11,Paramètres!$A$1:$I$89,3,0)*VLOOKUP('Données projet'!$B$11,Paramètres!$A$1:$I$89,5,0)</f>
        <v>-1.3596945791505279E-13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349.71285006949597</v>
      </c>
      <c r="BJ186" s="59">
        <f t="shared" si="146"/>
        <v>258.51550516456842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19.932497418800057</v>
      </c>
      <c r="BQ186" s="21">
        <f>EXP(-LN(2)/25)*BQ185+(1-EXP(-LN(2)/25))/(LN(2)/25)*Calculateur!BL186*Calculateur!BN186*VLOOKUP('Données projet'!$B$11,Paramètres!$A$1:$I$89,3,0)*0.475*44/12</f>
        <v>2.9759083012449854</v>
      </c>
      <c r="BR186" s="21">
        <f>EXP(-LN(2)/2)*BR185+(1-EXP(-LN(2)/2))/(LN(2)/2)*BL186*BO186*VLOOKUP('Données projet'!$B$11,Paramètres!$A$1:$I$89,3,0)*0.475*44/12</f>
        <v>2.2206333513122412E-14</v>
      </c>
      <c r="BS186" s="22">
        <f t="shared" si="169"/>
        <v>22.908405720045064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>
        <f>VLOOKUP(A187,'Données projet'!$A$35:$I$55,2,0)</f>
        <v>300.14</v>
      </c>
      <c r="L187" s="12">
        <f>VLOOKUP(A187,'Données projet'!$A$35:$I$55,9,0)</f>
        <v>4.7974999999999994</v>
      </c>
      <c r="M187" s="12">
        <f t="array" ref="M187">INDEX(L:L,MIN(IF(ISNUMBER(L187:L383),ROW(L187:L383),"")))</f>
        <v>4.7974999999999994</v>
      </c>
      <c r="N187" s="13">
        <f>IF('Données projet'!$A$36&gt;35,N186+M187-V186,IF(A187&lt;'Données projet'!$A$36,$K$205^A187,IF(A187='Données projet'!$A$36,'Données projet'!$B$36,N186+M187-V186)))</f>
        <v>300.1399999999997</v>
      </c>
      <c r="O187" s="13">
        <f>N187*VLOOKUP('Données projet'!$B$9,Paramètres!$A$1:$I$89,3,0)*VLOOKUP('Données projet'!$B$9,Paramètres!$A$1:$I$89,5,0)</f>
        <v>341.79943199999968</v>
      </c>
      <c r="P187" s="13">
        <f t="shared" si="141"/>
        <v>79.871606176734076</v>
      </c>
      <c r="Q187" s="20">
        <f t="shared" si="162"/>
        <v>734.41039149114465</v>
      </c>
      <c r="R187" s="59">
        <f t="shared" si="109"/>
        <v>1027.743724824478</v>
      </c>
      <c r="S187" s="59">
        <f ca="1">AVERAGE(OFFSET($R$3,0,0,'Données projet'!$E$9+1,1))-AVERAGE(OFFSET($H$3,0,0,'Données projet'!$E$9+1,1))</f>
        <v>593.28343396240075</v>
      </c>
      <c r="T187" s="59">
        <f t="shared" si="142"/>
        <v>289.66477662068695</v>
      </c>
      <c r="U187" s="15">
        <f>IF(ISNA(VLOOKUP(A187,'Données projet'!$A$35:$I$55,3,0)),0,VLOOKUP(A187,'Données projet'!$A$35:$I$55,3,0))</f>
        <v>14</v>
      </c>
      <c r="V187" s="15">
        <f>IF(ISNA(VLOOKUP(A187,'Données projet'!$A$35:$I$55,4,0)),0,VLOOKUP(A187,'Données projet'!$A$35:$I$55,4,0))</f>
        <v>101.19999999999999</v>
      </c>
      <c r="W187" s="16">
        <f>IF(ISNA(VLOOKUP(A187,'Données projet'!$A$35:$I$55,5,0)),0%,VLOOKUP(A187,'Données projet'!$A$35:$I$55,5,0)*VLOOKUP('Données projet'!$B$9,Paramètres!$A$1:$I$89,7,0))</f>
        <v>0.215</v>
      </c>
      <c r="X187" s="16">
        <f>IF(ISNA(VLOOKUP(A187,'Données projet'!$A$35:$I$55,6,0)),0%,VLOOKUP(A187,'Données projet'!$A$35:$I$55,6,0)*VLOOKUP('Données projet'!$B$9,Paramètres!$A$1:$I$89,7,0))</f>
        <v>8.6000000000000007E-2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112.50689692257995</v>
      </c>
      <c r="AA187" s="21">
        <f>EXP(-LN(2)/25)*AA186+(1-EXP(-LN(2)/25))/(LN(2)/25)*Calculateur!V187*Calculateur!X187*VLOOKUP('Données projet'!$B$9,Paramètres!$A$1:$I$89,3,0)*0.475*44/12</f>
        <v>44.613263896728441</v>
      </c>
      <c r="AB187" s="21">
        <f>EXP(-LN(2)/2)*AB186+(1-EXP(-LN(2)/2))/(LN(2)/2)*V187*Y187*VLOOKUP('Données projet'!$B$9,Paramètres!$A$1:$I$89,3,0)*0.475*44/12</f>
        <v>6.3259832655922503E-6</v>
      </c>
      <c r="AC187" s="22">
        <f t="shared" si="163"/>
        <v>157.12016714529167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1.1368683772161603E-13</v>
      </c>
      <c r="AJ187" s="13">
        <f>AI187*VLOOKUP('Données projet'!$B$10,Paramètres!$A$1:$I$89,3,0)*VLOOKUP('Données projet'!$B$10,Paramètres!$A$1:$I$89,5,0)</f>
        <v>6.7984728957526396E-14</v>
      </c>
      <c r="AK187" s="13">
        <f t="shared" si="164"/>
        <v>1.0682447123141398E-12</v>
      </c>
      <c r="AL187" s="20">
        <f t="shared" si="165"/>
        <v>1.978932943548152E-12</v>
      </c>
      <c r="AM187" s="59">
        <f t="shared" si="113"/>
        <v>293.3333333333353</v>
      </c>
      <c r="AN187" s="59">
        <f ca="1">AVERAGE(OFFSET($AM$3,0,0,'Données projet'!$E$10+1,1))-AVERAGE(OFFSET($H$3,0,0,'Données projet'!$E$10+1,1))</f>
        <v>302.00825291248458</v>
      </c>
      <c r="AO187" s="59">
        <f t="shared" si="144"/>
        <v>307.35115839449355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11.915146278843405</v>
      </c>
      <c r="AV187" s="21">
        <f>EXP(-LN(2)/25)*AV186+(1-EXP(-LN(2)/25))/(LN(2)/25)*Calculateur!AQ187*Calculateur!AS187*VLOOKUP('Données projet'!$B$10,Paramètres!$A$1:$I$89,3,0)*0.475*44/12</f>
        <v>1.5563239401061042</v>
      </c>
      <c r="AW187" s="21">
        <f>EXP(-LN(2)/2)*AW186+(1-EXP(-LN(2)/2))/(LN(2)/2)*AQ187*AT187*VLOOKUP('Données projet'!$B$10,Paramètres!$A$1:$I$89,3,0)*0.475*44/12</f>
        <v>1.3002065314889043E-17</v>
      </c>
      <c r="AX187" s="21">
        <f t="shared" si="166"/>
        <v>13.471470218949509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-2.2737367544323206E-13</v>
      </c>
      <c r="BE187" s="13">
        <f>BD187*VLOOKUP('Données projet'!$B$11,Paramètres!$A$1:$I$89,3,0)*VLOOKUP('Données projet'!$B$11,Paramètres!$A$1:$I$89,5,0)</f>
        <v>-1.3596945791505279E-13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349.71285006949597</v>
      </c>
      <c r="BJ187" s="59">
        <f t="shared" si="146"/>
        <v>258.51550516456842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19.541633302040349</v>
      </c>
      <c r="BQ187" s="21">
        <f>EXP(-LN(2)/25)*BQ186+(1-EXP(-LN(2)/25))/(LN(2)/25)*Calculateur!BL187*Calculateur!BN187*VLOOKUP('Données projet'!$B$11,Paramètres!$A$1:$I$89,3,0)*0.475*44/12</f>
        <v>2.8945319322512253</v>
      </c>
      <c r="BR187" s="21">
        <f>EXP(-LN(2)/2)*BR186+(1-EXP(-LN(2)/2))/(LN(2)/2)*BL187*BO187*VLOOKUP('Données projet'!$B$11,Paramètres!$A$1:$I$89,3,0)*0.475*44/12</f>
        <v>1.5702249012418947E-14</v>
      </c>
      <c r="BS187" s="22">
        <f t="shared" si="169"/>
        <v>22.43616523429159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3.0825000000000031</v>
      </c>
      <c r="N188" s="13">
        <f>IF('Données projet'!$A$36&gt;35,N187+M188-V187,IF(A188&lt;'Données projet'!$A$36,$K$205^A188,IF(A188='Données projet'!$A$36,'Données projet'!$B$36,N187+M188-V187)))</f>
        <v>202.0224999999997</v>
      </c>
      <c r="O188" s="13">
        <f>N188*VLOOKUP('Données projet'!$B$9,Paramètres!$A$1:$I$89,3,0)*VLOOKUP('Données projet'!$B$9,Paramètres!$A$1:$I$89,5,0)</f>
        <v>230.06322299999965</v>
      </c>
      <c r="P188" s="13">
        <f t="shared" si="141"/>
        <v>56.296351603217715</v>
      </c>
      <c r="Q188" s="20">
        <f t="shared" si="162"/>
        <v>498.74292576727026</v>
      </c>
      <c r="R188" s="59">
        <f t="shared" si="109"/>
        <v>792.07625910060358</v>
      </c>
      <c r="S188" s="59">
        <f ca="1">AVERAGE(OFFSET($R$3,0,0,'Données projet'!$E$9+1,1))-AVERAGE(OFFSET($H$3,0,0,'Données projet'!$E$9+1,1))</f>
        <v>593.28343396240075</v>
      </c>
      <c r="T188" s="59">
        <f t="shared" si="142"/>
        <v>289.66477662068695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110.30070529635938</v>
      </c>
      <c r="AA188" s="21">
        <f>EXP(-LN(2)/25)*AA187+(1-EXP(-LN(2)/25))/(LN(2)/25)*Calculateur!V188*Calculateur!X188*VLOOKUP('Données projet'!$B$9,Paramètres!$A$1:$I$89,3,0)*0.475*44/12</f>
        <v>43.393311849362817</v>
      </c>
      <c r="AB188" s="21">
        <f>EXP(-LN(2)/2)*AB187+(1-EXP(-LN(2)/2))/(LN(2)/2)*V188*Y188*VLOOKUP('Données projet'!$B$9,Paramètres!$A$1:$I$89,3,0)*0.475*44/12</f>
        <v>4.4731456647729007E-6</v>
      </c>
      <c r="AC188" s="22">
        <f t="shared" si="163"/>
        <v>153.69402161886785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1.1368683772161603E-13</v>
      </c>
      <c r="AJ188" s="13">
        <f>AI188*VLOOKUP('Données projet'!$B$10,Paramètres!$A$1:$I$89,3,0)*VLOOKUP('Données projet'!$B$10,Paramètres!$A$1:$I$89,5,0)</f>
        <v>6.7984728957526396E-14</v>
      </c>
      <c r="AK188" s="13">
        <f t="shared" si="164"/>
        <v>1.0682447123141398E-12</v>
      </c>
      <c r="AL188" s="20">
        <f t="shared" si="165"/>
        <v>1.978932943548152E-12</v>
      </c>
      <c r="AM188" s="59">
        <f t="shared" si="113"/>
        <v>293.3333333333353</v>
      </c>
      <c r="AN188" s="59">
        <f ca="1">AVERAGE(OFFSET($AM$3,0,0,'Données projet'!$E$10+1,1))-AVERAGE(OFFSET($H$3,0,0,'Données projet'!$E$10+1,1))</f>
        <v>302.00825291248458</v>
      </c>
      <c r="AO188" s="59">
        <f t="shared" si="144"/>
        <v>307.35115839449355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11.681497527836909</v>
      </c>
      <c r="AV188" s="21">
        <f>EXP(-LN(2)/25)*AV187+(1-EXP(-LN(2)/25))/(LN(2)/25)*Calculateur!AQ188*Calculateur!AS188*VLOOKUP('Données projet'!$B$10,Paramètres!$A$1:$I$89,3,0)*0.475*44/12</f>
        <v>1.5137661801203839</v>
      </c>
      <c r="AW188" s="21">
        <f>EXP(-LN(2)/2)*AW187+(1-EXP(-LN(2)/2))/(LN(2)/2)*AQ188*AT188*VLOOKUP('Données projet'!$B$10,Paramètres!$A$1:$I$89,3,0)*0.475*44/12</f>
        <v>9.1938485535884458E-18</v>
      </c>
      <c r="AX188" s="21">
        <f t="shared" si="166"/>
        <v>13.195263707957292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-2.2737367544323206E-13</v>
      </c>
      <c r="BE188" s="13">
        <f>BD188*VLOOKUP('Données projet'!$B$11,Paramètres!$A$1:$I$89,3,0)*VLOOKUP('Données projet'!$B$11,Paramètres!$A$1:$I$89,5,0)</f>
        <v>-1.3596945791505279E-13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349.71285006949597</v>
      </c>
      <c r="BJ188" s="59">
        <f t="shared" si="146"/>
        <v>258.51550516456842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19.158433792206726</v>
      </c>
      <c r="BQ188" s="21">
        <f>EXP(-LN(2)/25)*BQ187+(1-EXP(-LN(2)/25))/(LN(2)/25)*Calculateur!BL188*Calculateur!BN188*VLOOKUP('Données projet'!$B$11,Paramètres!$A$1:$I$89,3,0)*0.475*44/12</f>
        <v>2.8153808043469968</v>
      </c>
      <c r="BR188" s="21">
        <f>EXP(-LN(2)/2)*BR187+(1-EXP(-LN(2)/2))/(LN(2)/2)*BL188*BO188*VLOOKUP('Données projet'!$B$11,Paramètres!$A$1:$I$89,3,0)*0.475*44/12</f>
        <v>1.1103166756561206E-14</v>
      </c>
      <c r="BS188" s="22">
        <f t="shared" si="169"/>
        <v>21.973814596553733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3.0825000000000031</v>
      </c>
      <c r="N189" s="13">
        <f>IF('Données projet'!$A$36&gt;35,N188+M189-V188,IF(A189&lt;'Données projet'!$A$36,$K$205^A189,IF(A189='Données projet'!$A$36,'Données projet'!$B$36,N188+M189-V188)))</f>
        <v>205.10499999999971</v>
      </c>
      <c r="O189" s="13">
        <f>N189*VLOOKUP('Données projet'!$B$9,Paramètres!$A$1:$I$89,3,0)*VLOOKUP('Données projet'!$B$9,Paramètres!$A$1:$I$89,5,0)</f>
        <v>233.57357399999967</v>
      </c>
      <c r="P189" s="13">
        <f t="shared" si="141"/>
        <v>57.054677066881858</v>
      </c>
      <c r="Q189" s="20">
        <f t="shared" si="162"/>
        <v>506.17753727481869</v>
      </c>
      <c r="R189" s="59">
        <f t="shared" si="109"/>
        <v>799.510870608152</v>
      </c>
      <c r="S189" s="59">
        <f ca="1">AVERAGE(OFFSET($R$3,0,0,'Données projet'!$E$9+1,1))-AVERAGE(OFFSET($H$3,0,0,'Données projet'!$E$9+1,1))</f>
        <v>593.28343396240075</v>
      </c>
      <c r="T189" s="59">
        <f t="shared" si="142"/>
        <v>289.66477662068695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108.13777574228497</v>
      </c>
      <c r="AA189" s="21">
        <f>EXP(-LN(2)/25)*AA188+(1-EXP(-LN(2)/25))/(LN(2)/25)*Calculateur!V189*Calculateur!X189*VLOOKUP('Données projet'!$B$9,Paramètres!$A$1:$I$89,3,0)*0.475*44/12</f>
        <v>42.206719454886894</v>
      </c>
      <c r="AB189" s="21">
        <f>EXP(-LN(2)/2)*AB188+(1-EXP(-LN(2)/2))/(LN(2)/2)*V189*Y189*VLOOKUP('Données projet'!$B$9,Paramètres!$A$1:$I$89,3,0)*0.475*44/12</f>
        <v>3.1629916327961252E-6</v>
      </c>
      <c r="AC189" s="22">
        <f t="shared" si="163"/>
        <v>150.3444983601635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1.1368683772161603E-13</v>
      </c>
      <c r="AJ189" s="13">
        <f>AI189*VLOOKUP('Données projet'!$B$10,Paramètres!$A$1:$I$89,3,0)*VLOOKUP('Données projet'!$B$10,Paramètres!$A$1:$I$89,5,0)</f>
        <v>6.7984728957526396E-14</v>
      </c>
      <c r="AK189" s="13">
        <f t="shared" si="164"/>
        <v>1.0682447123141398E-12</v>
      </c>
      <c r="AL189" s="20">
        <f t="shared" si="165"/>
        <v>1.978932943548152E-12</v>
      </c>
      <c r="AM189" s="59">
        <f t="shared" si="113"/>
        <v>293.3333333333353</v>
      </c>
      <c r="AN189" s="59">
        <f ca="1">AVERAGE(OFFSET($AM$3,0,0,'Données projet'!$E$10+1,1))-AVERAGE(OFFSET($H$3,0,0,'Données projet'!$E$10+1,1))</f>
        <v>302.00825291248458</v>
      </c>
      <c r="AO189" s="59">
        <f t="shared" si="144"/>
        <v>307.35115839449355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11.452430486325982</v>
      </c>
      <c r="AV189" s="21">
        <f>EXP(-LN(2)/25)*AV188+(1-EXP(-LN(2)/25))/(LN(2)/25)*Calculateur!AQ189*Calculateur!AS189*VLOOKUP('Données projet'!$B$10,Paramètres!$A$1:$I$89,3,0)*0.475*44/12</f>
        <v>1.4723721643194883</v>
      </c>
      <c r="AW189" s="21">
        <f>EXP(-LN(2)/2)*AW188+(1-EXP(-LN(2)/2))/(LN(2)/2)*AQ189*AT189*VLOOKUP('Données projet'!$B$10,Paramètres!$A$1:$I$89,3,0)*0.475*44/12</f>
        <v>6.5010326574445217E-18</v>
      </c>
      <c r="AX189" s="21">
        <f t="shared" si="166"/>
        <v>12.92480265064547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-2.2737367544323206E-13</v>
      </c>
      <c r="BE189" s="13">
        <f>BD189*VLOOKUP('Données projet'!$B$11,Paramètres!$A$1:$I$89,3,0)*VLOOKUP('Données projet'!$B$11,Paramètres!$A$1:$I$89,5,0)</f>
        <v>-1.3596945791505279E-13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349.71285006949597</v>
      </c>
      <c r="BJ189" s="59">
        <f t="shared" si="146"/>
        <v>258.51550516456842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18.78274859103232</v>
      </c>
      <c r="BQ189" s="21">
        <f>EXP(-LN(2)/25)*BQ188+(1-EXP(-LN(2)/25))/(LN(2)/25)*Calculateur!BL189*Calculateur!BN189*VLOOKUP('Données projet'!$B$11,Paramètres!$A$1:$I$89,3,0)*0.475*44/12</f>
        <v>2.7383940681976862</v>
      </c>
      <c r="BR189" s="21">
        <f>EXP(-LN(2)/2)*BR188+(1-EXP(-LN(2)/2))/(LN(2)/2)*BL189*BO189*VLOOKUP('Données projet'!$B$11,Paramètres!$A$1:$I$89,3,0)*0.475*44/12</f>
        <v>7.8511245062094733E-15</v>
      </c>
      <c r="BS189" s="22">
        <f t="shared" si="169"/>
        <v>21.521142659230012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3.0825000000000031</v>
      </c>
      <c r="N190" s="13">
        <f>IF('Données projet'!$A$36&gt;35,N189+M190-V189,IF(A190&lt;'Données projet'!$A$36,$K$205^A190,IF(A190='Données projet'!$A$36,'Données projet'!$B$36,N189+M190-V189)))</f>
        <v>208.18749999999972</v>
      </c>
      <c r="O190" s="13">
        <f>N190*VLOOKUP('Données projet'!$B$9,Paramètres!$A$1:$I$89,3,0)*VLOOKUP('Données projet'!$B$9,Paramètres!$A$1:$I$89,5,0)</f>
        <v>237.08392499999965</v>
      </c>
      <c r="P190" s="13">
        <f t="shared" si="141"/>
        <v>57.81167705130656</v>
      </c>
      <c r="Q190" s="20">
        <f t="shared" si="162"/>
        <v>513.60984023935839</v>
      </c>
      <c r="R190" s="59">
        <f t="shared" si="109"/>
        <v>806.94317357269165</v>
      </c>
      <c r="S190" s="59">
        <f ca="1">AVERAGE(OFFSET($R$3,0,0,'Données projet'!$E$9+1,1))-AVERAGE(OFFSET($H$3,0,0,'Données projet'!$E$9+1,1))</f>
        <v>593.28343396240075</v>
      </c>
      <c r="T190" s="59">
        <f t="shared" si="142"/>
        <v>289.66477662068695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106.01725991750921</v>
      </c>
      <c r="AA190" s="21">
        <f>EXP(-LN(2)/25)*AA189+(1-EXP(-LN(2)/25))/(LN(2)/25)*Calculateur!V190*Calculateur!X190*VLOOKUP('Données projet'!$B$9,Paramètres!$A$1:$I$89,3,0)*0.475*44/12</f>
        <v>41.052574491838101</v>
      </c>
      <c r="AB190" s="21">
        <f>EXP(-LN(2)/2)*AB189+(1-EXP(-LN(2)/2))/(LN(2)/2)*V190*Y190*VLOOKUP('Données projet'!$B$9,Paramètres!$A$1:$I$89,3,0)*0.475*44/12</f>
        <v>2.2365728323864503E-6</v>
      </c>
      <c r="AC190" s="22">
        <f t="shared" si="163"/>
        <v>147.06983664592016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1.1368683772161603E-13</v>
      </c>
      <c r="AJ190" s="13">
        <f>AI190*VLOOKUP('Données projet'!$B$10,Paramètres!$A$1:$I$89,3,0)*VLOOKUP('Données projet'!$B$10,Paramètres!$A$1:$I$89,5,0)</f>
        <v>6.7984728957526396E-14</v>
      </c>
      <c r="AK190" s="13">
        <f t="shared" si="164"/>
        <v>1.0682447123141398E-12</v>
      </c>
      <c r="AL190" s="20">
        <f t="shared" si="165"/>
        <v>1.978932943548152E-12</v>
      </c>
      <c r="AM190" s="59">
        <f t="shared" si="113"/>
        <v>293.3333333333353</v>
      </c>
      <c r="AN190" s="59">
        <f ca="1">AVERAGE(OFFSET($AM$3,0,0,'Données projet'!$E$10+1,1))-AVERAGE(OFFSET($H$3,0,0,'Données projet'!$E$10+1,1))</f>
        <v>302.00825291248458</v>
      </c>
      <c r="AO190" s="59">
        <f t="shared" si="144"/>
        <v>307.35115839449355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11.227855309781985</v>
      </c>
      <c r="AV190" s="21">
        <f>EXP(-LN(2)/25)*AV189+(1-EXP(-LN(2)/25))/(LN(2)/25)*Calculateur!AQ190*Calculateur!AS190*VLOOKUP('Données projet'!$B$10,Paramètres!$A$1:$I$89,3,0)*0.475*44/12</f>
        <v>1.4321100700574849</v>
      </c>
      <c r="AW190" s="21">
        <f>EXP(-LN(2)/2)*AW189+(1-EXP(-LN(2)/2))/(LN(2)/2)*AQ190*AT190*VLOOKUP('Données projet'!$B$10,Paramètres!$A$1:$I$89,3,0)*0.475*44/12</f>
        <v>4.5969242767942229E-18</v>
      </c>
      <c r="AX190" s="21">
        <f t="shared" si="166"/>
        <v>12.65996537983947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-2.2737367544323206E-13</v>
      </c>
      <c r="BE190" s="13">
        <f>BD190*VLOOKUP('Données projet'!$B$11,Paramètres!$A$1:$I$89,3,0)*VLOOKUP('Données projet'!$B$11,Paramètres!$A$1:$I$89,5,0)</f>
        <v>-1.3596945791505279E-13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349.71285006949597</v>
      </c>
      <c r="BJ190" s="59">
        <f t="shared" si="146"/>
        <v>258.51550516456842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18.414430347507597</v>
      </c>
      <c r="BQ190" s="21">
        <f>EXP(-LN(2)/25)*BQ189+(1-EXP(-LN(2)/25))/(LN(2)/25)*Calculateur!BL190*Calculateur!BN190*VLOOKUP('Données projet'!$B$11,Paramètres!$A$1:$I$89,3,0)*0.475*44/12</f>
        <v>2.6635125383969349</v>
      </c>
      <c r="BR190" s="21">
        <f>EXP(-LN(2)/2)*BR189+(1-EXP(-LN(2)/2))/(LN(2)/2)*BL190*BO190*VLOOKUP('Données projet'!$B$11,Paramètres!$A$1:$I$89,3,0)*0.475*44/12</f>
        <v>5.5515833782806031E-15</v>
      </c>
      <c r="BS190" s="22">
        <f t="shared" si="169"/>
        <v>21.077942885904541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>
        <f>VLOOKUP(A191,'Données projet'!$A$35:$I$55,2,0)</f>
        <v>211.27</v>
      </c>
      <c r="L191" s="12">
        <f>VLOOKUP(A191,'Données projet'!$A$35:$I$55,9,0)</f>
        <v>3.0825000000000031</v>
      </c>
      <c r="M191" s="12">
        <f t="array" ref="M191">INDEX(L:L,MIN(IF(ISNUMBER(L191:L387),ROW(L191:L387),"")))</f>
        <v>3.0825000000000031</v>
      </c>
      <c r="N191" s="13">
        <f>IF('Données projet'!$A$36&gt;35,N190+M191-V190,IF(A191&lt;'Données projet'!$A$36,$K$205^A191,IF(A191='Données projet'!$A$36,'Données projet'!$B$36,N190+M191-V190)))</f>
        <v>211.26999999999973</v>
      </c>
      <c r="O191" s="13">
        <f>N191*VLOOKUP('Données projet'!$B$9,Paramètres!$A$1:$I$89,3,0)*VLOOKUP('Données projet'!$B$9,Paramètres!$A$1:$I$89,5,0)</f>
        <v>240.5942759999997</v>
      </c>
      <c r="P191" s="13">
        <f t="shared" si="141"/>
        <v>58.56737344917299</v>
      </c>
      <c r="Q191" s="20">
        <f t="shared" si="162"/>
        <v>521.03987279064233</v>
      </c>
      <c r="R191" s="59">
        <f t="shared" si="109"/>
        <v>814.37320612397571</v>
      </c>
      <c r="S191" s="59">
        <f ca="1">AVERAGE(OFFSET($R$3,0,0,'Données projet'!$E$9+1,1))-AVERAGE(OFFSET($H$3,0,0,'Données projet'!$E$9+1,1))</f>
        <v>593.28343396240075</v>
      </c>
      <c r="T191" s="59">
        <f t="shared" si="142"/>
        <v>289.66477662068695</v>
      </c>
      <c r="U191" s="15">
        <f>IF(ISNA(VLOOKUP(A191,'Données projet'!$A$35:$I$55,3,0)),0,VLOOKUP(A191,'Données projet'!$A$35:$I$55,3,0))</f>
        <v>15</v>
      </c>
      <c r="V191" s="15">
        <f>IF(ISNA(VLOOKUP(A191,'Données projet'!$A$35:$I$55,4,0)),0,VLOOKUP(A191,'Données projet'!$A$35:$I$55,4,0))</f>
        <v>72.180000000000007</v>
      </c>
      <c r="W191" s="16">
        <f>IF(ISNA(VLOOKUP(A191,'Données projet'!$A$35:$I$55,5,0)),0%,VLOOKUP(A191,'Données projet'!$A$35:$I$55,5,0)*VLOOKUP('Données projet'!$B$9,Paramètres!$A$1:$I$89,7,0))</f>
        <v>0.215</v>
      </c>
      <c r="X191" s="16">
        <f>IF(ISNA(VLOOKUP(A191,'Données projet'!$A$35:$I$55,6,0)),0%,VLOOKUP(A191,'Données projet'!$A$35:$I$55,6,0)*VLOOKUP('Données projet'!$B$9,Paramètres!$A$1:$I$89,7,0))</f>
        <v>8.6000000000000007E-2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123.47496758275383</v>
      </c>
      <c r="AA191" s="21">
        <f>EXP(-LN(2)/25)*AA190+(1-EXP(-LN(2)/25))/(LN(2)/25)*Calculateur!V191*Calculateur!X191*VLOOKUP('Données projet'!$B$9,Paramètres!$A$1:$I$89,3,0)*0.475*44/12</f>
        <v>47.713876990129577</v>
      </c>
      <c r="AB191" s="21">
        <f>EXP(-LN(2)/2)*AB190+(1-EXP(-LN(2)/2))/(LN(2)/2)*V191*Y191*VLOOKUP('Données projet'!$B$9,Paramètres!$A$1:$I$89,3,0)*0.475*44/12</f>
        <v>1.5814958163980626E-6</v>
      </c>
      <c r="AC191" s="22">
        <f t="shared" si="163"/>
        <v>171.18884615437921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1.1368683772161603E-13</v>
      </c>
      <c r="AJ191" s="13">
        <f>AI191*VLOOKUP('Données projet'!$B$10,Paramètres!$A$1:$I$89,3,0)*VLOOKUP('Données projet'!$B$10,Paramètres!$A$1:$I$89,5,0)</f>
        <v>6.7984728957526396E-14</v>
      </c>
      <c r="AK191" s="13">
        <f t="shared" si="164"/>
        <v>1.0682447123141398E-12</v>
      </c>
      <c r="AL191" s="20">
        <f t="shared" si="165"/>
        <v>1.978932943548152E-12</v>
      </c>
      <c r="AM191" s="59">
        <f t="shared" si="113"/>
        <v>293.3333333333353</v>
      </c>
      <c r="AN191" s="59">
        <f ca="1">AVERAGE(OFFSET($AM$3,0,0,'Données projet'!$E$10+1,1))-AVERAGE(OFFSET($H$3,0,0,'Données projet'!$E$10+1,1))</f>
        <v>302.00825291248458</v>
      </c>
      <c r="AO191" s="59">
        <f t="shared" si="144"/>
        <v>307.35115839449355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11.007683915472684</v>
      </c>
      <c r="AV191" s="21">
        <f>EXP(-LN(2)/25)*AV190+(1-EXP(-LN(2)/25))/(LN(2)/25)*Calculateur!AQ191*Calculateur!AS191*VLOOKUP('Données projet'!$B$10,Paramètres!$A$1:$I$89,3,0)*0.475*44/12</f>
        <v>1.3929489448803676</v>
      </c>
      <c r="AW191" s="21">
        <f>EXP(-LN(2)/2)*AW190+(1-EXP(-LN(2)/2))/(LN(2)/2)*AQ191*AT191*VLOOKUP('Données projet'!$B$10,Paramètres!$A$1:$I$89,3,0)*0.475*44/12</f>
        <v>3.2505163287222608E-18</v>
      </c>
      <c r="AX191" s="21">
        <f t="shared" si="166"/>
        <v>12.400632860353053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-2.2737367544323206E-13</v>
      </c>
      <c r="BE191" s="13">
        <f>BD191*VLOOKUP('Données projet'!$B$11,Paramètres!$A$1:$I$89,3,0)*VLOOKUP('Données projet'!$B$11,Paramètres!$A$1:$I$89,5,0)</f>
        <v>-1.3596945791505279E-13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349.71285006949597</v>
      </c>
      <c r="BJ191" s="59">
        <f t="shared" si="146"/>
        <v>258.51550516456842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18.053334600086448</v>
      </c>
      <c r="BQ191" s="21">
        <f>EXP(-LN(2)/25)*BQ190+(1-EXP(-LN(2)/25))/(LN(2)/25)*Calculateur!BL191*Calculateur!BN191*VLOOKUP('Données projet'!$B$11,Paramètres!$A$1:$I$89,3,0)*0.475*44/12</f>
        <v>2.5906786479664339</v>
      </c>
      <c r="BR191" s="21">
        <f>EXP(-LN(2)/2)*BR190+(1-EXP(-LN(2)/2))/(LN(2)/2)*BL191*BO191*VLOOKUP('Données projet'!$B$11,Paramètres!$A$1:$I$89,3,0)*0.475*44/12</f>
        <v>3.9255622531047366E-15</v>
      </c>
      <c r="BS191" s="22">
        <f t="shared" si="169"/>
        <v>20.644013248052886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1.9733333333333292</v>
      </c>
      <c r="N192" s="13">
        <f>IF('Données projet'!$A$36&gt;35,N191+M192-V191,IF(A192&lt;'Données projet'!$A$36,$K$205^A192,IF(A192='Données projet'!$A$36,'Données projet'!$B$36,N191+M192-V191)))</f>
        <v>141.06333333333305</v>
      </c>
      <c r="O192" s="13">
        <f>N192*VLOOKUP('Données projet'!$B$9,Paramètres!$A$1:$I$89,3,0)*VLOOKUP('Données projet'!$B$9,Paramètres!$A$1:$I$89,5,0)</f>
        <v>160.64292399999968</v>
      </c>
      <c r="P192" s="13">
        <f t="shared" si="141"/>
        <v>40.987494846781502</v>
      </c>
      <c r="Q192" s="20">
        <f t="shared" si="162"/>
        <v>351.17297949147724</v>
      </c>
      <c r="R192" s="59">
        <f t="shared" si="109"/>
        <v>644.50631282481049</v>
      </c>
      <c r="S192" s="59">
        <f ca="1">AVERAGE(OFFSET($R$3,0,0,'Données projet'!$E$9+1,1))-AVERAGE(OFFSET($H$3,0,0,'Données projet'!$E$9+1,1))</f>
        <v>593.28343396240075</v>
      </c>
      <c r="T192" s="59">
        <f t="shared" si="142"/>
        <v>289.66477662068695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121.05369878074978</v>
      </c>
      <c r="AA192" s="21">
        <f>EXP(-LN(2)/25)*AA191+(1-EXP(-LN(2)/25))/(LN(2)/25)*Calculateur!V192*Calculateur!X192*VLOOKUP('Données projet'!$B$9,Paramètres!$A$1:$I$89,3,0)*0.475*44/12</f>
        <v>46.409138514670744</v>
      </c>
      <c r="AB192" s="21">
        <f>EXP(-LN(2)/2)*AB191+(1-EXP(-LN(2)/2))/(LN(2)/2)*V192*Y192*VLOOKUP('Données projet'!$B$9,Paramètres!$A$1:$I$89,3,0)*0.475*44/12</f>
        <v>1.1182864161932252E-6</v>
      </c>
      <c r="AC192" s="22">
        <f t="shared" si="163"/>
        <v>167.46283841370692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1.1368683772161603E-13</v>
      </c>
      <c r="AJ192" s="13">
        <f>AI192*VLOOKUP('Données projet'!$B$10,Paramètres!$A$1:$I$89,3,0)*VLOOKUP('Données projet'!$B$10,Paramètres!$A$1:$I$89,5,0)</f>
        <v>6.7984728957526396E-14</v>
      </c>
      <c r="AK192" s="13">
        <f t="shared" si="164"/>
        <v>1.0682447123141398E-12</v>
      </c>
      <c r="AL192" s="20">
        <f t="shared" si="165"/>
        <v>1.978932943548152E-12</v>
      </c>
      <c r="AM192" s="59">
        <f t="shared" si="113"/>
        <v>293.3333333333353</v>
      </c>
      <c r="AN192" s="59">
        <f ca="1">AVERAGE(OFFSET($AM$3,0,0,'Données projet'!$E$10+1,1))-AVERAGE(OFFSET($H$3,0,0,'Données projet'!$E$10+1,1))</f>
        <v>302.00825291248458</v>
      </c>
      <c r="AO192" s="59">
        <f t="shared" si="144"/>
        <v>307.35115839449355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10.791829947914499</v>
      </c>
      <c r="AV192" s="21">
        <f>EXP(-LN(2)/25)*AV191+(1-EXP(-LN(2)/25))/(LN(2)/25)*Calculateur!AQ192*Calculateur!AS192*VLOOKUP('Données projet'!$B$10,Paramètres!$A$1:$I$89,3,0)*0.475*44/12</f>
        <v>1.3548586827306126</v>
      </c>
      <c r="AW192" s="21">
        <f>EXP(-LN(2)/2)*AW191+(1-EXP(-LN(2)/2))/(LN(2)/2)*AQ192*AT192*VLOOKUP('Données projet'!$B$10,Paramètres!$A$1:$I$89,3,0)*0.475*44/12</f>
        <v>2.2984621383971115E-18</v>
      </c>
      <c r="AX192" s="21">
        <f t="shared" si="166"/>
        <v>12.146688630645112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-2.2737367544323206E-13</v>
      </c>
      <c r="BE192" s="13">
        <f>BD192*VLOOKUP('Données projet'!$B$11,Paramètres!$A$1:$I$89,3,0)*VLOOKUP('Données projet'!$B$11,Paramètres!$A$1:$I$89,5,0)</f>
        <v>-1.3596945791505279E-13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349.71285006949597</v>
      </c>
      <c r="BJ192" s="59">
        <f t="shared" si="146"/>
        <v>258.51550516456842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17.699319720025567</v>
      </c>
      <c r="BQ192" s="21">
        <f>EXP(-LN(2)/25)*BQ191+(1-EXP(-LN(2)/25))/(LN(2)/25)*Calculateur!BL192*Calculateur!BN192*VLOOKUP('Données projet'!$B$11,Paramètres!$A$1:$I$89,3,0)*0.475*44/12</f>
        <v>2.5198364040999226</v>
      </c>
      <c r="BR192" s="21">
        <f>EXP(-LN(2)/2)*BR191+(1-EXP(-LN(2)/2))/(LN(2)/2)*BL192*BO192*VLOOKUP('Données projet'!$B$11,Paramètres!$A$1:$I$89,3,0)*0.475*44/12</f>
        <v>2.7757916891403015E-15</v>
      </c>
      <c r="BS192" s="22">
        <f t="shared" si="169"/>
        <v>20.219156124125494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1.9733333333333292</v>
      </c>
      <c r="N193" s="13">
        <f>IF('Données projet'!$A$36&gt;35,N192+M193-V192,IF(A193&lt;'Données projet'!$A$36,$K$205^A193,IF(A193='Données projet'!$A$36,'Données projet'!$B$36,N192+M193-V192)))</f>
        <v>143.03666666666638</v>
      </c>
      <c r="O193" s="13">
        <f>N193*VLOOKUP('Données projet'!$B$9,Paramètres!$A$1:$I$89,3,0)*VLOOKUP('Données projet'!$B$9,Paramètres!$A$1:$I$89,5,0)</f>
        <v>162.89015599999965</v>
      </c>
      <c r="P193" s="13">
        <f t="shared" si="141"/>
        <v>41.493717402498838</v>
      </c>
      <c r="Q193" s="20">
        <f t="shared" si="162"/>
        <v>355.96857950935151</v>
      </c>
      <c r="R193" s="59">
        <f t="shared" si="109"/>
        <v>649.30191284268483</v>
      </c>
      <c r="S193" s="59">
        <f ca="1">AVERAGE(OFFSET($R$3,0,0,'Données projet'!$E$9+1,1))-AVERAGE(OFFSET($H$3,0,0,'Données projet'!$E$9+1,1))</f>
        <v>593.28343396240075</v>
      </c>
      <c r="T193" s="59">
        <f t="shared" si="142"/>
        <v>289.66477662068695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118.6799095831249</v>
      </c>
      <c r="AA193" s="21">
        <f>EXP(-LN(2)/25)*AA192+(1-EXP(-LN(2)/25))/(LN(2)/25)*Calculateur!V193*Calculateur!X193*VLOOKUP('Données projet'!$B$9,Paramètres!$A$1:$I$89,3,0)*0.475*44/12</f>
        <v>45.14007818143655</v>
      </c>
      <c r="AB193" s="21">
        <f>EXP(-LN(2)/2)*AB192+(1-EXP(-LN(2)/2))/(LN(2)/2)*V193*Y193*VLOOKUP('Données projet'!$B$9,Paramètres!$A$1:$I$89,3,0)*0.475*44/12</f>
        <v>7.9074790819903129E-7</v>
      </c>
      <c r="AC193" s="22">
        <f t="shared" si="163"/>
        <v>163.81998855530938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1.1368683772161603E-13</v>
      </c>
      <c r="AJ193" s="13">
        <f>AI193*VLOOKUP('Données projet'!$B$10,Paramètres!$A$1:$I$89,3,0)*VLOOKUP('Données projet'!$B$10,Paramètres!$A$1:$I$89,5,0)</f>
        <v>6.7984728957526396E-14</v>
      </c>
      <c r="AK193" s="13">
        <f t="shared" si="164"/>
        <v>1.0682447123141398E-12</v>
      </c>
      <c r="AL193" s="20">
        <f t="shared" si="165"/>
        <v>1.978932943548152E-12</v>
      </c>
      <c r="AM193" s="59">
        <f t="shared" si="113"/>
        <v>293.3333333333353</v>
      </c>
      <c r="AN193" s="59">
        <f ca="1">AVERAGE(OFFSET($AM$3,0,0,'Données projet'!$E$10+1,1))-AVERAGE(OFFSET($H$3,0,0,'Données projet'!$E$10+1,1))</f>
        <v>302.00825291248458</v>
      </c>
      <c r="AO193" s="59">
        <f t="shared" si="144"/>
        <v>307.35115839449355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10.580208745002208</v>
      </c>
      <c r="AV193" s="21">
        <f>EXP(-LN(2)/25)*AV192+(1-EXP(-LN(2)/25))/(LN(2)/25)*Calculateur!AQ193*Calculateur!AS193*VLOOKUP('Données projet'!$B$10,Paramètres!$A$1:$I$89,3,0)*0.475*44/12</f>
        <v>1.3178100008024225</v>
      </c>
      <c r="AW193" s="21">
        <f>EXP(-LN(2)/2)*AW192+(1-EXP(-LN(2)/2))/(LN(2)/2)*AQ193*AT193*VLOOKUP('Données projet'!$B$10,Paramètres!$A$1:$I$89,3,0)*0.475*44/12</f>
        <v>1.6252581643611304E-18</v>
      </c>
      <c r="AX193" s="21">
        <f t="shared" si="166"/>
        <v>11.898018745804631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-2.2737367544323206E-13</v>
      </c>
      <c r="BE193" s="13">
        <f>BD193*VLOOKUP('Données projet'!$B$11,Paramètres!$A$1:$I$89,3,0)*VLOOKUP('Données projet'!$B$11,Paramètres!$A$1:$I$89,5,0)</f>
        <v>-1.3596945791505279E-13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349.71285006949597</v>
      </c>
      <c r="BJ193" s="59">
        <f t="shared" si="146"/>
        <v>258.51550516456842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17.352246855834927</v>
      </c>
      <c r="BQ193" s="21">
        <f>EXP(-LN(2)/25)*BQ192+(1-EXP(-LN(2)/25))/(LN(2)/25)*Calculateur!BL193*Calculateur!BN193*VLOOKUP('Données projet'!$B$11,Paramètres!$A$1:$I$89,3,0)*0.475*44/12</f>
        <v>2.4509313451173731</v>
      </c>
      <c r="BR193" s="21">
        <f>EXP(-LN(2)/2)*BR192+(1-EXP(-LN(2)/2))/(LN(2)/2)*BL193*BO193*VLOOKUP('Données projet'!$B$11,Paramètres!$A$1:$I$89,3,0)*0.475*44/12</f>
        <v>1.9627811265523683E-15</v>
      </c>
      <c r="BS193" s="22">
        <f t="shared" si="169"/>
        <v>19.803178200952303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>
        <f>VLOOKUP(A194,'Données projet'!$A$35:$I$55,2,0)</f>
        <v>145.01</v>
      </c>
      <c r="L194" s="12">
        <f>VLOOKUP(A194,'Données projet'!$A$35:$I$55,9,0)</f>
        <v>1.9733333333333292</v>
      </c>
      <c r="M194" s="12">
        <f t="array" ref="M194">INDEX(L:L,MIN(IF(ISNUMBER(L194:L390),ROW(L194:L390),"")))</f>
        <v>1.9733333333333292</v>
      </c>
      <c r="N194" s="13">
        <f>IF('Données projet'!$A$36&gt;35,N193+M194-V193,IF(A194&lt;'Données projet'!$A$36,$K$205^A194,IF(A194='Données projet'!$A$36,'Données projet'!$B$36,N193+M194-V193)))</f>
        <v>145.00999999999971</v>
      </c>
      <c r="O194" s="13">
        <f>N194*VLOOKUP('Données projet'!$B$9,Paramètres!$A$1:$I$89,3,0)*VLOOKUP('Données projet'!$B$9,Paramètres!$A$1:$I$89,5,0)</f>
        <v>165.13738799999967</v>
      </c>
      <c r="P194" s="13">
        <f t="shared" si="141"/>
        <v>41.999127663831423</v>
      </c>
      <c r="Q194" s="20">
        <f t="shared" si="162"/>
        <v>360.76276478117251</v>
      </c>
      <c r="R194" s="59">
        <f t="shared" si="109"/>
        <v>654.09609811450582</v>
      </c>
      <c r="S194" s="59">
        <f ca="1">AVERAGE(OFFSET($R$3,0,0,'Données projet'!$E$9+1,1))-AVERAGE(OFFSET($H$3,0,0,'Données projet'!$E$9+1,1))</f>
        <v>593.28343396240075</v>
      </c>
      <c r="T194" s="59">
        <f t="shared" si="142"/>
        <v>289.66477662068695</v>
      </c>
      <c r="U194" s="15">
        <f>IF(ISNA(VLOOKUP(A194,'Données projet'!$A$35:$I$55,3,0)),0,VLOOKUP(A194,'Données projet'!$A$35:$I$55,3,0))</f>
        <v>16</v>
      </c>
      <c r="V194" s="15">
        <f>IF(ISNA(VLOOKUP(A194,'Données projet'!$A$35:$I$55,4,0)),0,VLOOKUP(A194,'Données projet'!$A$35:$I$55,4,0))</f>
        <v>145.01</v>
      </c>
      <c r="W194" s="16">
        <f>IF(ISNA(VLOOKUP(A194,'Données projet'!$A$35:$I$55,5,0)),0%,VLOOKUP(A194,'Données projet'!$A$35:$I$55,5,0)*VLOOKUP('Données projet'!$B$9,Paramètres!$A$1:$I$89,7,0))</f>
        <v>0.19350000000000001</v>
      </c>
      <c r="X194" s="16">
        <f>IF(ISNA(VLOOKUP(A194,'Données projet'!$A$35:$I$55,6,0)),0%,VLOOKUP(A194,'Données projet'!$A$35:$I$55,6,0)*VLOOKUP('Données projet'!$B$9,Paramètres!$A$1:$I$89,7,0))</f>
        <v>2.1500000000000002E-2</v>
      </c>
      <c r="Y194" s="16">
        <f>IF(ISNA(VLOOKUP(A194,'Données projet'!$A$35:$I$55,7,0)),0%,VLOOKUP(A194,'Données projet'!$A$35:$I$55,7,0))</f>
        <v>0.05</v>
      </c>
      <c r="Z194" s="21">
        <f>EXP(-LN(2)/35)*Z193+(1-EXP(-LN(2)/35))/(LN(2)/35)*V194*W194*VLOOKUP('Données projet'!$B$9,Paramètres!$A$1:$I$89,3,0)*0.475*44/12</f>
        <v>151.67696294986663</v>
      </c>
      <c r="AA194" s="21">
        <f>EXP(-LN(2)/25)*AA193+(1-EXP(-LN(2)/25))/(LN(2)/25)*Calculateur!V194*Calculateur!X194*VLOOKUP('Données projet'!$B$9,Paramètres!$A$1:$I$89,3,0)*0.475*44/12</f>
        <v>47.81518801430235</v>
      </c>
      <c r="AB194" s="21">
        <f>EXP(-LN(2)/2)*AB193+(1-EXP(-LN(2)/2))/(LN(2)/2)*V194*Y194*VLOOKUP('Données projet'!$B$9,Paramètres!$A$1:$I$89,3,0)*0.475*44/12</f>
        <v>7.7905790684248517</v>
      </c>
      <c r="AC194" s="22">
        <f t="shared" si="163"/>
        <v>207.28273003259383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1.1368683772161603E-13</v>
      </c>
      <c r="AJ194" s="13">
        <f>AI194*VLOOKUP('Données projet'!$B$10,Paramètres!$A$1:$I$89,3,0)*VLOOKUP('Données projet'!$B$10,Paramètres!$A$1:$I$89,5,0)</f>
        <v>6.7984728957526396E-14</v>
      </c>
      <c r="AK194" s="13">
        <f t="shared" si="164"/>
        <v>1.0682447123141398E-12</v>
      </c>
      <c r="AL194" s="20">
        <f t="shared" si="165"/>
        <v>1.978932943548152E-12</v>
      </c>
      <c r="AM194" s="59">
        <f t="shared" si="113"/>
        <v>293.3333333333353</v>
      </c>
      <c r="AN194" s="59">
        <f ca="1">AVERAGE(OFFSET($AM$3,0,0,'Données projet'!$E$10+1,1))-AVERAGE(OFFSET($H$3,0,0,'Données projet'!$E$10+1,1))</f>
        <v>302.00825291248458</v>
      </c>
      <c r="AO194" s="59">
        <f t="shared" si="144"/>
        <v>307.35115839449355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10.37273730480284</v>
      </c>
      <c r="AV194" s="21">
        <f>EXP(-LN(2)/25)*AV193+(1-EXP(-LN(2)/25))/(LN(2)/25)*Calculateur!AQ194*Calculateur!AS194*VLOOKUP('Données projet'!$B$10,Paramètres!$A$1:$I$89,3,0)*0.475*44/12</f>
        <v>1.2817744170298642</v>
      </c>
      <c r="AW194" s="21">
        <f>EXP(-LN(2)/2)*AW193+(1-EXP(-LN(2)/2))/(LN(2)/2)*AQ194*AT194*VLOOKUP('Données projet'!$B$10,Paramètres!$A$1:$I$89,3,0)*0.475*44/12</f>
        <v>1.1492310691985557E-18</v>
      </c>
      <c r="AX194" s="21">
        <f t="shared" si="166"/>
        <v>11.654511721832703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-2.2737367544323206E-13</v>
      </c>
      <c r="BE194" s="13">
        <f>BD194*VLOOKUP('Données projet'!$B$11,Paramètres!$A$1:$I$89,3,0)*VLOOKUP('Données projet'!$B$11,Paramètres!$A$1:$I$89,5,0)</f>
        <v>-1.3596945791505279E-13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349.71285006949597</v>
      </c>
      <c r="BJ194" s="59">
        <f t="shared" si="146"/>
        <v>258.51550516456842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17.01197987881752</v>
      </c>
      <c r="BQ194" s="21">
        <f>EXP(-LN(2)/25)*BQ193+(1-EXP(-LN(2)/25))/(LN(2)/25)*Calculateur!BL194*Calculateur!BN194*VLOOKUP('Données projet'!$B$11,Paramètres!$A$1:$I$89,3,0)*0.475*44/12</f>
        <v>2.3839104985962609</v>
      </c>
      <c r="BR194" s="21">
        <f>EXP(-LN(2)/2)*BR193+(1-EXP(-LN(2)/2))/(LN(2)/2)*BL194*BO194*VLOOKUP('Données projet'!$B$11,Paramètres!$A$1:$I$89,3,0)*0.475*44/12</f>
        <v>1.3878958445701508E-15</v>
      </c>
      <c r="BS194" s="22">
        <f t="shared" si="169"/>
        <v>19.395890377413782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-2.8421709430404007E-13</v>
      </c>
      <c r="O195" s="13">
        <f>N195*VLOOKUP('Données projet'!$B$9,Paramètres!$A$1:$I$89,3,0)*VLOOKUP('Données projet'!$B$9,Paramètres!$A$1:$I$89,5,0)</f>
        <v>-3.2366642699344083E-13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593.28343396240075</v>
      </c>
      <c r="T195" s="59">
        <f t="shared" si="142"/>
        <v>289.66477662068695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148.70267022023216</v>
      </c>
      <c r="AA195" s="21">
        <f>EXP(-LN(2)/25)*AA194+(1-EXP(-LN(2)/25))/(LN(2)/25)*Calculateur!V195*Calculateur!X195*VLOOKUP('Données projet'!$B$9,Paramètres!$A$1:$I$89,3,0)*0.475*44/12</f>
        <v>46.507679183559802</v>
      </c>
      <c r="AB195" s="21">
        <f>EXP(-LN(2)/2)*AB194+(1-EXP(-LN(2)/2))/(LN(2)/2)*V195*Y195*VLOOKUP('Données projet'!$B$9,Paramètres!$A$1:$I$89,3,0)*0.475*44/12</f>
        <v>5.5087712886531897</v>
      </c>
      <c r="AC195" s="22">
        <f t="shared" si="163"/>
        <v>200.71912069244513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1.1368683772161603E-13</v>
      </c>
      <c r="AJ195" s="13">
        <f>AI195*VLOOKUP('Données projet'!$B$10,Paramètres!$A$1:$I$89,3,0)*VLOOKUP('Données projet'!$B$10,Paramètres!$A$1:$I$89,5,0)</f>
        <v>6.7984728957526396E-14</v>
      </c>
      <c r="AK195" s="13">
        <f t="shared" si="164"/>
        <v>1.0682447123141398E-12</v>
      </c>
      <c r="AL195" s="20">
        <f t="shared" si="165"/>
        <v>1.978932943548152E-12</v>
      </c>
      <c r="AM195" s="59">
        <f t="shared" si="113"/>
        <v>293.3333333333353</v>
      </c>
      <c r="AN195" s="59">
        <f ca="1">AVERAGE(OFFSET($AM$3,0,0,'Données projet'!$E$10+1,1))-AVERAGE(OFFSET($H$3,0,0,'Données projet'!$E$10+1,1))</f>
        <v>302.00825291248458</v>
      </c>
      <c r="AO195" s="59">
        <f t="shared" si="144"/>
        <v>307.35115839449355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10.169334253000697</v>
      </c>
      <c r="AV195" s="21">
        <f>EXP(-LN(2)/25)*AV194+(1-EXP(-LN(2)/25))/(LN(2)/25)*Calculateur!AQ195*Calculateur!AS195*VLOOKUP('Données projet'!$B$10,Paramètres!$A$1:$I$89,3,0)*0.475*44/12</f>
        <v>1.2467242281905955</v>
      </c>
      <c r="AW195" s="21">
        <f>EXP(-LN(2)/2)*AW194+(1-EXP(-LN(2)/2))/(LN(2)/2)*AQ195*AT195*VLOOKUP('Données projet'!$B$10,Paramètres!$A$1:$I$89,3,0)*0.475*44/12</f>
        <v>8.1262908218056521E-19</v>
      </c>
      <c r="AX195" s="21">
        <f t="shared" si="166"/>
        <v>11.416058481191293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-2.2737367544323206E-13</v>
      </c>
      <c r="BE195" s="13">
        <f>BD195*VLOOKUP('Données projet'!$B$11,Paramètres!$A$1:$I$89,3,0)*VLOOKUP('Données projet'!$B$11,Paramètres!$A$1:$I$89,5,0)</f>
        <v>-1.3596945791505279E-13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349.71285006949597</v>
      </c>
      <c r="BJ195" s="59">
        <f t="shared" si="146"/>
        <v>258.51550516456842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16.678385329677063</v>
      </c>
      <c r="BQ195" s="21">
        <f>EXP(-LN(2)/25)*BQ194+(1-EXP(-LN(2)/25))/(LN(2)/25)*Calculateur!BL195*Calculateur!BN195*VLOOKUP('Données projet'!$B$11,Paramètres!$A$1:$I$89,3,0)*0.475*44/12</f>
        <v>2.3187223406477417</v>
      </c>
      <c r="BR195" s="21">
        <f>EXP(-LN(2)/2)*BR194+(1-EXP(-LN(2)/2))/(LN(2)/2)*BL195*BO195*VLOOKUP('Données projet'!$B$11,Paramètres!$A$1:$I$89,3,0)*0.475*44/12</f>
        <v>9.8139056327618416E-16</v>
      </c>
      <c r="BS195" s="22">
        <f t="shared" si="169"/>
        <v>18.997107670324805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-2.8421709430404007E-13</v>
      </c>
      <c r="O196" s="13">
        <f>N196*VLOOKUP('Données projet'!$B$9,Paramètres!$A$1:$I$89,3,0)*VLOOKUP('Données projet'!$B$9,Paramètres!$A$1:$I$89,5,0)</f>
        <v>-3.2366642699344083E-13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593.28343396240075</v>
      </c>
      <c r="T196" s="59">
        <f t="shared" si="142"/>
        <v>289.66477662068695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145.78670155688638</v>
      </c>
      <c r="AA196" s="21">
        <f>EXP(-LN(2)/25)*AA195+(1-EXP(-LN(2)/25))/(LN(2)/25)*Calculateur!V196*Calculateur!X196*VLOOKUP('Données projet'!$B$9,Paramètres!$A$1:$I$89,3,0)*0.475*44/12</f>
        <v>45.235924250552806</v>
      </c>
      <c r="AB196" s="21">
        <f>EXP(-LN(2)/2)*AB195+(1-EXP(-LN(2)/2))/(LN(2)/2)*V196*Y196*VLOOKUP('Données projet'!$B$9,Paramètres!$A$1:$I$89,3,0)*0.475*44/12</f>
        <v>3.8952895342124267</v>
      </c>
      <c r="AC196" s="22">
        <f t="shared" si="163"/>
        <v>194.91791534165162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1.1368683772161603E-13</v>
      </c>
      <c r="AJ196" s="13">
        <f>AI196*VLOOKUP('Données projet'!$B$10,Paramètres!$A$1:$I$89,3,0)*VLOOKUP('Données projet'!$B$10,Paramètres!$A$1:$I$89,5,0)</f>
        <v>6.7984728957526396E-14</v>
      </c>
      <c r="AK196" s="13">
        <f t="shared" si="164"/>
        <v>1.0682447123141398E-12</v>
      </c>
      <c r="AL196" s="20">
        <f t="shared" si="165"/>
        <v>1.978932943548152E-12</v>
      </c>
      <c r="AM196" s="59">
        <f t="shared" ref="AM196:AM203" si="193">AL196+(AD196+AE196)*44/12</f>
        <v>293.3333333333353</v>
      </c>
      <c r="AN196" s="59">
        <f ca="1">AVERAGE(OFFSET($AM$3,0,0,'Données projet'!$E$10+1,1))-AVERAGE(OFFSET($H$3,0,0,'Données projet'!$E$10+1,1))</f>
        <v>302.00825291248458</v>
      </c>
      <c r="AO196" s="59">
        <f t="shared" si="144"/>
        <v>307.35115839449355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9.9699198109807838</v>
      </c>
      <c r="AV196" s="21">
        <f>EXP(-LN(2)/25)*AV195+(1-EXP(-LN(2)/25))/(LN(2)/25)*Calculateur!AQ196*Calculateur!AS196*VLOOKUP('Données projet'!$B$10,Paramètres!$A$1:$I$89,3,0)*0.475*44/12</f>
        <v>1.2126324886083459</v>
      </c>
      <c r="AW196" s="21">
        <f>EXP(-LN(2)/2)*AW195+(1-EXP(-LN(2)/2))/(LN(2)/2)*AQ196*AT196*VLOOKUP('Données projet'!$B$10,Paramètres!$A$1:$I$89,3,0)*0.475*44/12</f>
        <v>5.7461553459927786E-19</v>
      </c>
      <c r="AX196" s="21">
        <f t="shared" si="166"/>
        <v>11.18255229958913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-2.2737367544323206E-13</v>
      </c>
      <c r="BE196" s="13">
        <f>BD196*VLOOKUP('Données projet'!$B$11,Paramètres!$A$1:$I$89,3,0)*VLOOKUP('Données projet'!$B$11,Paramètres!$A$1:$I$89,5,0)</f>
        <v>-1.3596945791505279E-13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349.71285006949597</v>
      </c>
      <c r="BJ196" s="59">
        <f t="shared" si="146"/>
        <v>258.51550516456842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16.351332366172667</v>
      </c>
      <c r="BQ196" s="21">
        <f>EXP(-LN(2)/25)*BQ195+(1-EXP(-LN(2)/25))/(LN(2)/25)*Calculateur!BL196*Calculateur!BN196*VLOOKUP('Données projet'!$B$11,Paramètres!$A$1:$I$89,3,0)*0.475*44/12</f>
        <v>2.2553167563064207</v>
      </c>
      <c r="BR196" s="21">
        <f>EXP(-LN(2)/2)*BR195+(1-EXP(-LN(2)/2))/(LN(2)/2)*BL196*BO196*VLOOKUP('Données projet'!$B$11,Paramètres!$A$1:$I$89,3,0)*0.475*44/12</f>
        <v>6.9394792228507538E-16</v>
      </c>
      <c r="BS196" s="22">
        <f t="shared" si="169"/>
        <v>18.606649122479087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-2.8421709430404007E-13</v>
      </c>
      <c r="O197" s="13">
        <f>N197*VLOOKUP('Données projet'!$B$9,Paramètres!$A$1:$I$89,3,0)*VLOOKUP('Données projet'!$B$9,Paramètres!$A$1:$I$89,5,0)</f>
        <v>-3.2366642699344083E-13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593.28343396240075</v>
      </c>
      <c r="T197" s="59">
        <f t="shared" ref="T197:T203" si="204">$T$3</f>
        <v>289.66477662068695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142.92791326046355</v>
      </c>
      <c r="AA197" s="21">
        <f>EXP(-LN(2)/25)*AA196+(1-EXP(-LN(2)/25))/(LN(2)/25)*Calculateur!V197*Calculateur!X197*VLOOKUP('Données projet'!$B$9,Paramètres!$A$1:$I$89,3,0)*0.475*44/12</f>
        <v>43.998945523067569</v>
      </c>
      <c r="AB197" s="21">
        <f>EXP(-LN(2)/2)*AB196+(1-EXP(-LN(2)/2))/(LN(2)/2)*V197*Y197*VLOOKUP('Données projet'!$B$9,Paramètres!$A$1:$I$89,3,0)*0.475*44/12</f>
        <v>2.7543856443265953</v>
      </c>
      <c r="AC197" s="22">
        <f t="shared" si="163"/>
        <v>189.68124442785771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1.1368683772161603E-13</v>
      </c>
      <c r="AJ197" s="13">
        <f>AI197*VLOOKUP('Données projet'!$B$10,Paramètres!$A$1:$I$89,3,0)*VLOOKUP('Données projet'!$B$10,Paramètres!$A$1:$I$89,5,0)</f>
        <v>6.7984728957526396E-14</v>
      </c>
      <c r="AK197" s="13">
        <f t="shared" si="164"/>
        <v>1.0682447123141398E-12</v>
      </c>
      <c r="AL197" s="20">
        <f t="shared" si="165"/>
        <v>1.978932943548152E-12</v>
      </c>
      <c r="AM197" s="59">
        <f t="shared" si="193"/>
        <v>293.3333333333353</v>
      </c>
      <c r="AN197" s="59">
        <f ca="1">AVERAGE(OFFSET($AM$3,0,0,'Données projet'!$E$10+1,1))-AVERAGE(OFFSET($H$3,0,0,'Données projet'!$E$10+1,1))</f>
        <v>302.00825291248458</v>
      </c>
      <c r="AO197" s="59">
        <f t="shared" ref="AO197:AO203" si="205">$AO$3</f>
        <v>307.35115839449355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9.774415764538082</v>
      </c>
      <c r="AV197" s="21">
        <f>EXP(-LN(2)/25)*AV196+(1-EXP(-LN(2)/25))/(LN(2)/25)*Calculateur!AQ197*Calculateur!AS197*VLOOKUP('Données projet'!$B$10,Paramètres!$A$1:$I$89,3,0)*0.475*44/12</f>
        <v>1.1794729894377796</v>
      </c>
      <c r="AW197" s="21">
        <f>EXP(-LN(2)/2)*AW196+(1-EXP(-LN(2)/2))/(LN(2)/2)*AQ197*AT197*VLOOKUP('Données projet'!$B$10,Paramètres!$A$1:$I$89,3,0)*0.475*44/12</f>
        <v>4.063145410902826E-19</v>
      </c>
      <c r="AX197" s="21">
        <f t="shared" si="166"/>
        <v>10.953888753975862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-2.2737367544323206E-13</v>
      </c>
      <c r="BE197" s="13">
        <f>BD197*VLOOKUP('Données projet'!$B$11,Paramètres!$A$1:$I$89,3,0)*VLOOKUP('Données projet'!$B$11,Paramètres!$A$1:$I$89,5,0)</f>
        <v>-1.3596945791505279E-13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349.71285006949597</v>
      </c>
      <c r="BJ197" s="59">
        <f t="shared" ref="BJ197:BJ203" si="206">$BJ$3</f>
        <v>258.51550516456842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16.030692711799979</v>
      </c>
      <c r="BQ197" s="21">
        <f>EXP(-LN(2)/25)*BQ196+(1-EXP(-LN(2)/25))/(LN(2)/25)*Calculateur!BL197*Calculateur!BN197*VLOOKUP('Données projet'!$B$11,Paramètres!$A$1:$I$89,3,0)*0.475*44/12</f>
        <v>2.1936450010032682</v>
      </c>
      <c r="BR197" s="21">
        <f>EXP(-LN(2)/2)*BR196+(1-EXP(-LN(2)/2))/(LN(2)/2)*BL197*BO197*VLOOKUP('Données projet'!$B$11,Paramètres!$A$1:$I$89,3,0)*0.475*44/12</f>
        <v>4.9069528163809208E-16</v>
      </c>
      <c r="BS197" s="22">
        <f t="shared" si="169"/>
        <v>18.224337712803248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-2.8421709430404007E-13</v>
      </c>
      <c r="O198" s="13">
        <f>N198*VLOOKUP('Données projet'!$B$9,Paramètres!$A$1:$I$89,3,0)*VLOOKUP('Données projet'!$B$9,Paramètres!$A$1:$I$89,5,0)</f>
        <v>-3.2366642699344083E-13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593.28343396240075</v>
      </c>
      <c r="T198" s="59">
        <f t="shared" si="204"/>
        <v>289.66477662068695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140.12518405884489</v>
      </c>
      <c r="AA198" s="21">
        <f>EXP(-LN(2)/25)*AA197+(1-EXP(-LN(2)/25))/(LN(2)/25)*Calculateur!V198*Calculateur!X198*VLOOKUP('Données projet'!$B$9,Paramètres!$A$1:$I$89,3,0)*0.475*44/12</f>
        <v>42.7957920439353</v>
      </c>
      <c r="AB198" s="21">
        <f>EXP(-LN(2)/2)*AB197+(1-EXP(-LN(2)/2))/(LN(2)/2)*V198*Y198*VLOOKUP('Données projet'!$B$9,Paramètres!$A$1:$I$89,3,0)*0.475*44/12</f>
        <v>1.9476447671062136</v>
      </c>
      <c r="AC198" s="22">
        <f t="shared" si="163"/>
        <v>184.86862086988643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1.1368683772161603E-13</v>
      </c>
      <c r="AJ198" s="13">
        <f>AI198*VLOOKUP('Données projet'!$B$10,Paramètres!$A$1:$I$89,3,0)*VLOOKUP('Données projet'!$B$10,Paramètres!$A$1:$I$89,5,0)</f>
        <v>6.7984728957526396E-14</v>
      </c>
      <c r="AK198" s="13">
        <f t="shared" si="164"/>
        <v>1.0682447123141398E-12</v>
      </c>
      <c r="AL198" s="20">
        <f t="shared" si="165"/>
        <v>1.978932943548152E-12</v>
      </c>
      <c r="AM198" s="59">
        <f t="shared" si="193"/>
        <v>293.3333333333353</v>
      </c>
      <c r="AN198" s="59">
        <f ca="1">AVERAGE(OFFSET($AM$3,0,0,'Données projet'!$E$10+1,1))-AVERAGE(OFFSET($H$3,0,0,'Données projet'!$E$10+1,1))</f>
        <v>302.00825291248458</v>
      </c>
      <c r="AO198" s="59">
        <f t="shared" si="205"/>
        <v>307.35115839449355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9.5827454332004276</v>
      </c>
      <c r="AV198" s="21">
        <f>EXP(-LN(2)/25)*AV197+(1-EXP(-LN(2)/25))/(LN(2)/25)*Calculateur!AQ198*Calculateur!AS198*VLOOKUP('Données projet'!$B$10,Paramètres!$A$1:$I$89,3,0)*0.475*44/12</f>
        <v>1.1472202385158148</v>
      </c>
      <c r="AW198" s="21">
        <f>EXP(-LN(2)/2)*AW197+(1-EXP(-LN(2)/2))/(LN(2)/2)*AQ198*AT198*VLOOKUP('Données projet'!$B$10,Paramètres!$A$1:$I$89,3,0)*0.475*44/12</f>
        <v>2.8730776729963893E-19</v>
      </c>
      <c r="AX198" s="21">
        <f t="shared" si="166"/>
        <v>10.729965671716242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-2.2737367544323206E-13</v>
      </c>
      <c r="BE198" s="13">
        <f>BD198*VLOOKUP('Données projet'!$B$11,Paramètres!$A$1:$I$89,3,0)*VLOOKUP('Données projet'!$B$11,Paramètres!$A$1:$I$89,5,0)</f>
        <v>-1.3596945791505279E-13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349.71285006949597</v>
      </c>
      <c r="BJ198" s="59">
        <f t="shared" si="206"/>
        <v>258.51550516456842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15.716340605478662</v>
      </c>
      <c r="BQ198" s="21">
        <f>EXP(-LN(2)/25)*BQ197+(1-EXP(-LN(2)/25))/(LN(2)/25)*Calculateur!BL198*Calculateur!BN198*VLOOKUP('Données projet'!$B$11,Paramètres!$A$1:$I$89,3,0)*0.475*44/12</f>
        <v>2.133659663092057</v>
      </c>
      <c r="BR198" s="21">
        <f>EXP(-LN(2)/2)*BR197+(1-EXP(-LN(2)/2))/(LN(2)/2)*BL198*BO198*VLOOKUP('Données projet'!$B$11,Paramètres!$A$1:$I$89,3,0)*0.475*44/12</f>
        <v>3.4697396114253769E-16</v>
      </c>
      <c r="BS198" s="22">
        <f t="shared" si="169"/>
        <v>17.850000268570717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-2.8421709430404007E-13</v>
      </c>
      <c r="O199" s="13">
        <f>N199*VLOOKUP('Données projet'!$B$9,Paramètres!$A$1:$I$89,3,0)*VLOOKUP('Données projet'!$B$9,Paramètres!$A$1:$I$89,5,0)</f>
        <v>-3.2366642699344083E-13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593.28343396240075</v>
      </c>
      <c r="T199" s="59">
        <f t="shared" si="204"/>
        <v>289.66477662068695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137.37741466737396</v>
      </c>
      <c r="AA199" s="21">
        <f>EXP(-LN(2)/25)*AA198+(1-EXP(-LN(2)/25))/(LN(2)/25)*Calculateur!V199*Calculateur!X199*VLOOKUP('Données projet'!$B$9,Paramètres!$A$1:$I$89,3,0)*0.475*44/12</f>
        <v>41.625538859960997</v>
      </c>
      <c r="AB199" s="21">
        <f>EXP(-LN(2)/2)*AB198+(1-EXP(-LN(2)/2))/(LN(2)/2)*V199*Y199*VLOOKUP('Données projet'!$B$9,Paramètres!$A$1:$I$89,3,0)*0.475*44/12</f>
        <v>1.3771928221632979</v>
      </c>
      <c r="AC199" s="22">
        <f t="shared" si="163"/>
        <v>180.38014634949826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1.1368683772161603E-13</v>
      </c>
      <c r="AJ199" s="13">
        <f>AI199*VLOOKUP('Données projet'!$B$10,Paramètres!$A$1:$I$89,3,0)*VLOOKUP('Données projet'!$B$10,Paramètres!$A$1:$I$89,5,0)</f>
        <v>6.7984728957526396E-14</v>
      </c>
      <c r="AK199" s="13">
        <f t="shared" si="164"/>
        <v>1.0682447123141398E-12</v>
      </c>
      <c r="AL199" s="20">
        <f t="shared" si="165"/>
        <v>1.978932943548152E-12</v>
      </c>
      <c r="AM199" s="59">
        <f t="shared" si="193"/>
        <v>293.3333333333353</v>
      </c>
      <c r="AN199" s="59">
        <f ca="1">AVERAGE(OFFSET($AM$3,0,0,'Données projet'!$E$10+1,1))-AVERAGE(OFFSET($H$3,0,0,'Données projet'!$E$10+1,1))</f>
        <v>302.00825291248458</v>
      </c>
      <c r="AO199" s="59">
        <f t="shared" si="205"/>
        <v>307.35115839449355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9.394833640152946</v>
      </c>
      <c r="AV199" s="21">
        <f>EXP(-LN(2)/25)*AV198+(1-EXP(-LN(2)/25))/(LN(2)/25)*Calculateur!AQ199*Calculateur!AS199*VLOOKUP('Données projet'!$B$10,Paramètres!$A$1:$I$89,3,0)*0.475*44/12</f>
        <v>1.1158494407639095</v>
      </c>
      <c r="AW199" s="21">
        <f>EXP(-LN(2)/2)*AW198+(1-EXP(-LN(2)/2))/(LN(2)/2)*AQ199*AT199*VLOOKUP('Données projet'!$B$10,Paramètres!$A$1:$I$89,3,0)*0.475*44/12</f>
        <v>2.031572705451413E-19</v>
      </c>
      <c r="AX199" s="21">
        <f t="shared" si="166"/>
        <v>10.510683080916856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-2.2737367544323206E-13</v>
      </c>
      <c r="BE199" s="13">
        <f>BD199*VLOOKUP('Données projet'!$B$11,Paramètres!$A$1:$I$89,3,0)*VLOOKUP('Données projet'!$B$11,Paramètres!$A$1:$I$89,5,0)</f>
        <v>-1.3596945791505279E-13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349.71285006949597</v>
      </c>
      <c r="BJ199" s="59">
        <f t="shared" si="206"/>
        <v>258.51550516456842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15.408152752226453</v>
      </c>
      <c r="BQ199" s="21">
        <f>EXP(-LN(2)/25)*BQ198+(1-EXP(-LN(2)/25))/(LN(2)/25)*Calculateur!BL199*Calculateur!BN199*VLOOKUP('Données projet'!$B$11,Paramètres!$A$1:$I$89,3,0)*0.475*44/12</f>
        <v>2.0753146274005196</v>
      </c>
      <c r="BR199" s="21">
        <f>EXP(-LN(2)/2)*BR198+(1-EXP(-LN(2)/2))/(LN(2)/2)*BL199*BO199*VLOOKUP('Données projet'!$B$11,Paramètres!$A$1:$I$89,3,0)*0.475*44/12</f>
        <v>2.4534764081904604E-16</v>
      </c>
      <c r="BS199" s="22">
        <f t="shared" si="169"/>
        <v>17.483467379626973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-2.8421709430404007E-13</v>
      </c>
      <c r="O200" s="13">
        <f>N200*VLOOKUP('Données projet'!$B$9,Paramètres!$A$1:$I$89,3,0)*VLOOKUP('Données projet'!$B$9,Paramètres!$A$1:$I$89,5,0)</f>
        <v>-3.2366642699344083E-13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593.28343396240075</v>
      </c>
      <c r="T200" s="59">
        <f t="shared" si="204"/>
        <v>289.66477662068695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134.68352735769594</v>
      </c>
      <c r="AA200" s="21">
        <f>EXP(-LN(2)/25)*AA199+(1-EXP(-LN(2)/25))/(LN(2)/25)*Calculateur!V200*Calculateur!X200*VLOOKUP('Données projet'!$B$9,Paramètres!$A$1:$I$89,3,0)*0.475*44/12</f>
        <v>40.487286310843409</v>
      </c>
      <c r="AB200" s="21">
        <f>EXP(-LN(2)/2)*AB199+(1-EXP(-LN(2)/2))/(LN(2)/2)*V200*Y200*VLOOKUP('Données projet'!$B$9,Paramètres!$A$1:$I$89,3,0)*0.475*44/12</f>
        <v>0.97382238355310702</v>
      </c>
      <c r="AC200" s="22">
        <f t="shared" si="163"/>
        <v>176.14463605209247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1.1368683772161603E-13</v>
      </c>
      <c r="AJ200" s="13">
        <f>AI200*VLOOKUP('Données projet'!$B$10,Paramètres!$A$1:$I$89,3,0)*VLOOKUP('Données projet'!$B$10,Paramètres!$A$1:$I$89,5,0)</f>
        <v>6.7984728957526396E-14</v>
      </c>
      <c r="AK200" s="13">
        <f t="shared" si="164"/>
        <v>1.0682447123141398E-12</v>
      </c>
      <c r="AL200" s="20">
        <f t="shared" si="165"/>
        <v>1.978932943548152E-12</v>
      </c>
      <c r="AM200" s="59">
        <f t="shared" si="193"/>
        <v>293.3333333333353</v>
      </c>
      <c r="AN200" s="59">
        <f ca="1">AVERAGE(OFFSET($AM$3,0,0,'Données projet'!$E$10+1,1))-AVERAGE(OFFSET($H$3,0,0,'Données projet'!$E$10+1,1))</f>
        <v>302.00825291248458</v>
      </c>
      <c r="AO200" s="59">
        <f t="shared" si="205"/>
        <v>307.35115839449355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9.2106066827522479</v>
      </c>
      <c r="AV200" s="21">
        <f>EXP(-LN(2)/25)*AV199+(1-EXP(-LN(2)/25))/(LN(2)/25)*Calculateur!AQ200*Calculateur!AS200*VLOOKUP('Données projet'!$B$10,Paramètres!$A$1:$I$89,3,0)*0.475*44/12</f>
        <v>1.0853364791262485</v>
      </c>
      <c r="AW200" s="21">
        <f>EXP(-LN(2)/2)*AW199+(1-EXP(-LN(2)/2))/(LN(2)/2)*AQ200*AT200*VLOOKUP('Données projet'!$B$10,Paramètres!$A$1:$I$89,3,0)*0.475*44/12</f>
        <v>1.4365388364981947E-19</v>
      </c>
      <c r="AX200" s="21">
        <f t="shared" si="166"/>
        <v>10.295943161878496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-2.2737367544323206E-13</v>
      </c>
      <c r="BE200" s="13">
        <f>BD200*VLOOKUP('Données projet'!$B$11,Paramètres!$A$1:$I$89,3,0)*VLOOKUP('Données projet'!$B$11,Paramètres!$A$1:$I$89,5,0)</f>
        <v>-1.3596945791505279E-13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349.71285006949597</v>
      </c>
      <c r="BJ200" s="59">
        <f t="shared" si="206"/>
        <v>258.51550516456842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15.106008274800491</v>
      </c>
      <c r="BQ200" s="21">
        <f>EXP(-LN(2)/25)*BQ199+(1-EXP(-LN(2)/25))/(LN(2)/25)*Calculateur!BL200*Calculateur!BN200*VLOOKUP('Données projet'!$B$11,Paramètres!$A$1:$I$89,3,0)*0.475*44/12</f>
        <v>2.0185650397781996</v>
      </c>
      <c r="BR200" s="21">
        <f>EXP(-LN(2)/2)*BR199+(1-EXP(-LN(2)/2))/(LN(2)/2)*BL200*BO200*VLOOKUP('Données projet'!$B$11,Paramètres!$A$1:$I$89,3,0)*0.475*44/12</f>
        <v>1.7348698057126885E-16</v>
      </c>
      <c r="BS200" s="22">
        <f t="shared" si="169"/>
        <v>17.12457331457869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-2.8421709430404007E-13</v>
      </c>
      <c r="O201" s="13">
        <f>N201*VLOOKUP('Données projet'!$B$9,Paramètres!$A$1:$I$89,3,0)*VLOOKUP('Données projet'!$B$9,Paramètres!$A$1:$I$89,5,0)</f>
        <v>-3.2366642699344083E-13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593.28343396240075</v>
      </c>
      <c r="T201" s="59">
        <f t="shared" si="204"/>
        <v>289.66477662068695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132.04246553505169</v>
      </c>
      <c r="AA201" s="21">
        <f>EXP(-LN(2)/25)*AA200+(1-EXP(-LN(2)/25))/(LN(2)/25)*Calculateur!V201*Calculateur!X201*VLOOKUP('Données projet'!$B$9,Paramètres!$A$1:$I$89,3,0)*0.475*44/12</f>
        <v>39.380159337539546</v>
      </c>
      <c r="AB201" s="21">
        <f>EXP(-LN(2)/2)*AB200+(1-EXP(-LN(2)/2))/(LN(2)/2)*V201*Y201*VLOOKUP('Données projet'!$B$9,Paramètres!$A$1:$I$89,3,0)*0.475*44/12</f>
        <v>0.68859641108164904</v>
      </c>
      <c r="AC201" s="22">
        <f t="shared" si="163"/>
        <v>172.11122128367288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1.1368683772161603E-13</v>
      </c>
      <c r="AJ201" s="13">
        <f>AI201*VLOOKUP('Données projet'!$B$10,Paramètres!$A$1:$I$89,3,0)*VLOOKUP('Données projet'!$B$10,Paramètres!$A$1:$I$89,5,0)</f>
        <v>6.7984728957526396E-14</v>
      </c>
      <c r="AK201" s="13">
        <f t="shared" si="164"/>
        <v>1.0682447123141398E-12</v>
      </c>
      <c r="AL201" s="20">
        <f t="shared" si="165"/>
        <v>1.978932943548152E-12</v>
      </c>
      <c r="AM201" s="59">
        <f t="shared" si="193"/>
        <v>293.3333333333353</v>
      </c>
      <c r="AN201" s="59">
        <f ca="1">AVERAGE(OFFSET($AM$3,0,0,'Données projet'!$E$10+1,1))-AVERAGE(OFFSET($H$3,0,0,'Données projet'!$E$10+1,1))</f>
        <v>302.00825291248458</v>
      </c>
      <c r="AO201" s="59">
        <f t="shared" si="205"/>
        <v>307.35115839449355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9.0299923036188297</v>
      </c>
      <c r="AV201" s="21">
        <f>EXP(-LN(2)/25)*AV200+(1-EXP(-LN(2)/25))/(LN(2)/25)*Calculateur!AQ201*Calculateur!AS201*VLOOKUP('Données projet'!$B$10,Paramètres!$A$1:$I$89,3,0)*0.475*44/12</f>
        <v>1.0556578960291765</v>
      </c>
      <c r="AW201" s="21">
        <f>EXP(-LN(2)/2)*AW200+(1-EXP(-LN(2)/2))/(LN(2)/2)*AQ201*AT201*VLOOKUP('Données projet'!$B$10,Paramètres!$A$1:$I$89,3,0)*0.475*44/12</f>
        <v>1.0157863527257065E-19</v>
      </c>
      <c r="AX201" s="21">
        <f t="shared" si="166"/>
        <v>10.085650199648006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-2.2737367544323206E-13</v>
      </c>
      <c r="BE201" s="13">
        <f>BD201*VLOOKUP('Données projet'!$B$11,Paramètres!$A$1:$I$89,3,0)*VLOOKUP('Données projet'!$B$11,Paramètres!$A$1:$I$89,5,0)</f>
        <v>-1.3596945791505279E-13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349.71285006949597</v>
      </c>
      <c r="BJ201" s="59">
        <f t="shared" si="206"/>
        <v>258.51550516456842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14.809788666286918</v>
      </c>
      <c r="BQ201" s="21">
        <f>EXP(-LN(2)/25)*BQ200+(1-EXP(-LN(2)/25))/(LN(2)/25)*Calculateur!BL201*Calculateur!BN201*VLOOKUP('Données projet'!$B$11,Paramètres!$A$1:$I$89,3,0)*0.475*44/12</f>
        <v>1.9633672726137428</v>
      </c>
      <c r="BR201" s="21">
        <f>EXP(-LN(2)/2)*BR200+(1-EXP(-LN(2)/2))/(LN(2)/2)*BL201*BO201*VLOOKUP('Données projet'!$B$11,Paramètres!$A$1:$I$89,3,0)*0.475*44/12</f>
        <v>1.2267382040952302E-16</v>
      </c>
      <c r="BS201" s="22">
        <f t="shared" si="169"/>
        <v>16.773155938900661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-2.8421709430404007E-13</v>
      </c>
      <c r="O202" s="13">
        <f>N202*VLOOKUP('Données projet'!$B$9,Paramètres!$A$1:$I$89,3,0)*VLOOKUP('Données projet'!$B$9,Paramètres!$A$1:$I$89,5,0)</f>
        <v>-3.2366642699344083E-13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593.28343396240075</v>
      </c>
      <c r="T202" s="59">
        <f t="shared" si="204"/>
        <v>289.66477662068695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129.45319332386083</v>
      </c>
      <c r="AA202" s="21">
        <f>EXP(-LN(2)/25)*AA201+(1-EXP(-LN(2)/25))/(LN(2)/25)*Calculateur!V202*Calculateur!X202*VLOOKUP('Données projet'!$B$9,Paramètres!$A$1:$I$89,3,0)*0.475*44/12</f>
        <v>38.303306809541951</v>
      </c>
      <c r="AB202" s="21">
        <f>EXP(-LN(2)/2)*AB201+(1-EXP(-LN(2)/2))/(LN(2)/2)*V202*Y202*VLOOKUP('Données projet'!$B$9,Paramètres!$A$1:$I$89,3,0)*0.475*44/12</f>
        <v>0.48691119177655356</v>
      </c>
      <c r="AC202" s="22">
        <f t="shared" si="163"/>
        <v>168.24341132517932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1.1368683772161603E-13</v>
      </c>
      <c r="AJ202" s="13">
        <f>AI202*VLOOKUP('Données projet'!$B$10,Paramètres!$A$1:$I$89,3,0)*VLOOKUP('Données projet'!$B$10,Paramètres!$A$1:$I$89,5,0)</f>
        <v>6.7984728957526396E-14</v>
      </c>
      <c r="AK202" s="13">
        <f t="shared" si="164"/>
        <v>1.0682447123141398E-12</v>
      </c>
      <c r="AL202" s="20">
        <f t="shared" si="165"/>
        <v>1.978932943548152E-12</v>
      </c>
      <c r="AM202" s="59">
        <f t="shared" si="193"/>
        <v>293.3333333333353</v>
      </c>
      <c r="AN202" s="59">
        <f ca="1">AVERAGE(OFFSET($AM$3,0,0,'Données projet'!$E$10+1,1))-AVERAGE(OFFSET($H$3,0,0,'Données projet'!$E$10+1,1))</f>
        <v>302.00825291248458</v>
      </c>
      <c r="AO202" s="59">
        <f t="shared" si="205"/>
        <v>307.35115839449355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8.8529196622963244</v>
      </c>
      <c r="AV202" s="21">
        <f>EXP(-LN(2)/25)*AV201+(1-EXP(-LN(2)/25))/(LN(2)/25)*Calculateur!AQ202*Calculateur!AS202*VLOOKUP('Données projet'!$B$10,Paramètres!$A$1:$I$89,3,0)*0.475*44/12</f>
        <v>1.0267908753476227</v>
      </c>
      <c r="AW202" s="21">
        <f>EXP(-LN(2)/2)*AW201+(1-EXP(-LN(2)/2))/(LN(2)/2)*AQ202*AT202*VLOOKUP('Données projet'!$B$10,Paramètres!$A$1:$I$89,3,0)*0.475*44/12</f>
        <v>7.1826941824909733E-20</v>
      </c>
      <c r="AX202" s="21">
        <f t="shared" si="166"/>
        <v>9.8797105376439465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-2.2737367544323206E-13</v>
      </c>
      <c r="BE202" s="13">
        <f>BD202*VLOOKUP('Données projet'!$B$11,Paramètres!$A$1:$I$89,3,0)*VLOOKUP('Données projet'!$B$11,Paramètres!$A$1:$I$89,5,0)</f>
        <v>-1.3596945791505279E-13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349.71285006949597</v>
      </c>
      <c r="BJ202" s="59">
        <f t="shared" si="206"/>
        <v>258.51550516456842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14.519377743620176</v>
      </c>
      <c r="BQ202" s="21">
        <f>EXP(-LN(2)/25)*BQ201+(1-EXP(-LN(2)/25))/(LN(2)/25)*Calculateur!BL202*Calculateur!BN202*VLOOKUP('Données projet'!$B$11,Paramètres!$A$1:$I$89,3,0)*0.475*44/12</f>
        <v>1.9096788912951224</v>
      </c>
      <c r="BR202" s="21">
        <f>EXP(-LN(2)/2)*BR201+(1-EXP(-LN(2)/2))/(LN(2)/2)*BL202*BO202*VLOOKUP('Données projet'!$B$11,Paramètres!$A$1:$I$89,3,0)*0.475*44/12</f>
        <v>8.6743490285634423E-17</v>
      </c>
      <c r="BS202" s="22">
        <f t="shared" si="169"/>
        <v>16.429056634915298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-2.8421709430404007E-13</v>
      </c>
      <c r="O203" s="13">
        <f>N203*VLOOKUP('Données projet'!$B$9,Paramètres!$A$1:$I$89,3,0)*VLOOKUP('Données projet'!$B$9,Paramètres!$A$1:$I$89,5,0)</f>
        <v>-3.2366642699344083E-13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593.28343396240075</v>
      </c>
      <c r="T203" s="59">
        <f t="shared" si="204"/>
        <v>289.66477662068695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126.91469516143133</v>
      </c>
      <c r="AA203" s="21">
        <f>EXP(-LN(2)/25)*AA202+(1-EXP(-LN(2)/25))/(LN(2)/25)*Calculateur!V203*Calculateur!X203*VLOOKUP('Données projet'!$B$9,Paramètres!$A$1:$I$89,3,0)*0.475*44/12</f>
        <v>37.255900870551663</v>
      </c>
      <c r="AB203" s="21">
        <f>EXP(-LN(2)/2)*AB202+(1-EXP(-LN(2)/2))/(LN(2)/2)*V203*Y203*VLOOKUP('Données projet'!$B$9,Paramètres!$A$1:$I$89,3,0)*0.475*44/12</f>
        <v>0.34429820554082458</v>
      </c>
      <c r="AC203" s="22">
        <f t="shared" si="163"/>
        <v>164.51489423752383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1.1368683772161603E-13</v>
      </c>
      <c r="AJ203" s="13">
        <f>AI203*VLOOKUP('Données projet'!$B$10,Paramètres!$A$1:$I$89,3,0)*VLOOKUP('Données projet'!$B$10,Paramètres!$A$1:$I$89,5,0)</f>
        <v>6.7984728957526396E-14</v>
      </c>
      <c r="AK203" s="13">
        <f t="shared" si="164"/>
        <v>1.0682447123141398E-12</v>
      </c>
      <c r="AL203" s="20">
        <f t="shared" si="165"/>
        <v>1.978932943548152E-12</v>
      </c>
      <c r="AM203" s="59">
        <f t="shared" si="193"/>
        <v>293.3333333333353</v>
      </c>
      <c r="AN203" s="59">
        <f ca="1">AVERAGE(OFFSET($AM$3,0,0,'Données projet'!$E$10+1,1))-AVERAGE(OFFSET($H$3,0,0,'Données projet'!$E$10+1,1))</f>
        <v>302.00825291248458</v>
      </c>
      <c r="AO203" s="59">
        <f t="shared" si="205"/>
        <v>307.35115839449355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8.6793193074665069</v>
      </c>
      <c r="AV203" s="21">
        <f>EXP(-LN(2)/25)*AV202+(1-EXP(-LN(2)/25))/(LN(2)/25)*Calculateur!AQ203*Calculateur!AS203*VLOOKUP('Données projet'!$B$10,Paramètres!$A$1:$I$89,3,0)*0.475*44/12</f>
        <v>0.99871322486465663</v>
      </c>
      <c r="AW203" s="21">
        <f>EXP(-LN(2)/2)*AW202+(1-EXP(-LN(2)/2))/(LN(2)/2)*AQ203*AT203*VLOOKUP('Données projet'!$B$10,Paramètres!$A$1:$I$89,3,0)*0.475*44/12</f>
        <v>5.0789317636285325E-20</v>
      </c>
      <c r="AX203" s="21">
        <f t="shared" si="166"/>
        <v>9.678032532331164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-2.2737367544323206E-13</v>
      </c>
      <c r="BE203" s="13">
        <f>BD203*VLOOKUP('Données projet'!$B$11,Paramètres!$A$1:$I$89,3,0)*VLOOKUP('Données projet'!$B$11,Paramètres!$A$1:$I$89,5,0)</f>
        <v>-1.3596945791505279E-13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349.71285006949597</v>
      </c>
      <c r="BJ203" s="59">
        <f t="shared" si="206"/>
        <v>258.51550516456842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14.234661602013755</v>
      </c>
      <c r="BQ203" s="21">
        <f>EXP(-LN(2)/25)*BQ202+(1-EXP(-LN(2)/25))/(LN(2)/25)*Calculateur!BL203*Calculateur!BN203*VLOOKUP('Données projet'!$B$11,Paramètres!$A$1:$I$89,3,0)*0.475*44/12</f>
        <v>1.857458621587009</v>
      </c>
      <c r="BR203" s="21">
        <f>EXP(-LN(2)/2)*BR202+(1-EXP(-LN(2)/2))/(LN(2)/2)*BL203*BO203*VLOOKUP('Données projet'!$B$11,Paramètres!$A$1:$I$89,3,0)*0.475*44/12</f>
        <v>6.133691020476151E-17</v>
      </c>
      <c r="BS203" s="22">
        <f t="shared" si="169"/>
        <v>16.092120223600766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1.0924684246274448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1.3275965341357465</v>
      </c>
      <c r="BA205" s="82">
        <f>EXP(LN('Données projet'!B88)/'Données projet'!A88)</f>
        <v>1.2474449991725556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09375" defaultRowHeight="14.6" x14ac:dyDescent="0.4"/>
  <cols>
    <col min="1" max="1" width="23.4609375" style="4" bestFit="1" customWidth="1"/>
    <col min="2" max="2" width="27.69140625" style="4" bestFit="1" customWidth="1"/>
    <col min="3" max="3" width="11.84375" style="4" bestFit="1" customWidth="1"/>
    <col min="4" max="4" width="40" style="4" bestFit="1" customWidth="1"/>
    <col min="5" max="5" width="11.84375" style="4" bestFit="1" customWidth="1"/>
    <col min="6" max="6" width="13.69140625" style="4" bestFit="1" customWidth="1"/>
    <col min="7" max="7" width="11.4609375" style="4" bestFit="1" customWidth="1"/>
    <col min="8" max="8" width="39" style="4" bestFit="1" customWidth="1"/>
    <col min="9" max="9" width="16.69140625" style="4" customWidth="1"/>
    <col min="10" max="14" width="11.4609375" style="4"/>
    <col min="15" max="15" width="23.4609375" style="4" bestFit="1" customWidth="1"/>
    <col min="16" max="16384" width="11.4609375" style="4"/>
  </cols>
  <sheetData>
    <row r="1" spans="1:16" ht="44.15" thickBot="1" x14ac:dyDescent="0.4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4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4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4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">
      <c r="A93" s="122" t="s">
        <v>208</v>
      </c>
    </row>
    <row r="94" spans="1:14" x14ac:dyDescent="0.4">
      <c r="A94" s="122" t="s">
        <v>209</v>
      </c>
    </row>
    <row r="95" spans="1:14" x14ac:dyDescent="0.4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F4" zoomScale="90" zoomScaleNormal="90" workbookViewId="0">
      <selection activeCell="M14" sqref="M14"/>
    </sheetView>
  </sheetViews>
  <sheetFormatPr baseColWidth="10" defaultColWidth="11.4609375" defaultRowHeight="14.6" x14ac:dyDescent="0.4"/>
  <cols>
    <col min="1" max="1" width="22.84375" style="1" bestFit="1" customWidth="1"/>
    <col min="2" max="2" width="10.53515625" style="1" bestFit="1" customWidth="1"/>
    <col min="3" max="3" width="15.53515625" style="1" bestFit="1" customWidth="1"/>
    <col min="4" max="4" width="13.4609375" style="1" bestFit="1" customWidth="1"/>
    <col min="5" max="8" width="11.4609375" style="1"/>
    <col min="9" max="13" width="11.4609375" style="62"/>
    <col min="14" max="15" width="11.4609375" style="1"/>
    <col min="16" max="17" width="13.4609375" style="1" customWidth="1"/>
    <col min="18" max="16384" width="11.4609375" style="1"/>
  </cols>
  <sheetData>
    <row r="1" spans="1:62" ht="15" thickBot="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6" thickBot="1" x14ac:dyDescent="0.7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75" thickBot="1" x14ac:dyDescent="0.4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">
      <c r="A6" s="145" t="str">
        <f>IF('Données projet'!$B$9="","",'Données projet'!$B$9)</f>
        <v>Chêne vert</v>
      </c>
      <c r="B6" s="146">
        <f>'Données projet'!D9</f>
        <v>0.3135</v>
      </c>
      <c r="C6" s="147">
        <f ca="1">IF(OR('Données projet'!B9="",'Données projet'!C9="",'Données projet'!C9=0%),0,Calculateur!S3)</f>
        <v>593.28343396240075</v>
      </c>
      <c r="D6" s="147">
        <f>IF(OR('Données projet'!B9="",'Données projet'!C9="",'Données projet'!C9=0%),0,Calculateur!T3)</f>
        <v>289.66477662068695</v>
      </c>
      <c r="E6" s="147">
        <f ca="1">MIN(C6,D6)</f>
        <v>289.66477662068695</v>
      </c>
      <c r="F6" s="147">
        <f ca="1">E6*B6</f>
        <v>90.809907470585358</v>
      </c>
      <c r="G6" s="147">
        <f ca="1">F6*(100%-'Données projet'!$C$24)*(100%-'Données projet'!$C$25)*(100%-'Données projet'!$C$26)*(100%-'Données projet'!$C$27)</f>
        <v>73.556025051174146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73.556025051174146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">
      <c r="A7" s="153" t="str">
        <f>IF('Données projet'!$B$10="","",'Données projet'!$B$10)</f>
        <v>Pin maritime</v>
      </c>
      <c r="B7" s="154">
        <f>'Données projet'!D10</f>
        <v>0.32300000000000001</v>
      </c>
      <c r="C7" s="147">
        <f ca="1">IF(OR('Données projet'!B10="",'Données projet'!C10="",'Données projet'!C10=0%),0,Calculateur!AN3)</f>
        <v>302.00825291248458</v>
      </c>
      <c r="D7" s="147">
        <f>IF(OR('Données projet'!B10="",'Données projet'!C10="",'Données projet'!C10=0%),0,Calculateur!AO3)</f>
        <v>307.35115839449355</v>
      </c>
      <c r="E7" s="147">
        <f t="shared" ref="E7:E15" ca="1" si="0">MIN(C7,D7)</f>
        <v>302.00825291248458</v>
      </c>
      <c r="F7" s="147">
        <f t="shared" ref="F7:F15" ca="1" si="1">E7*B7</f>
        <v>97.54866569073252</v>
      </c>
      <c r="G7" s="147">
        <f ca="1">F7*(100%-'Données projet'!$C$24)*(100%-'Données projet'!$C$25)*(100%-'Données projet'!$C$26)*(100%-'Données projet'!$C$27)</f>
        <v>79.014419209493354</v>
      </c>
      <c r="H7" s="155">
        <f>IF(OR('Données projet'!B10="",'Données projet'!C10="",'Données projet'!C10=0%),0,AVERAGE(Calculateur!$AX$3:$AX$33)*B7)</f>
        <v>3.3336639232102154</v>
      </c>
      <c r="I7" s="149">
        <f>H7*(100%-'Données projet'!$C$24)*(100%-'Données projet'!$C$25)*(100%-'Données projet'!$C$26)*(100%-'Données projet'!$C$27)</f>
        <v>2.7002677778002746</v>
      </c>
      <c r="J7" s="150">
        <f>IF(OR('Données projet'!B10="",'Données projet'!C10="",'Données projet'!C10=0%),0,SUM(Calculateur!$AQ$3:$AQ$33)*VLOOKUP('Données projet'!$B$10,Paramètres!$A$1:$I$89,9,0)*B7)</f>
        <v>29.446876399999994</v>
      </c>
      <c r="K7" s="151">
        <f>J7*(100%-'Données projet'!$C$24)*(100%-'Données projet'!$C$25)*(100%-'Données projet'!$C$26)*(100%-'Données projet'!$C$27)</f>
        <v>23.851969883999995</v>
      </c>
      <c r="L7" s="152">
        <f t="shared" ref="L7:L15" ca="1" si="2">G7+I7+K7</f>
        <v>105.56665687129363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">
      <c r="A8" s="153" t="str">
        <f>IF('Données projet'!$B$11="","",'Données projet'!$B$11)</f>
        <v>Pin laricio</v>
      </c>
      <c r="B8" s="154">
        <f>'Données projet'!D11</f>
        <v>0.3135</v>
      </c>
      <c r="C8" s="147">
        <f ca="1">IF(OR('Données projet'!B11="",'Données projet'!C11="",'Données projet'!C11=0%),0,Calculateur!BI3)</f>
        <v>349.71285006949597</v>
      </c>
      <c r="D8" s="147">
        <f>IF(OR('Données projet'!B11="",'Données projet'!C11="",'Données projet'!C11=0%),0,Calculateur!BJ3)</f>
        <v>258.51550516456842</v>
      </c>
      <c r="E8" s="147">
        <f t="shared" ca="1" si="0"/>
        <v>258.51550516456842</v>
      </c>
      <c r="F8" s="147">
        <f t="shared" ca="1" si="1"/>
        <v>81.044610869092196</v>
      </c>
      <c r="G8" s="147">
        <f ca="1">F8*(100%-'Données projet'!$C$24)*(100%-'Données projet'!$C$25)*(100%-'Données projet'!$C$26)*(100%-'Données projet'!$C$27)</f>
        <v>65.646134803964685</v>
      </c>
      <c r="H8" s="155">
        <f>IF(OR('Données projet'!B11="",'Données projet'!C11="",'Données projet'!C11=0%),0,AVERAGE(Calculateur!$BS$3:$BS$33)*B8)</f>
        <v>1.9869633137750999</v>
      </c>
      <c r="I8" s="149">
        <f>H8*(100%-'Données projet'!$C$24)*(100%-'Données projet'!$C$25)*(100%-'Données projet'!$C$26)*(100%-'Données projet'!$C$27)</f>
        <v>1.609440284157831</v>
      </c>
      <c r="J8" s="150">
        <f>IF(OR('Données projet'!B11="",'Données projet'!C11="",'Données projet'!C11=0%),0,SUM(Calculateur!$BL$3:$BL$33)*VLOOKUP('Données projet'!$B$11,Paramètres!$A$1:$I$89,9,0)*B8)</f>
        <v>12.206592749999999</v>
      </c>
      <c r="K8" s="151">
        <f>J8*(100%-'Données projet'!$C$24)*(100%-'Données projet'!$C$25)*(100%-'Données projet'!$C$26)*(100%-'Données projet'!$C$27)</f>
        <v>9.8873401274999999</v>
      </c>
      <c r="L8" s="152">
        <f t="shared" ca="1" si="2"/>
        <v>77.142915215622509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5">
      <c r="A16" s="209"/>
      <c r="B16" s="213"/>
      <c r="C16" s="214"/>
      <c r="D16" s="23"/>
      <c r="E16" s="23"/>
      <c r="F16" s="165">
        <f t="shared" ref="F16:L16" ca="1" si="3">SUM(F6:F15)</f>
        <v>269.4031840304101</v>
      </c>
      <c r="G16" s="166">
        <f t="shared" ca="1" si="3"/>
        <v>218.21657906463219</v>
      </c>
      <c r="H16" s="167">
        <f t="shared" si="3"/>
        <v>5.3206272369853149</v>
      </c>
      <c r="I16" s="167">
        <f t="shared" si="3"/>
        <v>4.3097080619581059</v>
      </c>
      <c r="J16" s="168">
        <f t="shared" si="3"/>
        <v>41.653469149999992</v>
      </c>
      <c r="K16" s="168">
        <f t="shared" si="3"/>
        <v>33.739310011499995</v>
      </c>
      <c r="L16" s="169">
        <f t="shared" ca="1" si="3"/>
        <v>256.2655971380903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5">
      <c r="A21" s="170" t="str">
        <f>A6</f>
        <v>Chêne vert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5">
      <c r="A39" s="170" t="str">
        <f>A7</f>
        <v>Pin maritime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5">
      <c r="A57" s="170" t="str">
        <f>A8</f>
        <v>Pin laricio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3" zoomScale="80" zoomScaleNormal="80" workbookViewId="0">
      <selection activeCell="E38" sqref="E38"/>
    </sheetView>
  </sheetViews>
  <sheetFormatPr baseColWidth="10" defaultColWidth="11.4609375" defaultRowHeight="14.6" x14ac:dyDescent="0.4"/>
  <cols>
    <col min="1" max="1" width="11.4609375" style="1"/>
    <col min="2" max="2" width="30.84375" style="1" bestFit="1" customWidth="1"/>
    <col min="3" max="3" width="18.07421875" style="1" bestFit="1" customWidth="1"/>
    <col min="4" max="5" width="11.4609375" style="1"/>
    <col min="6" max="6" width="14" style="1" customWidth="1"/>
    <col min="7" max="7" width="17.53515625" style="1" customWidth="1"/>
    <col min="8" max="8" width="21.69140625" style="1" customWidth="1"/>
    <col min="9" max="9" width="37" style="1" customWidth="1"/>
    <col min="10" max="10" width="11.4609375" style="1"/>
    <col min="11" max="11" width="8.84375" style="1" customWidth="1"/>
    <col min="12" max="12" width="11.4609375" style="1"/>
    <col min="13" max="13" width="21" style="1" customWidth="1"/>
    <col min="14" max="16" width="11.4609375" style="1"/>
    <col min="17" max="17" width="8" style="1" customWidth="1"/>
    <col min="18" max="18" width="11.4609375" style="1"/>
    <col min="19" max="19" width="31" style="1" customWidth="1"/>
    <col min="20" max="20" width="18.07421875" style="1" customWidth="1"/>
    <col min="21" max="21" width="16.4609375" style="1" customWidth="1"/>
    <col min="22" max="22" width="17.84375" style="1" customWidth="1"/>
    <col min="23" max="16384" width="11.4609375" style="1"/>
  </cols>
  <sheetData>
    <row r="1" spans="1:42" ht="15" thickBot="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6" thickBot="1" x14ac:dyDescent="0.7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7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vert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319.3578589324145</v>
      </c>
      <c r="U10" s="178">
        <f>'Données projet'!D9</f>
        <v>0.3135</v>
      </c>
      <c r="V10" s="177">
        <f>U10*T10</f>
        <v>100.11868877531195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maritime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2068.4911256554556</v>
      </c>
      <c r="U11" s="178">
        <f>'Données projet'!D10</f>
        <v>0.32300000000000001</v>
      </c>
      <c r="V11" s="177">
        <f t="shared" ref="V11" si="0">U11*T11</f>
        <v>668.12263358671214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laricio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1674.4714956032494</v>
      </c>
      <c r="U12" s="178">
        <f>'Données projet'!D11</f>
        <v>0.3135</v>
      </c>
      <c r="V12" s="177">
        <f t="shared" ref="V12:V19" si="1">U12*T12</f>
        <v>524.9468138716187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">
      <c r="A14" s="46" t="s">
        <v>165</v>
      </c>
      <c r="B14" s="174" t="str">
        <f>IF('Données projet'!$B$9="","",'Données projet'!$B$9)</f>
        <v>Chêne vert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4500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2000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1500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">
      <c r="A23" s="180">
        <f>'Données projet'!A36</f>
        <v>60</v>
      </c>
      <c r="B23" s="181">
        <f>'Données projet'!D36</f>
        <v>72.87</v>
      </c>
      <c r="C23" s="193">
        <v>15</v>
      </c>
      <c r="D23" s="182">
        <f>B23*C23</f>
        <v>1093.0500000000002</v>
      </c>
      <c r="E23" s="193">
        <v>60</v>
      </c>
      <c r="F23" s="230"/>
      <c r="H23" s="190">
        <v>5</v>
      </c>
      <c r="I23" s="191">
        <v>2000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-7310.9875111560159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">
      <c r="A24" s="180">
        <f>'Données projet'!A37</f>
        <v>69</v>
      </c>
      <c r="B24" s="181">
        <f>'Données projet'!D37</f>
        <v>42.22</v>
      </c>
      <c r="C24" s="193">
        <v>15</v>
      </c>
      <c r="D24" s="182">
        <f t="shared" ref="D24:D42" si="2">B24*C24</f>
        <v>633.29999999999995</v>
      </c>
      <c r="E24" s="193">
        <v>60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">
      <c r="A25" s="180">
        <f>'Données projet'!A38</f>
        <v>77</v>
      </c>
      <c r="B25" s="181">
        <f>'Données projet'!D38</f>
        <v>33.950000000000017</v>
      </c>
      <c r="C25" s="193">
        <v>15</v>
      </c>
      <c r="D25" s="182">
        <f t="shared" si="2"/>
        <v>509.25000000000023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-7310.9875111560159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">
      <c r="A26" s="180">
        <f>'Données projet'!A39</f>
        <v>86</v>
      </c>
      <c r="B26" s="181">
        <f>'Données projet'!D39</f>
        <v>37.54000000000002</v>
      </c>
      <c r="C26" s="193">
        <v>59.875</v>
      </c>
      <c r="D26" s="182">
        <f t="shared" si="2"/>
        <v>2247.7075000000013</v>
      </c>
      <c r="E26" s="193">
        <v>60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">
      <c r="A27" s="180">
        <f>'Données projet'!A40</f>
        <v>95</v>
      </c>
      <c r="B27" s="181">
        <f>'Données projet'!D40</f>
        <v>42.199999999999989</v>
      </c>
      <c r="C27" s="193">
        <v>59.875</v>
      </c>
      <c r="D27" s="182">
        <f t="shared" si="2"/>
        <v>2526.7249999999995</v>
      </c>
      <c r="E27" s="193">
        <v>60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">
      <c r="A28" s="180">
        <f>'Données projet'!A41</f>
        <v>104</v>
      </c>
      <c r="B28" s="181">
        <f>'Données projet'!D41</f>
        <v>39.400000000000006</v>
      </c>
      <c r="C28" s="193">
        <v>59.875</v>
      </c>
      <c r="D28" s="182">
        <f t="shared" si="2"/>
        <v>2359.0750000000003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">
      <c r="A29" s="180">
        <f>'Données projet'!A42</f>
        <v>113</v>
      </c>
      <c r="B29" s="181">
        <f>'Données projet'!D42</f>
        <v>41.639999999999986</v>
      </c>
      <c r="C29" s="193">
        <v>59.875</v>
      </c>
      <c r="D29" s="182">
        <f t="shared" si="2"/>
        <v>2493.1949999999993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">
      <c r="A30" s="180">
        <f>'Données projet'!A43</f>
        <v>122</v>
      </c>
      <c r="B30" s="181">
        <f>'Données projet'!D43</f>
        <v>45.829999999999984</v>
      </c>
      <c r="C30" s="193">
        <v>59.875</v>
      </c>
      <c r="D30" s="182">
        <f t="shared" si="2"/>
        <v>2744.0712499999991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">
      <c r="A31" s="180">
        <f>'Données projet'!A44</f>
        <v>132</v>
      </c>
      <c r="B31" s="181">
        <f>'Données projet'!D44</f>
        <v>48.699999999999989</v>
      </c>
      <c r="C31" s="193">
        <v>59.875</v>
      </c>
      <c r="D31" s="182">
        <f t="shared" si="2"/>
        <v>2915.9124999999995</v>
      </c>
      <c r="E31" s="193">
        <v>60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">
      <c r="A32" s="180">
        <f>'Données projet'!A45</f>
        <v>144</v>
      </c>
      <c r="B32" s="181">
        <f>'Données projet'!D45</f>
        <v>60.949999999999989</v>
      </c>
      <c r="C32" s="193">
        <v>59.875</v>
      </c>
      <c r="D32" s="182">
        <f t="shared" si="2"/>
        <v>3649.3812499999995</v>
      </c>
      <c r="E32" s="193">
        <v>60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">
      <c r="A33" s="180">
        <f>'Données projet'!A46</f>
        <v>156</v>
      </c>
      <c r="B33" s="181">
        <f>'Données projet'!D46</f>
        <v>65.69</v>
      </c>
      <c r="C33" s="193">
        <v>179.75</v>
      </c>
      <c r="D33" s="182">
        <f t="shared" si="2"/>
        <v>11807.7775</v>
      </c>
      <c r="E33" s="193">
        <v>60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">
      <c r="A34" s="180">
        <f>'Données projet'!A47</f>
        <v>168</v>
      </c>
      <c r="B34" s="181">
        <f>'Données projet'!D47</f>
        <v>71.37</v>
      </c>
      <c r="C34" s="193">
        <v>179.75</v>
      </c>
      <c r="D34" s="182">
        <f t="shared" si="2"/>
        <v>12828.757500000002</v>
      </c>
      <c r="E34" s="193">
        <v>60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">
      <c r="A35" s="180">
        <f>'Données projet'!A48</f>
        <v>180</v>
      </c>
      <c r="B35" s="181">
        <f>'Données projet'!D48</f>
        <v>175.59000000000003</v>
      </c>
      <c r="C35" s="193">
        <v>179.75</v>
      </c>
      <c r="D35" s="182">
        <f t="shared" si="2"/>
        <v>31562.302500000005</v>
      </c>
      <c r="E35" s="193">
        <v>60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">
      <c r="A36" s="180">
        <f>'Données projet'!A49</f>
        <v>184</v>
      </c>
      <c r="B36" s="181">
        <f>'Données projet'!D49</f>
        <v>101.19999999999999</v>
      </c>
      <c r="C36" s="193">
        <v>179.75</v>
      </c>
      <c r="D36" s="182">
        <f t="shared" si="2"/>
        <v>18190.699999999997</v>
      </c>
      <c r="E36" s="193">
        <v>60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">
      <c r="A37" s="180">
        <f>'Données projet'!A50</f>
        <v>188</v>
      </c>
      <c r="B37" s="181">
        <f>'Données projet'!D50</f>
        <v>72.180000000000007</v>
      </c>
      <c r="C37" s="193">
        <v>179.75</v>
      </c>
      <c r="D37" s="182">
        <f t="shared" si="2"/>
        <v>12974.355000000001</v>
      </c>
      <c r="E37" s="193">
        <v>60</v>
      </c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">
      <c r="A38" s="180">
        <f>'Données projet'!A51</f>
        <v>191</v>
      </c>
      <c r="B38" s="181">
        <f>'Données projet'!D51</f>
        <v>145.01</v>
      </c>
      <c r="C38" s="193">
        <v>234.375</v>
      </c>
      <c r="D38" s="182">
        <f t="shared" si="2"/>
        <v>33986.71875</v>
      </c>
      <c r="E38" s="193">
        <v>60</v>
      </c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">
      <c r="A45" s="46" t="s">
        <v>166</v>
      </c>
      <c r="B45" s="174" t="str">
        <f>IF('Données projet'!$B$10="","",'Données projet'!$B$10)</f>
        <v>Pin maritime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">
      <c r="A54" s="180">
        <f>'Données projet'!A62</f>
        <v>17</v>
      </c>
      <c r="B54" s="181">
        <f>'Données projet'!D62</f>
        <v>41.179999999999993</v>
      </c>
      <c r="C54" s="191">
        <v>8</v>
      </c>
      <c r="D54" s="179">
        <f>B54*C54</f>
        <v>329.43999999999994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">
      <c r="A55" s="180">
        <f>'Données projet'!A63</f>
        <v>23</v>
      </c>
      <c r="B55" s="181">
        <f>'Données projet'!D63</f>
        <v>58.370000000000005</v>
      </c>
      <c r="C55" s="191">
        <v>13.125</v>
      </c>
      <c r="D55" s="179">
        <f t="shared" ref="D55:D73" si="4">B55*C55</f>
        <v>766.10625000000005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">
      <c r="A56" s="180">
        <f>'Données projet'!A64</f>
        <v>29</v>
      </c>
      <c r="B56" s="181">
        <f>'Données projet'!D64</f>
        <v>54.97</v>
      </c>
      <c r="C56" s="191">
        <v>24.5</v>
      </c>
      <c r="D56" s="179">
        <f t="shared" si="4"/>
        <v>1346.7649999999999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">
      <c r="A57" s="180">
        <f>'Données projet'!A65</f>
        <v>36</v>
      </c>
      <c r="B57" s="181">
        <f>'Données projet'!D65</f>
        <v>76.509999999999991</v>
      </c>
      <c r="C57" s="191">
        <v>24.5</v>
      </c>
      <c r="D57" s="179">
        <f t="shared" si="4"/>
        <v>1874.4949999999999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">
      <c r="A58" s="180">
        <f>'Données projet'!A66</f>
        <v>44</v>
      </c>
      <c r="B58" s="181">
        <f>'Données projet'!D66</f>
        <v>78.240000000000009</v>
      </c>
      <c r="C58" s="191">
        <v>24.5</v>
      </c>
      <c r="D58" s="179">
        <f t="shared" si="4"/>
        <v>1916.88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">
      <c r="A59" s="180">
        <f>'Données projet'!A67</f>
        <v>52</v>
      </c>
      <c r="B59" s="181">
        <f>'Données projet'!D67</f>
        <v>75.70999999999998</v>
      </c>
      <c r="C59" s="191">
        <v>24.5</v>
      </c>
      <c r="D59" s="179">
        <f t="shared" si="4"/>
        <v>1854.8949999999995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">
      <c r="A60" s="180">
        <f>'Données projet'!A68</f>
        <v>60</v>
      </c>
      <c r="B60" s="181">
        <f>'Données projet'!D68</f>
        <v>437.74</v>
      </c>
      <c r="C60" s="191">
        <v>24.5</v>
      </c>
      <c r="D60" s="179">
        <f t="shared" si="4"/>
        <v>10724.630000000001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">
      <c r="A76" s="46" t="s">
        <v>167</v>
      </c>
      <c r="B76" s="174" t="str">
        <f>IF('Données projet'!B11="","",'Données projet'!B11)</f>
        <v>Pin laricio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">
      <c r="A85" s="180">
        <f>'Données projet'!A88</f>
        <v>22</v>
      </c>
      <c r="B85" s="181">
        <f>'Données projet'!D88</f>
        <v>52.620000000000005</v>
      </c>
      <c r="C85" s="191">
        <v>12.75</v>
      </c>
      <c r="D85" s="179">
        <f>B85*C85</f>
        <v>670.90500000000009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">
      <c r="A86" s="180">
        <f>'Données projet'!A89</f>
        <v>27</v>
      </c>
      <c r="B86" s="181">
        <f>'Données projet'!D89</f>
        <v>37.929999999999993</v>
      </c>
      <c r="C86" s="191">
        <v>12.75</v>
      </c>
      <c r="D86" s="179">
        <f t="shared" ref="D86:D104" si="6">B86*C86</f>
        <v>483.6074999999999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">
      <c r="A87" s="180">
        <f>'Données projet'!A90</f>
        <v>33</v>
      </c>
      <c r="B87" s="181">
        <f>'Données projet'!D90</f>
        <v>50.460000000000008</v>
      </c>
      <c r="C87" s="191">
        <v>12.75</v>
      </c>
      <c r="D87" s="179">
        <f t="shared" si="6"/>
        <v>643.36500000000012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">
      <c r="A88" s="180">
        <f>'Données projet'!A91</f>
        <v>41</v>
      </c>
      <c r="B88" s="181">
        <f>'Données projet'!D91</f>
        <v>72.16</v>
      </c>
      <c r="C88" s="191">
        <v>24.5</v>
      </c>
      <c r="D88" s="179">
        <f t="shared" si="6"/>
        <v>1767.9199999999998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">
      <c r="A89" s="180">
        <f>'Données projet'!A92</f>
        <v>50</v>
      </c>
      <c r="B89" s="181">
        <f>'Données projet'!D92</f>
        <v>70.20999999999998</v>
      </c>
      <c r="C89" s="191">
        <v>24.5</v>
      </c>
      <c r="D89" s="179">
        <f t="shared" si="6"/>
        <v>1720.1449999999995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">
      <c r="A90" s="180">
        <f>'Données projet'!A93</f>
        <v>60</v>
      </c>
      <c r="B90" s="181">
        <f>'Données projet'!D93</f>
        <v>69.839999999999975</v>
      </c>
      <c r="C90" s="191">
        <v>24.5</v>
      </c>
      <c r="D90" s="179">
        <f t="shared" si="6"/>
        <v>1711.0799999999995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">
      <c r="A91" s="180">
        <f>'Données projet'!A94</f>
        <v>70</v>
      </c>
      <c r="B91" s="181">
        <f>'Données projet'!D94</f>
        <v>67.88</v>
      </c>
      <c r="C91" s="191">
        <v>24.5</v>
      </c>
      <c r="D91" s="179">
        <f t="shared" si="6"/>
        <v>1663.06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">
      <c r="A92" s="180">
        <f>'Données projet'!A95</f>
        <v>80</v>
      </c>
      <c r="B92" s="181">
        <f>'Données projet'!D95</f>
        <v>520.03</v>
      </c>
      <c r="C92" s="191">
        <v>34</v>
      </c>
      <c r="D92" s="179">
        <f t="shared" si="6"/>
        <v>17681.02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eate a new document." ma:contentTypeScope="" ma:versionID="b650ad57ab3a7623fd3df204a7303bfb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87e2e07588c417d1119dc0de3bcdcb0c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Props1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D1F82A-652D-492C-8A8E-5F739EBCF7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Constantin DESCAMPS</cp:lastModifiedBy>
  <dcterms:created xsi:type="dcterms:W3CDTF">2021-02-01T08:22:39Z</dcterms:created>
  <dcterms:modified xsi:type="dcterms:W3CDTF">2025-01-20T10:08:18Z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