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UERET (Connerre)- 20511892 CD/"/>
    </mc:Choice>
  </mc:AlternateContent>
  <xr:revisionPtr revIDLastSave="12" documentId="14_{58CDBC18-9B0E-408C-A2CD-7671A8247C16}" xr6:coauthVersionLast="47" xr6:coauthVersionMax="47" xr10:uidLastSave="{EAF35554-4898-46C9-B8FD-175273D4C16C}"/>
  <bookViews>
    <workbookView xWindow="33735" yWindow="0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HH162" i="2"/>
  <c r="EC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D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C168" i="2"/>
  <c r="EV168" i="2"/>
  <c r="EY168" i="2" s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D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A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EB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EV189" i="2"/>
  <c r="EY189" i="2" s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HG192" i="2"/>
  <c r="EA192" i="2"/>
  <c r="EV192" i="2"/>
  <c r="EY192" i="2" s="1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Y194" i="2"/>
  <c r="EX195" i="2"/>
  <c r="AA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EV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FS201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9" i="2" a="1"/>
  <c r="AH199" i="2" s="1"/>
  <c r="AH62" i="2" a="1"/>
  <c r="AH62" i="2" s="1"/>
  <c r="AH163" i="2" a="1"/>
  <c r="AH163" i="2" s="1"/>
  <c r="CS38" i="2" a="1"/>
  <c r="CS38" i="2" s="1"/>
  <c r="FY196" i="2" a="1"/>
  <c r="FY196" i="2" s="1"/>
  <c r="FY30" i="2" a="1"/>
  <c r="FY30" i="2" s="1"/>
  <c r="FY142" i="2" a="1"/>
  <c r="FY142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FD188" i="2" l="1" a="1"/>
  <c r="FD188" i="2" s="1"/>
  <c r="FS203" i="2"/>
  <c r="CS66" i="2" a="1"/>
  <c r="CS66" i="2" s="1"/>
  <c r="CS105" i="2" a="1"/>
  <c r="CS105" i="2" s="1"/>
  <c r="CS116" i="2" a="1"/>
  <c r="CS116" i="2" s="1"/>
  <c r="CS161" i="2" a="1"/>
  <c r="CS161" i="2" s="1"/>
  <c r="CS114" i="2" a="1"/>
  <c r="CS114" i="2" s="1"/>
  <c r="CS120" i="2" a="1"/>
  <c r="CS120" i="2" s="1"/>
  <c r="CS56" i="2" a="1"/>
  <c r="CS56" i="2" s="1"/>
  <c r="CS72" i="2" a="1"/>
  <c r="CS72" i="2" s="1"/>
  <c r="CS185" i="2" a="1"/>
  <c r="CS185" i="2" s="1"/>
  <c r="CS77" i="2" a="1"/>
  <c r="CS77" i="2" s="1"/>
  <c r="BC185" i="2" a="1"/>
  <c r="BC185" i="2" s="1"/>
  <c r="BC143" i="2" a="1"/>
  <c r="BC143" i="2" s="1"/>
  <c r="BC117" i="2" a="1"/>
  <c r="BC117" i="2" s="1"/>
  <c r="BC31" i="2" a="1"/>
  <c r="BC31" i="2" s="1"/>
  <c r="BC181" i="2" a="1"/>
  <c r="BC181" i="2" s="1"/>
  <c r="BC84" i="2" a="1"/>
  <c r="BC84" i="2" s="1"/>
  <c r="BC65" i="2" a="1"/>
  <c r="BC6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T203" i="2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J30" i="2" l="1"/>
  <c r="FJ196" i="2"/>
  <c r="FJ98" i="2"/>
  <c r="FJ195" i="2"/>
  <c r="FJ7" i="2"/>
  <c r="FJ182" i="2"/>
  <c r="FJ35" i="2"/>
  <c r="FJ60" i="2"/>
  <c r="FJ174" i="2"/>
  <c r="FJ20" i="2"/>
  <c r="FJ22" i="2"/>
  <c r="FJ66" i="2"/>
  <c r="FJ189" i="2"/>
  <c r="FJ155" i="2"/>
  <c r="FJ167" i="2"/>
  <c r="FJ77" i="2"/>
  <c r="FJ198" i="2"/>
  <c r="FJ175" i="2"/>
  <c r="FJ53" i="2"/>
  <c r="FJ183" i="2"/>
  <c r="FJ86" i="2"/>
  <c r="FJ71" i="2"/>
  <c r="FJ203" i="2"/>
  <c r="FJ70" i="2"/>
  <c r="FJ166" i="2"/>
  <c r="FJ50" i="2"/>
  <c r="FJ59" i="2"/>
  <c r="FJ97" i="2"/>
  <c r="FJ126" i="2"/>
  <c r="FJ11" i="2"/>
  <c r="FJ32" i="2"/>
  <c r="FJ39" i="2"/>
  <c r="FJ40" i="2"/>
  <c r="FJ18" i="2"/>
  <c r="FJ49" i="2"/>
  <c r="FJ69" i="2"/>
  <c r="FJ16" i="2"/>
  <c r="FJ165" i="2"/>
  <c r="FJ61" i="2"/>
  <c r="FJ186" i="2"/>
  <c r="FJ42" i="2"/>
  <c r="FJ151" i="2"/>
  <c r="FJ162" i="2"/>
  <c r="FJ90" i="2"/>
  <c r="FJ121" i="2"/>
  <c r="FJ101" i="2"/>
  <c r="FJ75" i="2"/>
  <c r="FJ168" i="2"/>
  <c r="FJ102" i="2"/>
  <c r="FJ138" i="2"/>
  <c r="FJ74" i="2"/>
  <c r="FJ55" i="2"/>
  <c r="FJ63" i="2"/>
  <c r="FJ19" i="2"/>
  <c r="FJ161" i="2"/>
  <c r="FJ190" i="2"/>
  <c r="FJ9" i="2"/>
  <c r="FJ159" i="2"/>
  <c r="FJ79" i="2"/>
  <c r="FJ125" i="2"/>
  <c r="FJ88" i="2"/>
  <c r="FJ13" i="2"/>
  <c r="FJ17" i="2"/>
  <c r="FJ117" i="2"/>
  <c r="FJ123" i="2"/>
  <c r="FJ91" i="2"/>
  <c r="FJ21" i="2"/>
  <c r="FJ23" i="2"/>
  <c r="FJ118" i="2"/>
  <c r="FJ173" i="2"/>
  <c r="FJ201" i="2"/>
  <c r="FJ52" i="2"/>
  <c r="FJ14" i="2"/>
  <c r="FJ172" i="2"/>
  <c r="FJ187" i="2"/>
  <c r="FJ145" i="2"/>
  <c r="FJ64" i="2"/>
  <c r="FJ94" i="2"/>
  <c r="FJ181" i="2"/>
  <c r="FJ158" i="2"/>
  <c r="FJ113" i="2"/>
  <c r="FJ136" i="2"/>
  <c r="FJ5" i="2"/>
  <c r="FJ184" i="2"/>
  <c r="FJ105" i="2"/>
  <c r="FJ170" i="2"/>
  <c r="FJ185" i="2"/>
  <c r="FJ156" i="2"/>
  <c r="FJ15" i="2"/>
  <c r="FJ99" i="2"/>
  <c r="FJ81" i="2"/>
  <c r="FJ28" i="2"/>
  <c r="FJ148" i="2"/>
  <c r="FJ124" i="2"/>
  <c r="FJ114" i="2"/>
  <c r="FJ131" i="2"/>
  <c r="FJ179" i="2"/>
  <c r="FJ37" i="2"/>
  <c r="FJ169" i="2"/>
  <c r="FJ146" i="2"/>
  <c r="FJ48" i="2"/>
  <c r="FJ51" i="2"/>
  <c r="FJ177" i="2"/>
  <c r="FJ46" i="2"/>
  <c r="FJ149" i="2"/>
  <c r="FJ112" i="2"/>
  <c r="FJ45" i="2"/>
  <c r="FJ103" i="2"/>
  <c r="FJ73" i="2"/>
  <c r="FJ109" i="2"/>
  <c r="FJ24" i="2"/>
  <c r="FJ25" i="2"/>
  <c r="FJ160" i="2"/>
  <c r="FJ141" i="2"/>
  <c r="FJ120" i="2"/>
  <c r="FJ3" i="2"/>
  <c r="C13" i="4" s="1"/>
  <c r="E13" i="4" s="1"/>
  <c r="F13" i="4" s="1"/>
  <c r="G13" i="4" s="1"/>
  <c r="L13" i="4" s="1"/>
  <c r="FJ54" i="2"/>
  <c r="FJ62" i="2"/>
  <c r="FJ137" i="2"/>
  <c r="FJ188" i="2"/>
  <c r="FJ58" i="2"/>
  <c r="FJ116" i="2"/>
  <c r="FJ144" i="2"/>
  <c r="FJ164" i="2"/>
  <c r="FJ193" i="2"/>
  <c r="FJ106" i="2"/>
  <c r="FJ56" i="2"/>
  <c r="FJ4" i="2"/>
  <c r="FJ127" i="2"/>
  <c r="FJ142" i="2"/>
  <c r="FJ115" i="2"/>
  <c r="FJ68" i="2"/>
  <c r="FJ108" i="2"/>
  <c r="FJ133" i="2"/>
  <c r="FJ202" i="2"/>
  <c r="FJ12" i="2"/>
  <c r="FJ200" i="2"/>
  <c r="FJ147" i="2"/>
  <c r="FJ178" i="2"/>
  <c r="FJ191" i="2"/>
  <c r="FJ194" i="2"/>
  <c r="FJ122" i="2"/>
  <c r="FJ134" i="2"/>
  <c r="FJ6" i="2"/>
  <c r="FJ107" i="2"/>
  <c r="FJ150" i="2"/>
  <c r="FJ36" i="2"/>
  <c r="FJ29" i="2"/>
  <c r="FJ180" i="2"/>
  <c r="FJ34" i="2"/>
  <c r="FJ85" i="2"/>
  <c r="FJ82" i="2"/>
  <c r="FJ27" i="2"/>
  <c r="FJ84" i="2"/>
  <c r="FJ157" i="2"/>
  <c r="FJ26" i="2"/>
  <c r="FJ47" i="2"/>
  <c r="FJ100" i="2"/>
  <c r="FJ78" i="2"/>
  <c r="FJ92" i="2"/>
  <c r="FJ57" i="2"/>
  <c r="FJ154" i="2"/>
  <c r="FJ72" i="2"/>
  <c r="FJ80" i="2"/>
  <c r="FJ89" i="2"/>
  <c r="FJ41" i="2"/>
  <c r="FJ129" i="2"/>
  <c r="FJ176" i="2"/>
  <c r="FJ76" i="2"/>
  <c r="FJ93" i="2"/>
  <c r="FJ135" i="2"/>
  <c r="FJ132" i="2"/>
  <c r="FJ83" i="2"/>
  <c r="FJ44" i="2"/>
  <c r="FJ87" i="2"/>
  <c r="FJ31" i="2"/>
  <c r="FJ199" i="2"/>
  <c r="FJ96" i="2"/>
  <c r="FJ95" i="2"/>
  <c r="FJ8" i="2"/>
  <c r="FJ119" i="2"/>
  <c r="FJ192" i="2"/>
  <c r="FJ153" i="2"/>
  <c r="FJ128" i="2"/>
  <c r="FJ38" i="2"/>
  <c r="FJ65" i="2"/>
  <c r="FJ10" i="2"/>
  <c r="FJ33" i="2"/>
  <c r="FJ110" i="2"/>
  <c r="FJ139" i="2"/>
  <c r="FJ152" i="2"/>
  <c r="FJ43" i="2"/>
  <c r="FJ104" i="2"/>
  <c r="FJ197" i="2"/>
  <c r="FJ140" i="2"/>
  <c r="FJ143" i="2"/>
  <c r="FJ67" i="2"/>
  <c r="FJ171" i="2"/>
  <c r="FJ130" i="2"/>
  <c r="FJ163" i="2"/>
  <c r="FJ111" i="2"/>
  <c r="CY61" i="2"/>
  <c r="CY24" i="2"/>
  <c r="CY191" i="2"/>
  <c r="CY197" i="2"/>
  <c r="CY70" i="2"/>
  <c r="CY26" i="2"/>
  <c r="CY199" i="2"/>
  <c r="CY29" i="2"/>
  <c r="CY34" i="2"/>
  <c r="CY85" i="2"/>
  <c r="CY194" i="2"/>
  <c r="CY126" i="2"/>
  <c r="CY39" i="2"/>
  <c r="CY138" i="2"/>
  <c r="CY40" i="2"/>
  <c r="CY162" i="2"/>
  <c r="CY73" i="2"/>
  <c r="CY83" i="2"/>
  <c r="CY50" i="2"/>
  <c r="CY31" i="2"/>
  <c r="CY93" i="2"/>
  <c r="CY200" i="2"/>
  <c r="CY161" i="2"/>
  <c r="CY184" i="2"/>
  <c r="CY14" i="2"/>
  <c r="CY198" i="2"/>
  <c r="CY41" i="2"/>
  <c r="CY92" i="2"/>
  <c r="CY49" i="2"/>
  <c r="CY25" i="2"/>
  <c r="CY13" i="2"/>
  <c r="CY169" i="2"/>
  <c r="CY47" i="2"/>
  <c r="CY7" i="2"/>
  <c r="CY82" i="2"/>
  <c r="CY53" i="2"/>
  <c r="CY131" i="2"/>
  <c r="CY102" i="2"/>
  <c r="CY150" i="2"/>
  <c r="CY10" i="2"/>
  <c r="CY103" i="2"/>
  <c r="CY98" i="2"/>
  <c r="CY148" i="2"/>
  <c r="CY46" i="2"/>
  <c r="CY192" i="2"/>
  <c r="CY87" i="2"/>
  <c r="CY8" i="2"/>
  <c r="CY175" i="2"/>
  <c r="CY128" i="2"/>
  <c r="CY67" i="2"/>
  <c r="CY140" i="2"/>
  <c r="CY133" i="2"/>
  <c r="CY37" i="2"/>
  <c r="CY23" i="2"/>
  <c r="CY141" i="2"/>
  <c r="CY81" i="2"/>
  <c r="CY155" i="2"/>
  <c r="CY168" i="2"/>
  <c r="CY94" i="2"/>
  <c r="CY16" i="2"/>
  <c r="CY174" i="2"/>
  <c r="CY147" i="2"/>
  <c r="CY127" i="2"/>
  <c r="CY135" i="2"/>
  <c r="CY75" i="2"/>
  <c r="CY143" i="2"/>
  <c r="CY145" i="2"/>
  <c r="CY151" i="2"/>
  <c r="CY72" i="2"/>
  <c r="CY90" i="2"/>
  <c r="CY170" i="2"/>
  <c r="CY18" i="2"/>
  <c r="CY84" i="2"/>
  <c r="CY12" i="2"/>
  <c r="CY58" i="2"/>
  <c r="CY153" i="2"/>
  <c r="CY65" i="2"/>
  <c r="CY22" i="2"/>
  <c r="CY105" i="2"/>
  <c r="CY119" i="2"/>
  <c r="CY189" i="2"/>
  <c r="CY121" i="2"/>
  <c r="CY19" i="2"/>
  <c r="CY99" i="2"/>
  <c r="CY180" i="2"/>
  <c r="CY159" i="2"/>
  <c r="CY160" i="2"/>
  <c r="CY11" i="2"/>
  <c r="CY157" i="2"/>
  <c r="CY167" i="2"/>
  <c r="CY177" i="2"/>
  <c r="CY5" i="2"/>
  <c r="CY32" i="2"/>
  <c r="CY118" i="2"/>
  <c r="CY166" i="2"/>
  <c r="CY179" i="2"/>
  <c r="CY59" i="2"/>
  <c r="CY201" i="2"/>
  <c r="CY165" i="2"/>
  <c r="CY44" i="2"/>
  <c r="CY183" i="2"/>
  <c r="CY36" i="2"/>
  <c r="CY74" i="2"/>
  <c r="CY88" i="2"/>
  <c r="CY129" i="2"/>
  <c r="CY66" i="2"/>
  <c r="CY125" i="2"/>
  <c r="CY108" i="2"/>
  <c r="CY115" i="2"/>
  <c r="CY9" i="2"/>
  <c r="CY158" i="2"/>
  <c r="CY113" i="2"/>
  <c r="CY4" i="2"/>
  <c r="CY51" i="2"/>
  <c r="CY137" i="2"/>
  <c r="CY117" i="2"/>
  <c r="CY134" i="2"/>
  <c r="CY6" i="2"/>
  <c r="CY30" i="2"/>
  <c r="CY116" i="2"/>
  <c r="CY193" i="2"/>
  <c r="CY76" i="2"/>
  <c r="CY80" i="2"/>
  <c r="CY95" i="2"/>
  <c r="CY69" i="2"/>
  <c r="CY156" i="2"/>
  <c r="CY62" i="2"/>
  <c r="CY33" i="2"/>
  <c r="CY86" i="2"/>
  <c r="CY56" i="2"/>
  <c r="CY146" i="2"/>
  <c r="CY89" i="2"/>
  <c r="CY91" i="2"/>
  <c r="CY152" i="2"/>
  <c r="CY202" i="2"/>
  <c r="CY20" i="2"/>
  <c r="CY38" i="2"/>
  <c r="CY97" i="2"/>
  <c r="CY68" i="2"/>
  <c r="CY111" i="2"/>
  <c r="CY64" i="2"/>
  <c r="CY60" i="2"/>
  <c r="CY173" i="2"/>
  <c r="CY77" i="2"/>
  <c r="CY79" i="2"/>
  <c r="CY45" i="2"/>
  <c r="CY107" i="2"/>
  <c r="CY178" i="2"/>
  <c r="CY110" i="2"/>
  <c r="CY35" i="2"/>
  <c r="CY57" i="2"/>
  <c r="CY3" i="2"/>
  <c r="C10" i="4" s="1"/>
  <c r="E10" i="4" s="1"/>
  <c r="F10" i="4" s="1"/>
  <c r="G10" i="4" s="1"/>
  <c r="L10" i="4" s="1"/>
  <c r="CY171" i="2"/>
  <c r="CY104" i="2"/>
  <c r="CY136" i="2"/>
  <c r="CY186" i="2"/>
  <c r="CY27" i="2"/>
  <c r="CY42" i="2"/>
  <c r="CY112" i="2"/>
  <c r="CY144" i="2"/>
  <c r="CY181" i="2"/>
  <c r="CY182" i="2"/>
  <c r="CY101" i="2"/>
  <c r="CY109" i="2"/>
  <c r="CY190" i="2"/>
  <c r="CY96" i="2"/>
  <c r="CY78" i="2"/>
  <c r="CY172" i="2"/>
  <c r="CY122" i="2"/>
  <c r="CY154" i="2"/>
  <c r="CY15" i="2"/>
  <c r="CY63" i="2"/>
  <c r="CY139" i="2"/>
  <c r="CY149" i="2"/>
  <c r="CY55" i="2"/>
  <c r="CY196" i="2"/>
  <c r="CY54" i="2"/>
  <c r="CY187" i="2"/>
  <c r="CY164" i="2"/>
  <c r="CY21" i="2"/>
  <c r="CY123" i="2"/>
  <c r="CY188" i="2"/>
  <c r="CY163" i="2"/>
  <c r="CY142" i="2"/>
  <c r="CY132" i="2"/>
  <c r="CY176" i="2"/>
  <c r="CY124" i="2"/>
  <c r="CY100" i="2"/>
  <c r="CY71" i="2"/>
  <c r="CY185" i="2"/>
  <c r="CY120" i="2"/>
  <c r="CY106" i="2"/>
  <c r="CY43" i="2"/>
  <c r="CY52" i="2"/>
  <c r="CY17" i="2"/>
  <c r="CY130" i="2"/>
  <c r="CY114" i="2"/>
  <c r="CY203" i="2"/>
  <c r="CY28" i="2"/>
  <c r="CY48" i="2"/>
  <c r="CY195" i="2"/>
  <c r="CD107" i="2"/>
  <c r="CD40" i="2"/>
  <c r="CD168" i="2"/>
  <c r="CD34" i="2"/>
  <c r="CD78" i="2"/>
  <c r="CD189" i="2"/>
  <c r="CD52" i="2"/>
  <c r="CD93" i="2"/>
  <c r="CD127" i="2"/>
  <c r="CD14" i="2"/>
  <c r="CD53" i="2"/>
  <c r="CD6" i="2"/>
  <c r="CD175" i="2"/>
  <c r="CD183" i="2"/>
  <c r="CD15" i="2"/>
  <c r="CD181" i="2"/>
  <c r="CD32" i="2"/>
  <c r="CD38" i="2"/>
  <c r="CD98" i="2"/>
  <c r="CD186" i="2"/>
  <c r="CD92" i="2"/>
  <c r="CD199" i="2"/>
  <c r="CD79" i="2"/>
  <c r="CD76" i="2"/>
  <c r="CD85" i="2"/>
  <c r="CD60" i="2"/>
  <c r="CD59" i="2"/>
  <c r="CD136" i="2"/>
  <c r="CD109" i="2"/>
  <c r="CD91" i="2"/>
  <c r="CD149" i="2"/>
  <c r="CD143" i="2"/>
  <c r="CD203" i="2"/>
  <c r="CD187" i="2"/>
  <c r="CD106" i="2"/>
  <c r="CD48" i="2"/>
  <c r="CD80" i="2"/>
  <c r="CD100" i="2"/>
  <c r="CD67" i="2"/>
  <c r="CD88" i="2"/>
  <c r="CD142" i="2"/>
  <c r="CD101" i="2"/>
  <c r="CD96" i="2"/>
  <c r="CD94" i="2"/>
  <c r="CD69" i="2"/>
  <c r="CD97" i="2"/>
  <c r="CD27" i="2"/>
  <c r="CD70" i="2"/>
  <c r="CD128" i="2"/>
  <c r="CD103" i="2"/>
  <c r="CD18" i="2"/>
  <c r="CD159" i="2"/>
  <c r="CD121" i="2"/>
  <c r="CD5" i="2"/>
  <c r="CD138" i="2"/>
  <c r="CD64" i="2"/>
  <c r="CD10" i="2"/>
  <c r="CD139" i="2"/>
  <c r="CD169" i="2"/>
  <c r="CD131" i="2"/>
  <c r="CD174" i="2"/>
  <c r="CD50" i="2"/>
  <c r="CD153" i="2"/>
  <c r="CD200" i="2"/>
  <c r="CD198" i="2"/>
  <c r="CD156" i="2"/>
  <c r="CD194" i="2"/>
  <c r="CD179" i="2"/>
  <c r="CD188" i="2"/>
  <c r="CD157" i="2"/>
  <c r="CD178" i="2"/>
  <c r="CD111" i="2"/>
  <c r="CD162" i="2"/>
  <c r="CD46" i="2"/>
  <c r="CD47" i="2"/>
  <c r="CD161" i="2"/>
  <c r="CD167" i="2"/>
  <c r="CD71" i="2"/>
  <c r="CD185" i="2"/>
  <c r="CD160" i="2"/>
  <c r="CD117" i="2"/>
  <c r="CD41" i="2"/>
  <c r="CD42" i="2"/>
  <c r="CD110" i="2"/>
  <c r="CD33" i="2"/>
  <c r="CD12" i="2"/>
  <c r="CD99" i="2"/>
  <c r="CD30" i="2"/>
  <c r="CD45" i="2"/>
  <c r="CD166" i="2"/>
  <c r="CD23" i="2"/>
  <c r="CD65" i="2"/>
  <c r="CD87" i="2"/>
  <c r="CD125" i="2"/>
  <c r="CD102" i="2"/>
  <c r="CD184" i="2"/>
  <c r="CD141" i="2"/>
  <c r="CD89" i="2"/>
  <c r="CD123" i="2"/>
  <c r="CD61" i="2"/>
  <c r="CD163" i="2"/>
  <c r="CD115" i="2"/>
  <c r="CD164" i="2"/>
  <c r="CD90" i="2"/>
  <c r="CD191" i="2"/>
  <c r="CD146" i="2"/>
  <c r="CD126" i="2"/>
  <c r="CD108" i="2"/>
  <c r="CD105" i="2"/>
  <c r="CD147" i="2"/>
  <c r="CD77" i="2"/>
  <c r="CD66" i="2"/>
  <c r="CD120" i="2"/>
  <c r="CD25" i="2"/>
  <c r="CD148" i="2"/>
  <c r="CD177" i="2"/>
  <c r="CD150" i="2"/>
  <c r="CD193" i="2"/>
  <c r="CD37" i="2"/>
  <c r="CD68" i="2"/>
  <c r="CD29" i="2"/>
  <c r="CD84" i="2"/>
  <c r="CD114" i="2"/>
  <c r="CD39" i="2"/>
  <c r="CD151" i="2"/>
  <c r="CD130" i="2"/>
  <c r="CD202" i="2"/>
  <c r="CD17" i="2"/>
  <c r="CD196" i="2"/>
  <c r="CD75" i="2"/>
  <c r="CD55" i="2"/>
  <c r="CD95" i="2"/>
  <c r="CD104" i="2"/>
  <c r="CD9" i="2"/>
  <c r="CD62" i="2"/>
  <c r="CD56" i="2"/>
  <c r="CD20" i="2"/>
  <c r="CD58" i="2"/>
  <c r="CD144" i="2"/>
  <c r="CD122" i="2"/>
  <c r="CD72" i="2"/>
  <c r="CD176" i="2"/>
  <c r="CD43" i="2"/>
  <c r="CD133" i="2"/>
  <c r="CD190" i="2"/>
  <c r="CD86" i="2"/>
  <c r="CD137" i="2"/>
  <c r="CD3" i="2"/>
  <c r="C9" i="4" s="1"/>
  <c r="E9" i="4" s="1"/>
  <c r="F9" i="4" s="1"/>
  <c r="G9" i="4" s="1"/>
  <c r="L9" i="4" s="1"/>
  <c r="CD140" i="2"/>
  <c r="CD182" i="2"/>
  <c r="CD135" i="2"/>
  <c r="CD51" i="2"/>
  <c r="CD165" i="2"/>
  <c r="CD170" i="2"/>
  <c r="CD172" i="2"/>
  <c r="CD152" i="2"/>
  <c r="CD129" i="2"/>
  <c r="CD132" i="2"/>
  <c r="CD35" i="2"/>
  <c r="CD124" i="2"/>
  <c r="CD57" i="2"/>
  <c r="CD116" i="2"/>
  <c r="CD81" i="2"/>
  <c r="CD31" i="2"/>
  <c r="CD192" i="2"/>
  <c r="CD22" i="2"/>
  <c r="CD16" i="2"/>
  <c r="CD173" i="2"/>
  <c r="CD54" i="2"/>
  <c r="CD113" i="2"/>
  <c r="CD44" i="2"/>
  <c r="CD73" i="2"/>
  <c r="CD119" i="2"/>
  <c r="CD83" i="2"/>
  <c r="CD49" i="2"/>
  <c r="CD24" i="2"/>
  <c r="CD63" i="2"/>
  <c r="CD201" i="2"/>
  <c r="CD134" i="2"/>
  <c r="CD82" i="2"/>
  <c r="CD197" i="2"/>
  <c r="CD4" i="2"/>
  <c r="CD8" i="2"/>
  <c r="CD155" i="2"/>
  <c r="CD7" i="2"/>
  <c r="CD21" i="2"/>
  <c r="CD26" i="2"/>
  <c r="CD112" i="2"/>
  <c r="CD74" i="2"/>
  <c r="CD154" i="2"/>
  <c r="CD171" i="2"/>
  <c r="CD180" i="2"/>
  <c r="CD28" i="2"/>
  <c r="CD11" i="2"/>
  <c r="CD145" i="2"/>
  <c r="CD36" i="2"/>
  <c r="CD158" i="2"/>
  <c r="CD13" i="2"/>
  <c r="CD19" i="2"/>
  <c r="CD118" i="2"/>
  <c r="CD195" i="2"/>
  <c r="AN32" i="2"/>
  <c r="AN87" i="2"/>
  <c r="AN192" i="2"/>
  <c r="AN161" i="2"/>
  <c r="AN182" i="2"/>
  <c r="AN168" i="2"/>
  <c r="AN10" i="2"/>
  <c r="AN62" i="2"/>
  <c r="AN6" i="2"/>
  <c r="AN48" i="2"/>
  <c r="AN21" i="2"/>
  <c r="AN200" i="2"/>
  <c r="AN58" i="2"/>
  <c r="AN82" i="2"/>
  <c r="AN12" i="2"/>
  <c r="AN19" i="2"/>
  <c r="AN34" i="2"/>
  <c r="AN139" i="2"/>
  <c r="AN158" i="2"/>
  <c r="AN198" i="2"/>
  <c r="AN53" i="2"/>
  <c r="AN4" i="2"/>
  <c r="AN33" i="2"/>
  <c r="AN141" i="2"/>
  <c r="AN165" i="2"/>
  <c r="AN157" i="2"/>
  <c r="AN125" i="2"/>
  <c r="AN49" i="2"/>
  <c r="AN79" i="2"/>
  <c r="AN150" i="2"/>
  <c r="AN121" i="2"/>
  <c r="AN106" i="2"/>
  <c r="AN94" i="2"/>
  <c r="AN136" i="2"/>
  <c r="AN35" i="2"/>
  <c r="AN83" i="2"/>
  <c r="AN51" i="2"/>
  <c r="AN3" i="2"/>
  <c r="C7" i="4" s="1"/>
  <c r="E7" i="4" s="1"/>
  <c r="F7" i="4" s="1"/>
  <c r="G7" i="4" s="1"/>
  <c r="L7" i="4" s="1"/>
  <c r="AN126" i="2"/>
  <c r="AN38" i="2"/>
  <c r="AN109" i="2"/>
  <c r="AN15" i="2"/>
  <c r="AN104" i="2"/>
  <c r="AN44" i="2"/>
  <c r="AN183" i="2"/>
  <c r="AN184" i="2"/>
  <c r="AN179" i="2"/>
  <c r="AN63" i="2"/>
  <c r="AN84" i="2"/>
  <c r="AN153" i="2"/>
  <c r="AN85" i="2"/>
  <c r="AN194" i="2"/>
  <c r="AN152" i="2"/>
  <c r="AN60" i="2"/>
  <c r="AN64" i="2"/>
  <c r="AN69" i="2"/>
  <c r="AN203" i="2"/>
  <c r="AN116" i="2"/>
  <c r="AN8" i="2"/>
  <c r="AN130" i="2"/>
  <c r="AN170" i="2"/>
  <c r="AN191" i="2"/>
  <c r="AN178" i="2"/>
  <c r="AN47" i="2"/>
  <c r="AN128" i="2"/>
  <c r="AN90" i="2"/>
  <c r="AN129" i="2"/>
  <c r="AN133" i="2"/>
  <c r="AN43" i="2"/>
  <c r="AN154" i="2"/>
  <c r="AN40" i="2"/>
  <c r="AN52" i="2"/>
  <c r="AN70" i="2"/>
  <c r="AN111" i="2"/>
  <c r="AN159" i="2"/>
  <c r="AN95" i="2"/>
  <c r="AN202" i="2"/>
  <c r="AN166" i="2"/>
  <c r="AN173" i="2"/>
  <c r="AN189" i="2"/>
  <c r="AN16" i="2"/>
  <c r="AN185" i="2"/>
  <c r="AN137" i="2"/>
  <c r="AN193" i="2"/>
  <c r="AN71" i="2"/>
  <c r="AN119" i="2"/>
  <c r="AN181" i="2"/>
  <c r="AN61" i="2"/>
  <c r="AN22" i="2"/>
  <c r="AN25" i="2"/>
  <c r="AN132" i="2"/>
  <c r="AN59" i="2"/>
  <c r="AN24" i="2"/>
  <c r="AN135" i="2"/>
  <c r="AN39" i="2"/>
  <c r="AN29" i="2"/>
  <c r="AN160" i="2"/>
  <c r="AN76" i="2"/>
  <c r="AN188" i="2"/>
  <c r="AN72" i="2"/>
  <c r="AN123" i="2"/>
  <c r="AN5" i="2"/>
  <c r="AN112" i="2"/>
  <c r="AN196" i="2"/>
  <c r="AN96" i="2"/>
  <c r="AN151" i="2"/>
  <c r="AN77" i="2"/>
  <c r="AN23" i="2"/>
  <c r="AN100" i="2"/>
  <c r="AN201" i="2"/>
  <c r="AN175" i="2"/>
  <c r="AN66" i="2"/>
  <c r="AN73" i="2"/>
  <c r="AN127" i="2"/>
  <c r="AN55" i="2"/>
  <c r="AN110" i="2"/>
  <c r="AN67" i="2"/>
  <c r="AN18" i="2"/>
  <c r="AN74" i="2"/>
  <c r="AN97" i="2"/>
  <c r="AN174" i="2"/>
  <c r="AN156" i="2"/>
  <c r="AN42" i="2"/>
  <c r="AN27" i="2"/>
  <c r="AN190" i="2"/>
  <c r="AN93" i="2"/>
  <c r="AN113" i="2"/>
  <c r="AN101" i="2"/>
  <c r="AN11" i="2"/>
  <c r="AN88" i="2"/>
  <c r="AN163" i="2"/>
  <c r="AN50" i="2"/>
  <c r="AN138" i="2"/>
  <c r="AN13" i="2"/>
  <c r="AN98" i="2"/>
  <c r="AN144" i="2"/>
  <c r="AN169" i="2"/>
  <c r="AN108" i="2"/>
  <c r="AN122" i="2"/>
  <c r="AN20" i="2"/>
  <c r="AN199" i="2"/>
  <c r="AN75" i="2"/>
  <c r="AN81" i="2"/>
  <c r="AN117" i="2"/>
  <c r="AN197" i="2"/>
  <c r="AN146" i="2"/>
  <c r="AN180" i="2"/>
  <c r="AN102" i="2"/>
  <c r="AN9" i="2"/>
  <c r="AN149" i="2"/>
  <c r="AN155" i="2"/>
  <c r="AN45" i="2"/>
  <c r="AN26" i="2"/>
  <c r="AN41" i="2"/>
  <c r="AN177" i="2"/>
  <c r="AN107" i="2"/>
  <c r="AN56" i="2"/>
  <c r="AN120" i="2"/>
  <c r="AN186" i="2"/>
  <c r="AN176" i="2"/>
  <c r="AN131" i="2"/>
  <c r="AN86" i="2"/>
  <c r="AN91" i="2"/>
  <c r="AN92" i="2"/>
  <c r="AN78" i="2"/>
  <c r="AN17" i="2"/>
  <c r="AN68" i="2"/>
  <c r="AN195" i="2"/>
  <c r="AN142" i="2"/>
  <c r="AN46" i="2"/>
  <c r="AN143" i="2"/>
  <c r="AN171" i="2"/>
  <c r="AN118" i="2"/>
  <c r="AN14" i="2"/>
  <c r="AN162" i="2"/>
  <c r="AN28" i="2"/>
  <c r="AN54" i="2"/>
  <c r="AN147" i="2"/>
  <c r="AN115" i="2"/>
  <c r="AN80" i="2"/>
  <c r="AN145" i="2"/>
  <c r="AN148" i="2"/>
  <c r="AN99" i="2"/>
  <c r="AN124" i="2"/>
  <c r="AN37" i="2"/>
  <c r="AN7" i="2"/>
  <c r="AN30" i="2"/>
  <c r="AN134" i="2"/>
  <c r="AN167" i="2"/>
  <c r="AN187" i="2"/>
  <c r="AN89" i="2"/>
  <c r="AN65" i="2"/>
  <c r="AN31" i="2"/>
  <c r="AN103" i="2"/>
  <c r="AN172" i="2"/>
  <c r="AN140" i="2"/>
  <c r="AN105" i="2"/>
  <c r="AN57" i="2"/>
  <c r="AN36" i="2"/>
  <c r="AN114" i="2"/>
  <c r="AN16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9" i="2" l="1"/>
  <c r="BI171" i="2"/>
  <c r="BI53" i="2"/>
  <c r="BI96" i="2"/>
  <c r="BI18" i="2"/>
  <c r="BI29" i="2"/>
  <c r="BI23" i="2"/>
  <c r="BI21" i="2"/>
  <c r="BI138" i="2"/>
  <c r="BI52" i="2"/>
  <c r="BI26" i="2"/>
  <c r="BI186" i="2"/>
  <c r="BI105" i="2"/>
  <c r="BI125" i="2"/>
  <c r="BI178" i="2"/>
  <c r="BI87" i="2"/>
  <c r="BI17" i="2"/>
  <c r="BI68" i="2"/>
  <c r="BI119" i="2"/>
  <c r="BI10" i="2"/>
  <c r="BI159" i="2"/>
  <c r="BI172" i="2"/>
  <c r="BI72" i="2"/>
  <c r="BI201" i="2"/>
  <c r="BI47" i="2"/>
  <c r="BI74" i="2"/>
  <c r="BI129" i="2"/>
  <c r="BI4" i="2"/>
  <c r="BI8" i="2"/>
  <c r="BI148" i="2"/>
  <c r="BI168" i="2"/>
  <c r="BI35" i="2"/>
  <c r="BI20" i="2"/>
  <c r="BI136" i="2"/>
  <c r="BI11" i="2"/>
  <c r="BI34" i="2"/>
  <c r="BI76" i="2"/>
  <c r="BI118" i="2"/>
  <c r="BI95" i="2"/>
  <c r="BI69" i="2"/>
  <c r="BI151" i="2"/>
  <c r="BI45" i="2"/>
  <c r="BI120" i="2"/>
  <c r="BI174" i="2"/>
  <c r="BI12" i="2"/>
  <c r="BI128" i="2"/>
  <c r="BI58" i="2"/>
  <c r="BI15" i="2"/>
  <c r="BI133" i="2"/>
  <c r="BI157" i="2"/>
  <c r="BI141" i="2"/>
  <c r="BI42" i="2"/>
  <c r="BI75" i="2"/>
  <c r="BI109" i="2"/>
  <c r="BI101" i="2"/>
  <c r="BI170" i="2"/>
  <c r="BI102" i="2"/>
  <c r="BI112" i="2"/>
  <c r="BI153" i="2"/>
  <c r="BI64" i="2"/>
  <c r="BI50" i="2"/>
  <c r="BI94" i="2"/>
  <c r="BI108" i="2"/>
  <c r="BI124" i="2"/>
  <c r="BI156" i="2"/>
  <c r="BI147" i="2"/>
  <c r="BI130" i="2"/>
  <c r="BI180" i="2"/>
  <c r="BI62" i="2"/>
  <c r="BI111" i="2"/>
  <c r="BI19" i="2"/>
  <c r="BI39" i="2"/>
  <c r="BI140" i="2"/>
  <c r="BI77" i="2"/>
  <c r="BI88" i="2"/>
  <c r="BI79" i="2"/>
  <c r="BI134" i="2"/>
  <c r="BI173" i="2"/>
  <c r="BI49" i="2"/>
  <c r="BI117" i="2"/>
  <c r="BI176" i="2"/>
  <c r="BI169" i="2"/>
  <c r="BI73" i="2"/>
  <c r="BI99" i="2"/>
  <c r="BI36" i="2"/>
  <c r="BI182" i="2"/>
  <c r="BI67" i="2"/>
  <c r="BI122" i="2"/>
  <c r="BI139" i="2"/>
  <c r="BI107" i="2"/>
  <c r="BI33" i="2"/>
  <c r="BI32" i="2"/>
  <c r="BI191" i="2"/>
  <c r="BI6" i="2"/>
  <c r="BI188" i="2"/>
  <c r="BI100" i="2"/>
  <c r="BI123" i="2"/>
  <c r="BI28" i="2"/>
  <c r="BI110" i="2"/>
  <c r="BI84" i="2"/>
  <c r="BI43" i="2"/>
  <c r="BI56" i="2"/>
  <c r="BI44" i="2"/>
  <c r="BI116" i="2"/>
  <c r="BI150" i="2"/>
  <c r="BI143" i="2"/>
  <c r="BI25" i="2"/>
  <c r="BI142" i="2"/>
  <c r="BI179" i="2"/>
  <c r="BI146" i="2"/>
  <c r="BI152" i="2"/>
  <c r="BI203" i="2"/>
  <c r="BI115" i="2"/>
  <c r="BI177" i="2"/>
  <c r="BI106" i="2"/>
  <c r="BI103" i="2"/>
  <c r="BI63" i="2"/>
  <c r="BI199" i="2"/>
  <c r="BI183" i="2"/>
  <c r="BI98" i="2"/>
  <c r="BI192" i="2"/>
  <c r="BI161" i="2"/>
  <c r="BI3" i="2"/>
  <c r="C8" i="4" s="1"/>
  <c r="E8" i="4" s="1"/>
  <c r="F8" i="4" s="1"/>
  <c r="G8" i="4" s="1"/>
  <c r="L8" i="4" s="1"/>
  <c r="BI7" i="2"/>
  <c r="BI135" i="2"/>
  <c r="BI160" i="2"/>
  <c r="BI144" i="2"/>
  <c r="BI193" i="2"/>
  <c r="BI200" i="2"/>
  <c r="BI185" i="2"/>
  <c r="BI54" i="2"/>
  <c r="BI83" i="2"/>
  <c r="BI91" i="2"/>
  <c r="BI145" i="2"/>
  <c r="BI90" i="2"/>
  <c r="BI184" i="2"/>
  <c r="BI131" i="2"/>
  <c r="BI51" i="2"/>
  <c r="BI164" i="2"/>
  <c r="BI175" i="2"/>
  <c r="BI38" i="2"/>
  <c r="BI85" i="2"/>
  <c r="BI154" i="2"/>
  <c r="BI61" i="2"/>
  <c r="BI162" i="2"/>
  <c r="BI149" i="2"/>
  <c r="BI196" i="2"/>
  <c r="BI86" i="2"/>
  <c r="BI166" i="2"/>
  <c r="BI97" i="2"/>
  <c r="BI22" i="2"/>
  <c r="BI30" i="2"/>
  <c r="BI13" i="2"/>
  <c r="BI155" i="2"/>
  <c r="BI59" i="2"/>
  <c r="BI113" i="2"/>
  <c r="BI16" i="2"/>
  <c r="BI198" i="2"/>
  <c r="BI89" i="2"/>
  <c r="BI158" i="2"/>
  <c r="BI194" i="2"/>
  <c r="BI189" i="2"/>
  <c r="BI71" i="2"/>
  <c r="BI48" i="2"/>
  <c r="BI137" i="2"/>
  <c r="BI14" i="2"/>
  <c r="BI132" i="2"/>
  <c r="BI5" i="2"/>
  <c r="BI80" i="2"/>
  <c r="BI66" i="2"/>
  <c r="BI92" i="2"/>
  <c r="BI41" i="2"/>
  <c r="BI31" i="2"/>
  <c r="BI27" i="2"/>
  <c r="BI190" i="2"/>
  <c r="BI127" i="2"/>
  <c r="BI60" i="2"/>
  <c r="BI57" i="2"/>
  <c r="BI126" i="2"/>
  <c r="BI165" i="2"/>
  <c r="BI93" i="2"/>
  <c r="BI197" i="2"/>
  <c r="BI202" i="2"/>
  <c r="BI81" i="2"/>
  <c r="BI104" i="2"/>
  <c r="BI65" i="2"/>
  <c r="BI78" i="2"/>
  <c r="BI163" i="2"/>
  <c r="BI46" i="2"/>
  <c r="BI82" i="2"/>
  <c r="BI24" i="2"/>
  <c r="BI37" i="2"/>
  <c r="BI181" i="2"/>
  <c r="BI187" i="2"/>
  <c r="BI40" i="2"/>
  <c r="BI70" i="2"/>
  <c r="BI121" i="2"/>
  <c r="BI195" i="2"/>
  <c r="BI167" i="2"/>
  <c r="BI114" i="2"/>
  <c r="BI5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<sst xmlns="http://schemas.openxmlformats.org/spreadsheetml/2006/main" count="1176" uniqueCount="324">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</sst>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9.6049334774478581</c:v>
                </c:pt>
                <c:pt idx="2">
                  <c:v>18.790063326936387</c:v>
                </c:pt>
                <c:pt idx="3">
                  <c:v>27.839617677417948</c:v>
                </c:pt>
                <c:pt idx="4">
                  <c:v>36.805600135817727</c:v>
                </c:pt>
                <c:pt idx="5">
                  <c:v>45.711580441585177</c:v>
                </c:pt>
                <c:pt idx="6">
                  <c:v>54.571003758166377</c:v>
                </c:pt>
                <c:pt idx="7">
                  <c:v>63.392537662570199</c:v>
                </c:pt>
                <c:pt idx="8">
                  <c:v>72.18221946437906</c:v>
                </c:pt>
                <c:pt idx="9">
                  <c:v>80.944486662936754</c:v>
                </c:pt>
                <c:pt idx="10">
                  <c:v>89.682732796293465</c:v>
                </c:pt>
                <c:pt idx="11">
                  <c:v>98.399633419893973</c:v>
                </c:pt>
                <c:pt idx="12">
                  <c:v>107.09734972254596</c:v>
                </c:pt>
                <c:pt idx="13">
                  <c:v>115.77766215490512</c:v>
                </c:pt>
                <c:pt idx="14">
                  <c:v>124.44206169197953</c:v>
                </c:pt>
                <c:pt idx="15">
                  <c:v>133.0918142429654</c:v>
                </c:pt>
                <c:pt idx="16">
                  <c:v>141.72800738005557</c:v>
                </c:pt>
                <c:pt idx="17">
                  <c:v>150.35158504519657</c:v>
                </c:pt>
                <c:pt idx="18">
                  <c:v>158.96337385493317</c:v>
                </c:pt>
                <c:pt idx="19">
                  <c:v>167.56410339214617</c:v>
                </c:pt>
                <c:pt idx="20">
                  <c:v>176.15442210397626</c:v>
                </c:pt>
                <c:pt idx="21">
                  <c:v>184.73490992980501</c:v>
                </c:pt>
                <c:pt idx="22">
                  <c:v>193.30608845575475</c:v>
                </c:pt>
                <c:pt idx="23">
                  <c:v>201.86842917072565</c:v>
                </c:pt>
                <c:pt idx="24">
                  <c:v>210.4223602460861</c:v>
                </c:pt>
                <c:pt idx="25">
                  <c:v>218.96827215357416</c:v>
                </c:pt>
                <c:pt idx="26">
                  <c:v>227.50652235903308</c:v>
                </c:pt>
                <c:pt idx="27">
                  <c:v>236.03743927372258</c:v>
                </c:pt>
                <c:pt idx="28">
                  <c:v>244.56132560379464</c:v>
                </c:pt>
                <c:pt idx="29">
                  <c:v>253.07846120782642</c:v>
                </c:pt>
                <c:pt idx="30">
                  <c:v>261.5891055491378</c:v>
                </c:pt>
                <c:pt idx="31">
                  <c:v>270.09349981194748</c:v>
                </c:pt>
                <c:pt idx="32">
                  <c:v>278.59186873680665</c:v>
                </c:pt>
                <c:pt idx="33">
                  <c:v>287.08442222015856</c:v>
                </c:pt>
                <c:pt idx="34">
                  <c:v>295.5713567145641</c:v>
                </c:pt>
                <c:pt idx="35">
                  <c:v>304.05285645956593</c:v>
                </c:pt>
                <c:pt idx="36">
                  <c:v>312.52909456792958</c:v>
                </c:pt>
                <c:pt idx="37">
                  <c:v>321.00023398779655</c:v>
                </c:pt>
                <c:pt idx="38">
                  <c:v>329.46642835789629</c:v>
                </c:pt>
                <c:pt idx="39">
                  <c:v>337.92782277020427</c:v>
                </c:pt>
                <c:pt idx="40">
                  <c:v>346.38455445217664</c:v>
                </c:pt>
                <c:pt idx="41">
                  <c:v>354.83675337884102</c:v>
                </c:pt>
                <c:pt idx="42">
                  <c:v>363.28454282349094</c:v>
                </c:pt>
                <c:pt idx="43">
                  <c:v>292.16066324161756</c:v>
                </c:pt>
                <c:pt idx="44">
                  <c:v>313.0997099690083</c:v>
                </c:pt>
                <c:pt idx="45">
                  <c:v>334.00770868210697</c:v>
                </c:pt>
                <c:pt idx="46">
                  <c:v>354.88687526951003</c:v>
                </c:pt>
                <c:pt idx="47">
                  <c:v>375.73914366878006</c:v>
                </c:pt>
                <c:pt idx="48">
                  <c:v>396.56621572255932</c:v>
                </c:pt>
                <c:pt idx="49">
                  <c:v>417.36960001027518</c:v>
                </c:pt>
                <c:pt idx="50">
                  <c:v>438.15064253210954</c:v>
                </c:pt>
                <c:pt idx="51">
                  <c:v>382.23864561154033</c:v>
                </c:pt>
                <c:pt idx="52">
                  <c:v>403.58041736916852</c:v>
                </c:pt>
                <c:pt idx="53">
                  <c:v>424.89779108589073</c:v>
                </c:pt>
                <c:pt idx="54">
                  <c:v>446.19216213355452</c:v>
                </c:pt>
                <c:pt idx="55">
                  <c:v>467.46478191549932</c:v>
                </c:pt>
                <c:pt idx="56">
                  <c:v>488.71677872949732</c:v>
                </c:pt>
                <c:pt idx="57">
                  <c:v>509.94917481350916</c:v>
                </c:pt>
                <c:pt idx="58">
                  <c:v>531.16290040562774</c:v>
                </c:pt>
                <c:pt idx="59">
                  <c:v>453.93804666757165</c:v>
                </c:pt>
                <c:pt idx="60">
                  <c:v>474.67749338377138</c:v>
                </c:pt>
                <c:pt idx="61">
                  <c:v>495.39766521962451</c:v>
                </c:pt>
                <c:pt idx="62">
                  <c:v>516.09948115310215</c:v>
                </c:pt>
                <c:pt idx="63">
                  <c:v>536.78378048228285</c:v>
                </c:pt>
                <c:pt idx="64">
                  <c:v>557.45133260033356</c:v>
                </c:pt>
                <c:pt idx="65">
                  <c:v>578.10284524616964</c:v>
                </c:pt>
                <c:pt idx="66">
                  <c:v>598.73897151551569</c:v>
                </c:pt>
                <c:pt idx="67">
                  <c:v>508.89965320940058</c:v>
                </c:pt>
                <c:pt idx="68">
                  <c:v>528.82518766012663</c:v>
                </c:pt>
                <c:pt idx="69">
                  <c:v>548.73492344429144</c:v>
                </c:pt>
                <c:pt idx="70">
                  <c:v>568.62951399612211</c:v>
                </c:pt>
                <c:pt idx="71">
                  <c:v>588.50956333590204</c:v>
                </c:pt>
                <c:pt idx="72">
                  <c:v>608.37563138354426</c:v>
                </c:pt>
                <c:pt idx="73">
                  <c:v>628.22823854248372</c:v>
                </c:pt>
                <c:pt idx="74">
                  <c:v>648.06786967443816</c:v>
                </c:pt>
                <c:pt idx="75">
                  <c:v>562.78964680210413</c:v>
                </c:pt>
                <c:pt idx="76">
                  <c:v>582.29254470638762</c:v>
                </c:pt>
                <c:pt idx="77">
                  <c:v>601.78182857346826</c:v>
                </c:pt>
                <c:pt idx="78">
                  <c:v>621.25800099146807</c:v>
                </c:pt>
                <c:pt idx="79">
                  <c:v>640.72153049542385</c:v>
                </c:pt>
                <c:pt idx="80">
                  <c:v>660.17285485986531</c:v>
                </c:pt>
                <c:pt idx="81">
                  <c:v>679.6123839834753</c:v>
                </c:pt>
                <c:pt idx="82">
                  <c:v>699.04050242681751</c:v>
                </c:pt>
                <c:pt idx="83">
                  <c:v>718.45757165353189</c:v>
                </c:pt>
                <c:pt idx="84">
                  <c:v>737.8639320168769</c:v>
                </c:pt>
                <c:pt idx="85">
                  <c:v>620.77874742266067</c:v>
                </c:pt>
                <c:pt idx="86">
                  <c:v>639.48032726505824</c:v>
                </c:pt>
                <c:pt idx="87">
                  <c:v>658.17061468050531</c:v>
                </c:pt>
                <c:pt idx="88">
                  <c:v>676.8499752072031</c:v>
                </c:pt>
                <c:pt idx="89">
                  <c:v>695.51875258132259</c:v>
                </c:pt>
                <c:pt idx="90">
                  <c:v>714.17727059950914</c:v>
                </c:pt>
                <c:pt idx="91">
                  <c:v>732.8258347768093</c:v>
                </c:pt>
                <c:pt idx="92">
                  <c:v>751.4647338272207</c:v>
                </c:pt>
                <c:pt idx="93">
                  <c:v>770.09424098986267</c:v>
                </c:pt>
                <c:pt idx="94">
                  <c:v>788.7146152202763</c:v>
                </c:pt>
                <c:pt idx="95">
                  <c:v>669.98875195789117</c:v>
                </c:pt>
                <c:pt idx="96">
                  <c:v>688.19128214580849</c:v>
                </c:pt>
                <c:pt idx="97">
                  <c:v>706.38394462520421</c:v>
                </c:pt>
                <c:pt idx="98">
                  <c:v>724.56702908486795</c:v>
                </c:pt>
                <c:pt idx="99">
                  <c:v>742.74080950283769</c:v>
                </c:pt>
                <c:pt idx="100">
                  <c:v>760.90554536980881</c:v>
                </c:pt>
                <c:pt idx="101">
                  <c:v>779.06148278976013</c:v>
                </c:pt>
                <c:pt idx="102">
                  <c:v>797.20885547275418</c:v>
                </c:pt>
                <c:pt idx="103">
                  <c:v>815.34788563273207</c:v>
                </c:pt>
                <c:pt idx="104">
                  <c:v>833.47878480135057</c:v>
                </c:pt>
                <c:pt idx="105">
                  <c:v>717.26198666039488</c:v>
                </c:pt>
                <c:pt idx="106">
                  <c:v>735.24233946527045</c:v>
                </c:pt>
                <c:pt idx="107">
                  <c:v>753.21373977953363</c:v>
                </c:pt>
                <c:pt idx="108">
                  <c:v>771.17643107606762</c:v>
                </c:pt>
                <c:pt idx="109">
                  <c:v>789.1306445725387</c:v>
                </c:pt>
                <c:pt idx="110">
                  <c:v>807.07660011870905</c:v>
                </c:pt>
                <c:pt idx="111">
                  <c:v>825.01450700080625</c:v>
                </c:pt>
                <c:pt idx="112">
                  <c:v>842.94456467238035</c:v>
                </c:pt>
                <c:pt idx="113">
                  <c:v>860.86696341981622</c:v>
                </c:pt>
                <c:pt idx="114">
                  <c:v>878.78188496960354</c:v>
                </c:pt>
                <c:pt idx="115">
                  <c:v>771.43225387568907</c:v>
                </c:pt>
                <c:pt idx="116">
                  <c:v>789.53043445377807</c:v>
                </c:pt>
                <c:pt idx="117">
                  <c:v>807.62022881017595</c:v>
                </c:pt>
                <c:pt idx="118">
                  <c:v>825.7018510390775</c:v>
                </c:pt>
                <c:pt idx="119">
                  <c:v>843.77550510405615</c:v>
                </c:pt>
                <c:pt idx="120">
                  <c:v>861.8413855285462</c:v>
                </c:pt>
                <c:pt idx="121">
                  <c:v>879.8996780254887</c:v>
                </c:pt>
                <c:pt idx="122">
                  <c:v>897.9505600726601</c:v>
                </c:pt>
                <c:pt idx="123">
                  <c:v>915.99420143939653</c:v>
                </c:pt>
                <c:pt idx="124">
                  <c:v>934.03076466970526</c:v>
                </c:pt>
                <c:pt idx="125">
                  <c:v>835.24846133286928</c:v>
                </c:pt>
                <c:pt idx="126">
                  <c:v>853.53478960793382</c:v>
                </c:pt>
                <c:pt idx="127">
                  <c:v>871.81326034142705</c:v>
                </c:pt>
                <c:pt idx="128">
                  <c:v>890.08406128263584</c:v>
                </c:pt>
                <c:pt idx="129">
                  <c:v>908.34737185399808</c:v>
                </c:pt>
                <c:pt idx="130">
                  <c:v>926.60336368377432</c:v>
                </c:pt>
                <c:pt idx="131">
                  <c:v>944.85220109461545</c:v>
                </c:pt>
                <c:pt idx="132">
                  <c:v>963.09404155246921</c:v>
                </c:pt>
                <c:pt idx="133">
                  <c:v>981.32903607975641</c:v>
                </c:pt>
                <c:pt idx="134">
                  <c:v>999.55732963628373</c:v>
                </c:pt>
                <c:pt idx="135">
                  <c:v>895.14906270530844</c:v>
                </c:pt>
                <c:pt idx="136">
                  <c:v>913.6551639201781</c:v>
                </c:pt>
                <c:pt idx="137">
                  <c:v>932.15379858050812</c:v>
                </c:pt>
                <c:pt idx="138">
                  <c:v>950.64513554088808</c:v>
                </c:pt>
                <c:pt idx="139">
                  <c:v>969.12933656011683</c:v>
                </c:pt>
                <c:pt idx="140">
                  <c:v>987.60655673176097</c:v>
                </c:pt>
                <c:pt idx="141">
                  <c:v>1006.0769448808602</c:v>
                </c:pt>
                <c:pt idx="142">
                  <c:v>1024.5406439300291</c:v>
                </c:pt>
                <c:pt idx="143">
                  <c:v>1042.9977912378338</c:v>
                </c:pt>
                <c:pt idx="144">
                  <c:v>1061.4485189120048</c:v>
                </c:pt>
                <c:pt idx="145">
                  <c:v>955.49529448089913</c:v>
                </c:pt>
                <c:pt idx="146">
                  <c:v>974.36363442936329</c:v>
                </c:pt>
                <c:pt idx="147">
                  <c:v>993.22474340930387</c:v>
                </c:pt>
                <c:pt idx="148">
                  <c:v>1012.0787778864825</c:v>
                </c:pt>
                <c:pt idx="149">
                  <c:v>1030.9258880300388</c:v>
                </c:pt>
                <c:pt idx="150">
                  <c:v>1049.766218078669</c:v>
                </c:pt>
                <c:pt idx="151">
                  <c:v>1068.5999066791917</c:v>
                </c:pt>
                <c:pt idx="152">
                  <c:v>1087.4270872000411</c:v>
                </c:pt>
                <c:pt idx="153">
                  <c:v>1106.2478880219542</c:v>
                </c:pt>
                <c:pt idx="154">
                  <c:v>1125.0624328078782</c:v>
                </c:pt>
                <c:pt idx="155">
                  <c:v>1021.0600230897836</c:v>
                </c:pt>
                <c:pt idx="156">
                  <c:v>1040.2126782594898</c:v>
                </c:pt>
                <c:pt idx="157">
                  <c:v>1059.358400542252</c:v>
                </c:pt>
                <c:pt idx="158">
                  <c:v>1078.4973326991451</c:v>
                </c:pt>
                <c:pt idx="159">
                  <c:v>1097.6296120189652</c:v>
                </c:pt>
                <c:pt idx="160">
                  <c:v>1116.7553706216247</c:v>
                </c:pt>
                <c:pt idx="161">
                  <c:v>1135.874735739714</c:v>
                </c:pt>
                <c:pt idx="162">
                  <c:v>1154.9878299801551</c:v>
                </c:pt>
                <c:pt idx="163">
                  <c:v>1174.094771567663</c:v>
                </c:pt>
                <c:pt idx="164">
                  <c:v>1193.1956745715572</c:v>
                </c:pt>
                <c:pt idx="165">
                  <c:v>1079.566236652531</c:v>
                </c:pt>
                <c:pt idx="166">
                  <c:v>1098.9683032942742</c:v>
                </c:pt>
                <c:pt idx="167">
                  <c:v>1118.3636730385954</c:v>
                </c:pt>
                <c:pt idx="168">
                  <c:v>1137.752478205153</c:v>
                </c:pt>
                <c:pt idx="169">
                  <c:v>1157.134846243317</c:v>
                </c:pt>
                <c:pt idx="170">
                  <c:v>1176.5108999916313</c:v>
                </c:pt>
                <c:pt idx="171">
                  <c:v>1195.8807579193226</c:v>
                </c:pt>
                <c:pt idx="172">
                  <c:v>1215.2445343513755</c:v>
                </c:pt>
                <c:pt idx="173">
                  <c:v>1234.602339678542</c:v>
                </c:pt>
                <c:pt idx="174">
                  <c:v>1253.9542805535184</c:v>
                </c:pt>
                <c:pt idx="175">
                  <c:v>781.6718818792333</c:v>
                </c:pt>
                <c:pt idx="176">
                  <c:v>794.13279730344448</c:v>
                </c:pt>
                <c:pt idx="177">
                  <c:v>806.58976218399073</c:v>
                </c:pt>
                <c:pt idx="178">
                  <c:v>552.31025179202811</c:v>
                </c:pt>
                <c:pt idx="179">
                  <c:v>559.99595288417788</c:v>
                </c:pt>
                <c:pt idx="180">
                  <c:v>567.67944641484053</c:v>
                </c:pt>
                <c:pt idx="181">
                  <c:v>394.04051622425658</c:v>
                </c:pt>
                <c:pt idx="182">
                  <c:v>398.76219276807609</c:v>
                </c:pt>
                <c:pt idx="183">
                  <c:v>403.48265876960892</c:v>
                </c:pt>
                <c:pt idx="184">
                  <c:v>1.7221409284987601E-11</c:v>
                </c:pt>
                <c:pt idx="185">
                  <c:v>1.7221409284987601E-11</c:v>
                </c:pt>
                <c:pt idx="186">
                  <c:v>1.7221409284987601E-11</c:v>
                </c:pt>
                <c:pt idx="187">
                  <c:v>1.7221409284987601E-11</c:v>
                </c:pt>
                <c:pt idx="188">
                  <c:v>1.7221409284987601E-11</c:v>
                </c:pt>
                <c:pt idx="189">
                  <c:v>1.7221409284987601E-11</c:v>
                </c:pt>
                <c:pt idx="190">
                  <c:v>1.7221409284987601E-11</c:v>
                </c:pt>
                <c:pt idx="191">
                  <c:v>1.7221409284987601E-11</c:v>
                </c:pt>
                <c:pt idx="192">
                  <c:v>1.7221409284987601E-11</c:v>
                </c:pt>
                <c:pt idx="193">
                  <c:v>1.7221409284987601E-11</c:v>
                </c:pt>
                <c:pt idx="194">
                  <c:v>1.7221409284987601E-11</c:v>
                </c:pt>
                <c:pt idx="195">
                  <c:v>1.7221409284987601E-11</c:v>
                </c:pt>
                <c:pt idx="196">
                  <c:v>1.7221409284987601E-11</c:v>
                </c:pt>
                <c:pt idx="197">
                  <c:v>1.7221409284987601E-11</c:v>
                </c:pt>
                <c:pt idx="198">
                  <c:v>1.7221409284987601E-11</c:v>
                </c:pt>
                <c:pt idx="199">
                  <c:v>1.7221409284987601E-11</c:v>
                </c:pt>
                <c:pt idx="200">
                  <c:v>1.7221409284987601E-11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10.652069090183831</c:v>
                </c:pt>
                <c:pt idx="2">
                  <c:v>20.842718677242118</c:v>
                </c:pt>
                <c:pt idx="3">
                  <c:v>30.884352926600993</c:v>
                </c:pt>
                <c:pt idx="4">
                  <c:v>40.834130654597537</c:v>
                </c:pt>
                <c:pt idx="5">
                  <c:v>50.717958110585563</c:v>
                </c:pt>
                <c:pt idx="6">
                  <c:v>60.550613300812671</c:v>
                </c:pt>
                <c:pt idx="7">
                  <c:v>70.341623034506696</c:v>
                </c:pt>
                <c:pt idx="8">
                  <c:v>80.097623110413053</c:v>
                </c:pt>
                <c:pt idx="9">
                  <c:v>89.823490925023762</c:v>
                </c:pt>
                <c:pt idx="10">
                  <c:v>99.522956423810157</c:v>
                </c:pt>
                <c:pt idx="11">
                  <c:v>109.19896039475422</c:v>
                </c:pt>
                <c:pt idx="12">
                  <c:v>118.85387826912762</c:v>
                </c:pt>
                <c:pt idx="13">
                  <c:v>128.48966699680452</c:v>
                </c:pt>
                <c:pt idx="14">
                  <c:v>138.10796535577904</c:v>
                </c:pt>
                <c:pt idx="15">
                  <c:v>147.71016474706212</c:v>
                </c:pt>
                <c:pt idx="16">
                  <c:v>157.29746055579915</c:v>
                </c:pt>
                <c:pt idx="17">
                  <c:v>166.87089029856921</c:v>
                </c:pt>
                <c:pt idx="18">
                  <c:v>176.43136253587519</c:v>
                </c:pt>
                <c:pt idx="19">
                  <c:v>185.97967917543755</c:v>
                </c:pt>
                <c:pt idx="20">
                  <c:v>195.51655294610748</c:v>
                </c:pt>
                <c:pt idx="21">
                  <c:v>205.04262127768183</c:v>
                </c:pt>
                <c:pt idx="22">
                  <c:v>214.5584574620365</c:v>
                </c:pt>
                <c:pt idx="23">
                  <c:v>224.06457972759929</c:v>
                </c:pt>
                <c:pt idx="24">
                  <c:v>233.56145869112254</c:v>
                </c:pt>
                <c:pt idx="25">
                  <c:v>243.04952353249737</c:v>
                </c:pt>
                <c:pt idx="26">
                  <c:v>252.5291671537876</c:v>
                </c:pt>
                <c:pt idx="27">
                  <c:v>262.00075052224111</c:v>
                </c:pt>
                <c:pt idx="28">
                  <c:v>271.4646063518054</c:v>
                </c:pt>
                <c:pt idx="29">
                  <c:v>280.92104224393296</c:v>
                </c:pt>
                <c:pt idx="30">
                  <c:v>290.3703433830006</c:v>
                </c:pt>
                <c:pt idx="31">
                  <c:v>299.81277486224468</c:v>
                </c:pt>
                <c:pt idx="32">
                  <c:v>309.24858370114447</c:v>
                </c:pt>
                <c:pt idx="33">
                  <c:v>318.67800060354801</c:v>
                </c:pt>
                <c:pt idx="34">
                  <c:v>328.10124149670571</c:v>
                </c:pt>
                <c:pt idx="35">
                  <c:v>337.51850888415163</c:v>
                </c:pt>
                <c:pt idx="36">
                  <c:v>346.92999303962557</c:v>
                </c:pt>
                <c:pt idx="37">
                  <c:v>356.33587306460578</c:v>
                </c:pt>
                <c:pt idx="38">
                  <c:v>365.7363178283008</c:v>
                </c:pt>
                <c:pt idx="39">
                  <c:v>375.13148680590967</c:v>
                </c:pt>
                <c:pt idx="40">
                  <c:v>384.52153082848844</c:v>
                </c:pt>
                <c:pt idx="41">
                  <c:v>393.9065927557192</c:v>
                </c:pt>
                <c:pt idx="42">
                  <c:v>403.28680808119469</c:v>
                </c:pt>
                <c:pt idx="43">
                  <c:v>324.31426173014296</c:v>
                </c:pt>
                <c:pt idx="44">
                  <c:v>347.56357073166754</c:v>
                </c:pt>
                <c:pt idx="45">
                  <c:v>370.77875387440105</c:v>
                </c:pt>
                <c:pt idx="46">
                  <c:v>393.96224671189083</c:v>
                </c:pt>
                <c:pt idx="47">
                  <c:v>417.11617489634568</c:v>
                </c:pt>
                <c:pt idx="48">
                  <c:v>440.24240897707568</c:v>
                </c:pt>
                <c:pt idx="49">
                  <c:v>463.34260708165061</c:v>
                </c:pt>
                <c:pt idx="50">
                  <c:v>486.41824864162896</c:v>
                </c:pt>
                <c:pt idx="51">
                  <c:v>424.33314645084437</c:v>
                </c:pt>
                <c:pt idx="52">
                  <c:v>448.03098996443867</c:v>
                </c:pt>
                <c:pt idx="53">
                  <c:v>471.70201681623604</c:v>
                </c:pt>
                <c:pt idx="54">
                  <c:v>495.34776070376029</c:v>
                </c:pt>
                <c:pt idx="55">
                  <c:v>518.96959708417387</c:v>
                </c:pt>
                <c:pt idx="56">
                  <c:v>542.56876610540041</c:v>
                </c:pt>
                <c:pt idx="57">
                  <c:v>566.1463913416552</c:v>
                </c:pt>
                <c:pt idx="58">
                  <c:v>589.70349524717665</c:v>
                </c:pt>
                <c:pt idx="59">
                  <c:v>503.94902507519402</c:v>
                </c:pt>
                <c:pt idx="60">
                  <c:v>526.97888936741572</c:v>
                </c:pt>
                <c:pt idx="61">
                  <c:v>549.98756802635592</c:v>
                </c:pt>
                <c:pt idx="62">
                  <c:v>572.97607112989465</c:v>
                </c:pt>
                <c:pt idx="63">
                  <c:v>595.94532117721189</c:v>
                </c:pt>
                <c:pt idx="64">
                  <c:v>618.89616383277814</c:v>
                </c:pt>
                <c:pt idx="65">
                  <c:v>641.82937699491765</c:v>
                </c:pt>
                <c:pt idx="66">
                  <c:v>664.7456785018876</c:v>
                </c:pt>
                <c:pt idx="67">
                  <c:v>564.98093953777095</c:v>
                </c:pt>
                <c:pt idx="68">
                  <c:v>587.10753653683673</c:v>
                </c:pt>
                <c:pt idx="69">
                  <c:v>609.2167687196187</c:v>
                </c:pt>
                <c:pt idx="70">
                  <c:v>631.30935429643307</c:v>
                </c:pt>
                <c:pt idx="71">
                  <c:v>653.38595716516113</c:v>
                </c:pt>
                <c:pt idx="72">
                  <c:v>675.44719275156592</c:v>
                </c:pt>
                <c:pt idx="73">
                  <c:v>697.4936330475939</c:v>
                </c:pt>
                <c:pt idx="74">
                  <c:v>719.52581098016128</c:v>
                </c:pt>
                <c:pt idx="75">
                  <c:v>624.82426922682123</c:v>
                </c:pt>
                <c:pt idx="76">
                  <c:v>646.48200063831644</c:v>
                </c:pt>
                <c:pt idx="77">
                  <c:v>668.12476842905392</c:v>
                </c:pt>
                <c:pt idx="78">
                  <c:v>689.75312500960342</c:v>
                </c:pt>
                <c:pt idx="79">
                  <c:v>711.36758536170771</c:v>
                </c:pt>
                <c:pt idx="80">
                  <c:v>732.96863065725938</c:v>
                </c:pt>
                <c:pt idx="81">
                  <c:v>754.55671142892061</c:v>
                </c:pt>
                <c:pt idx="82">
                  <c:v>776.13225035942412</c:v>
                </c:pt>
                <c:pt idx="83">
                  <c:v>797.69564474493848</c:v>
                </c:pt>
                <c:pt idx="84">
                  <c:v>819.24726867854179</c:v>
                </c:pt>
                <c:pt idx="85">
                  <c:v>689.22091052302585</c:v>
                </c:pt>
                <c:pt idx="86">
                  <c:v>709.98921153095716</c:v>
                </c:pt>
                <c:pt idx="87">
                  <c:v>730.74510067370727</c:v>
                </c:pt>
                <c:pt idx="88">
                  <c:v>751.48897972592613</c:v>
                </c:pt>
                <c:pt idx="89">
                  <c:v>772.22122649895766</c:v>
                </c:pt>
                <c:pt idx="90">
                  <c:v>792.94219688798103</c:v>
                </c:pt>
                <c:pt idx="91">
                  <c:v>813.65222669428829</c:v>
                </c:pt>
                <c:pt idx="92">
                  <c:v>834.3516332526068</c:v>
                </c:pt>
                <c:pt idx="93">
                  <c:v>855.04071688873125</c:v>
                </c:pt>
                <c:pt idx="94">
                  <c:v>875.71976222892374</c:v>
                </c:pt>
                <c:pt idx="95">
                  <c:v>743.86941210113582</c:v>
                </c:pt>
                <c:pt idx="96">
                  <c:v>764.0838329101739</c:v>
                </c:pt>
                <c:pt idx="97">
                  <c:v>784.28740780731459</c:v>
                </c:pt>
                <c:pt idx="98">
                  <c:v>804.48045519870891</c:v>
                </c:pt>
                <c:pt idx="99">
                  <c:v>824.66327622232177</c:v>
                </c:pt>
                <c:pt idx="100">
                  <c:v>844.83615609261949</c:v>
                </c:pt>
                <c:pt idx="101">
                  <c:v>864.99936531030323</c:v>
                </c:pt>
                <c:pt idx="102">
                  <c:v>885.15316075352678</c:v>
                </c:pt>
                <c:pt idx="103">
                  <c:v>905.2977866646911</c:v>
                </c:pt>
                <c:pt idx="104">
                  <c:v>925.43347554496052</c:v>
                </c:pt>
                <c:pt idx="105">
                  <c:v>796.36789853791095</c:v>
                </c:pt>
                <c:pt idx="106">
                  <c:v>816.33586686577382</c:v>
                </c:pt>
                <c:pt idx="107">
                  <c:v>836.29399522681695</c:v>
                </c:pt>
                <c:pt idx="108">
                  <c:v>856.2425512298197</c:v>
                </c:pt>
                <c:pt idx="109">
                  <c:v>876.18178901346482</c:v>
                </c:pt>
                <c:pt idx="110">
                  <c:v>896.11195022160882</c:v>
                </c:pt>
                <c:pt idx="111">
                  <c:v>916.03326488739322</c:v>
                </c:pt>
                <c:pt idx="112">
                  <c:v>935.94595223655108</c:v>
                </c:pt>
                <c:pt idx="113">
                  <c:v>955.85022141889249</c:v>
                </c:pt>
                <c:pt idx="114">
                  <c:v>975.74627217577506</c:v>
                </c:pt>
                <c:pt idx="115">
                  <c:v>856.52665721580433</c:v>
                </c:pt>
                <c:pt idx="116">
                  <c:v>876.62578089094075</c:v>
                </c:pt>
                <c:pt idx="117">
                  <c:v>896.71568700341675</c:v>
                </c:pt>
                <c:pt idx="118">
                  <c:v>916.79661087096258</c:v>
                </c:pt>
                <c:pt idx="119">
                  <c:v>936.86877667642091</c:v>
                </c:pt>
                <c:pt idx="120">
                  <c:v>956.9323982266784</c:v>
                </c:pt>
                <c:pt idx="121">
                  <c:v>976.987679644727</c:v>
                </c:pt>
                <c:pt idx="122">
                  <c:v>997.0348160020294</c:v>
                </c:pt>
                <c:pt idx="123">
                  <c:v>1017.0739938974557</c:v>
                </c:pt>
                <c:pt idx="124">
                  <c:v>1037.1053919882879</c:v>
                </c:pt>
                <c:pt idx="125">
                  <c:v>927.39883559229656</c:v>
                </c:pt>
                <c:pt idx="126">
                  <c:v>947.70724062539603</c:v>
                </c:pt>
                <c:pt idx="127">
                  <c:v>968.00700918494886</c:v>
                </c:pt>
                <c:pt idx="128">
                  <c:v>988.29834763216047</c:v>
                </c:pt>
                <c:pt idx="129">
                  <c:v>1008.5814531759315</c:v>
                </c:pt>
                <c:pt idx="130">
                  <c:v>1028.8565144583363</c:v>
                </c:pt>
                <c:pt idx="131">
                  <c:v>1049.1237120916189</c:v>
                </c:pt>
                <c:pt idx="132">
                  <c:v>1069.3832191516055</c:v>
                </c:pt>
                <c:pt idx="133">
                  <c:v>1089.6352016318363</c:v>
                </c:pt>
                <c:pt idx="134">
                  <c:v>1109.8798188622395</c:v>
                </c:pt>
                <c:pt idx="135">
                  <c:v>993.92349442537125</c:v>
                </c:pt>
                <c:pt idx="136">
                  <c:v>1014.4762659054865</c:v>
                </c:pt>
                <c:pt idx="137">
                  <c:v>1035.0208306583224</c:v>
                </c:pt>
                <c:pt idx="138">
                  <c:v>1055.5573742773213</c:v>
                </c:pt>
                <c:pt idx="139">
                  <c:v>1076.0860745567184</c:v>
                </c:pt>
                <c:pt idx="140">
                  <c:v>1096.6071019647786</c:v>
                </c:pt>
                <c:pt idx="141">
                  <c:v>1117.1206200798313</c:v>
                </c:pt>
                <c:pt idx="142">
                  <c:v>1137.6267859926627</c:v>
                </c:pt>
                <c:pt idx="143">
                  <c:v>1158.1257506784348</c:v>
                </c:pt>
                <c:pt idx="144">
                  <c:v>1178.6176593409525</c:v>
                </c:pt>
                <c:pt idx="145">
                  <c:v>1060.9439914199227</c:v>
                </c:pt>
                <c:pt idx="146">
                  <c:v>1081.8993419268288</c:v>
                </c:pt>
                <c:pt idx="147">
                  <c:v>1102.8467446465284</c:v>
                </c:pt>
                <c:pt idx="148">
                  <c:v>1123.786371555512</c:v>
                </c:pt>
                <c:pt idx="149">
                  <c:v>1144.7183877094499</c:v>
                </c:pt>
                <c:pt idx="150">
                  <c:v>1165.6429516456753</c:v>
                </c:pt>
                <c:pt idx="151">
                  <c:v>1186.5602157553112</c:v>
                </c:pt>
                <c:pt idx="152">
                  <c:v>1207.4703266278404</c:v>
                </c:pt>
                <c:pt idx="153">
                  <c:v>1228.3734253706086</c:v>
                </c:pt>
                <c:pt idx="154">
                  <c:v>1249.26964790549</c:v>
                </c:pt>
                <c:pt idx="155">
                  <c:v>1133.7611307184045</c:v>
                </c:pt>
                <c:pt idx="156">
                  <c:v>1155.0325304985047</c:v>
                </c:pt>
                <c:pt idx="157">
                  <c:v>1176.296310122332</c:v>
                </c:pt>
                <c:pt idx="158">
                  <c:v>1197.5526265031187</c:v>
                </c:pt>
                <c:pt idx="159">
                  <c:v>1218.8016305393428</c:v>
                </c:pt>
                <c:pt idx="160">
                  <c:v>1240.0434674481953</c:v>
                </c:pt>
                <c:pt idx="161">
                  <c:v>1261.2782770750593</c:v>
                </c:pt>
                <c:pt idx="162">
                  <c:v>1282.5061941810975</c:v>
                </c:pt>
                <c:pt idx="163">
                  <c:v>1303.7273487108484</c:v>
                </c:pt>
                <c:pt idx="164">
                  <c:v>1324.9418660415267</c:v>
                </c:pt>
                <c:pt idx="165">
                  <c:v>1198.739788037851</c:v>
                </c:pt>
                <c:pt idx="166">
                  <c:v>1220.2884324987176</c:v>
                </c:pt>
                <c:pt idx="167">
                  <c:v>1241.8297161868911</c:v>
                </c:pt>
                <c:pt idx="168">
                  <c:v>1263.363784539112</c:v>
                </c:pt>
                <c:pt idx="169">
                  <c:v>1284.8907776390317</c:v>
                </c:pt>
                <c:pt idx="170">
                  <c:v>1306.4108305023954</c:v>
                </c:pt>
                <c:pt idx="171">
                  <c:v>1327.9240733424931</c:v>
                </c:pt>
                <c:pt idx="172">
                  <c:v>1349.4306318175479</c:v>
                </c:pt>
                <c:pt idx="173">
                  <c:v>1370.930627261542</c:v>
                </c:pt>
                <c:pt idx="174">
                  <c:v>1392.4241768998411</c:v>
                </c:pt>
                <c:pt idx="175">
                  <c:v>867.89837123896712</c:v>
                </c:pt>
                <c:pt idx="176">
                  <c:v>881.73699846583179</c:v>
                </c:pt>
                <c:pt idx="177">
                  <c:v>895.57128352465918</c:v>
                </c:pt>
                <c:pt idx="178">
                  <c:v>613.18709418858668</c:v>
                </c:pt>
                <c:pt idx="179">
                  <c:v>621.72191904507645</c:v>
                </c:pt>
                <c:pt idx="180">
                  <c:v>630.2543175006092</c:v>
                </c:pt>
                <c:pt idx="181">
                  <c:v>437.43787550840597</c:v>
                </c:pt>
                <c:pt idx="182">
                  <c:v>442.68082225191824</c:v>
                </c:pt>
                <c:pt idx="183">
                  <c:v>447.92243844994863</c:v>
                </c:pt>
                <c:pt idx="184">
                  <c:v>1.8947059614562397E-11</c:v>
                </c:pt>
                <c:pt idx="185">
                  <c:v>1.8947059614562397E-11</c:v>
                </c:pt>
                <c:pt idx="186">
                  <c:v>1.8947059614562397E-11</c:v>
                </c:pt>
                <c:pt idx="187">
                  <c:v>1.8947059614562397E-11</c:v>
                </c:pt>
                <c:pt idx="188">
                  <c:v>1.8947059614562397E-11</c:v>
                </c:pt>
                <c:pt idx="189">
                  <c:v>1.8947059614562397E-11</c:v>
                </c:pt>
                <c:pt idx="190">
                  <c:v>1.8947059614562397E-11</c:v>
                </c:pt>
                <c:pt idx="191">
                  <c:v>1.8947059614562397E-11</c:v>
                </c:pt>
                <c:pt idx="192">
                  <c:v>1.8947059614562397E-11</c:v>
                </c:pt>
                <c:pt idx="193">
                  <c:v>1.8947059614562397E-11</c:v>
                </c:pt>
                <c:pt idx="194">
                  <c:v>1.8947059614562397E-11</c:v>
                </c:pt>
                <c:pt idx="195">
                  <c:v>1.8947059614562397E-11</c:v>
                </c:pt>
                <c:pt idx="196">
                  <c:v>1.8947059614562397E-11</c:v>
                </c:pt>
                <c:pt idx="197">
                  <c:v>1.8947059614562397E-11</c:v>
                </c:pt>
                <c:pt idx="198">
                  <c:v>1.8947059614562397E-11</c:v>
                </c:pt>
                <c:pt idx="199">
                  <c:v>1.8947059614562397E-11</c:v>
                </c:pt>
                <c:pt idx="200">
                  <c:v>1.8947059614562397E-11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3.3607023068976729</c:v>
                </c:pt>
                <c:pt idx="2">
                  <c:v>4.2547221455608728</c:v>
                </c:pt>
                <c:pt idx="3">
                  <c:v>5.3874913175360541</c:v>
                </c:pt>
                <c:pt idx="4">
                  <c:v>6.822999493748207</c:v>
                </c:pt>
                <c:pt idx="5">
                  <c:v>8.6424447671064257</c:v>
                </c:pt>
                <c:pt idx="6">
                  <c:v>10.948875863598902</c:v>
                </c:pt>
                <c:pt idx="7">
                  <c:v>13.873090242281457</c:v>
                </c:pt>
                <c:pt idx="8">
                  <c:v>17.581128737253849</c:v>
                </c:pt>
                <c:pt idx="9">
                  <c:v>22.283800014650385</c:v>
                </c:pt>
                <c:pt idx="10">
                  <c:v>28.248785974087401</c:v>
                </c:pt>
                <c:pt idx="11">
                  <c:v>37.044761351668747</c:v>
                </c:pt>
                <c:pt idx="12">
                  <c:v>45.783421279666953</c:v>
                </c:pt>
                <c:pt idx="13">
                  <c:v>54.477343172934816</c:v>
                </c:pt>
                <c:pt idx="14">
                  <c:v>63.134713140647797</c:v>
                </c:pt>
                <c:pt idx="15">
                  <c:v>71.761269961795847</c:v>
                </c:pt>
                <c:pt idx="16">
                  <c:v>83.617060344493396</c:v>
                </c:pt>
                <c:pt idx="17">
                  <c:v>95.430378362145419</c:v>
                </c:pt>
                <c:pt idx="18">
                  <c:v>107.20723543568683</c:v>
                </c:pt>
                <c:pt idx="19">
                  <c:v>118.9522086529156</c:v>
                </c:pt>
                <c:pt idx="20">
                  <c:v>130.66889437805216</c:v>
                </c:pt>
                <c:pt idx="21">
                  <c:v>99.850701125907904</c:v>
                </c:pt>
                <c:pt idx="22">
                  <c:v>111.61512570313761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142.36018960459288</c:v>
                </c:pt>
                <c:pt idx="28">
                  <c:v>154.02847557165751</c:v>
                </c:pt>
                <c:pt idx="29">
                  <c:v>165.67574259607389</c:v>
                </c:pt>
                <c:pt idx="30">
                  <c:v>177.30367784131445</c:v>
                </c:pt>
                <c:pt idx="31">
                  <c:v>158.68980415698181</c:v>
                </c:pt>
                <c:pt idx="32">
                  <c:v>169.16608298395553</c:v>
                </c:pt>
                <c:pt idx="33">
                  <c:v>179.62707610009167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181.65947157363226</c:v>
                </c:pt>
                <c:pt idx="37">
                  <c:v>191.81359784117478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222.20371616988226</c:v>
                </c:pt>
                <c:pt idx="41">
                  <c:v>202.53437324255785</c:v>
                </c:pt>
                <c:pt idx="42">
                  <c:v>211.79577397903063</c:v>
                </c:pt>
                <c:pt idx="43">
                  <c:v>221.04784133997921</c:v>
                </c:pt>
                <c:pt idx="44">
                  <c:v>230.2910214517143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229.42483959070205</c:v>
                </c:pt>
                <c:pt idx="48">
                  <c:v>238.08334323928753</c:v>
                </c:pt>
                <c:pt idx="49">
                  <c:v>246.73467280489569</c:v>
                </c:pt>
                <c:pt idx="50">
                  <c:v>255.37911556611792</c:v>
                </c:pt>
                <c:pt idx="51">
                  <c:v>236.9292971220211</c:v>
                </c:pt>
                <c:pt idx="52">
                  <c:v>244.42833642786528</c:v>
                </c:pt>
                <c:pt idx="53">
                  <c:v>251.9221473953688</c:v>
                </c:pt>
                <c:pt idx="54">
                  <c:v>259.41090767814842</c:v>
                </c:pt>
                <c:pt idx="55">
                  <c:v>266.89478382272017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261.71415155067552</c:v>
                </c:pt>
                <c:pt idx="62">
                  <c:v>268.04572597702128</c:v>
                </c:pt>
                <c:pt idx="63">
                  <c:v>274.37393226183292</c:v>
                </c:pt>
                <c:pt idx="64">
                  <c:v>280.69885915498259</c:v>
                </c:pt>
                <c:pt idx="65">
                  <c:v>287.02059107494546</c:v>
                </c:pt>
                <c:pt idx="66">
                  <c:v>271.49788662587986</c:v>
                </c:pt>
                <c:pt idx="67">
                  <c:v>277.53680025840237</c:v>
                </c:pt>
                <c:pt idx="68">
                  <c:v>283.5727648129357</c:v>
                </c:pt>
                <c:pt idx="69">
                  <c:v>289.60585200572694</c:v>
                </c:pt>
                <c:pt idx="70">
                  <c:v>295.63613031709252</c:v>
                </c:pt>
                <c:pt idx="71">
                  <c:v>280.41143241335362</c:v>
                </c:pt>
                <c:pt idx="72">
                  <c:v>285.29679456567902</c:v>
                </c:pt>
                <c:pt idx="73">
                  <c:v>290.18028419185146</c:v>
                </c:pt>
                <c:pt idx="74">
                  <c:v>295.06193730222367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11.24899256867775</c:v>
                </c:pt>
                <c:pt idx="2">
                  <c:v>22.013008330423261</c:v>
                </c:pt>
                <c:pt idx="3">
                  <c:v>32.620400927842482</c:v>
                </c:pt>
                <c:pt idx="4">
                  <c:v>43.131247362551953</c:v>
                </c:pt>
                <c:pt idx="5">
                  <c:v>53.572776501138605</c:v>
                </c:pt>
                <c:pt idx="6">
                  <c:v>63.96052082594057</c:v>
                </c:pt>
                <c:pt idx="7">
                  <c:v>74.304493527749102</c:v>
                </c:pt>
                <c:pt idx="8">
                  <c:v>84.611669189270756</c:v>
                </c:pt>
                <c:pt idx="9">
                  <c:v>94.887174217518734</c:v>
                </c:pt>
                <c:pt idx="10">
                  <c:v>105.1349289865398</c:v>
                </c:pt>
                <c:pt idx="11">
                  <c:v>115.35802442325767</c:v>
                </c:pt>
                <c:pt idx="12">
                  <c:v>125.5589572341736</c:v>
                </c:pt>
                <c:pt idx="13">
                  <c:v>135.73978427924877</c:v>
                </c:pt>
                <c:pt idx="14">
                  <c:v>145.90222800262234</c:v>
                </c:pt>
                <c:pt idx="15">
                  <c:v>156.04775084186977</c:v>
                </c:pt>
                <c:pt idx="16">
                  <c:v>166.17760921131037</c:v>
                </c:pt>
                <c:pt idx="17">
                  <c:v>176.29289359687763</c:v>
                </c:pt>
                <c:pt idx="18">
                  <c:v>186.39455894470765</c:v>
                </c:pt>
                <c:pt idx="19">
                  <c:v>196.48344810310456</c:v>
                </c:pt>
                <c:pt idx="20">
                  <c:v>206.56031018856677</c:v>
                </c:pt>
                <c:pt idx="21">
                  <c:v>216.62581517422163</c:v>
                </c:pt>
                <c:pt idx="22">
                  <c:v>226.68056562077902</c:v>
                </c:pt>
                <c:pt idx="23">
                  <c:v>236.72510621429251</c:v>
                </c:pt>
                <c:pt idx="24">
                  <c:v>246.75993159837446</c:v>
                </c:pt>
                <c:pt idx="25">
                  <c:v>256.78549286425937</c:v>
                </c:pt>
                <c:pt idx="26">
                  <c:v>266.80220297322637</c:v>
                </c:pt>
                <c:pt idx="27">
                  <c:v>276.81044132133951</c:v>
                </c:pt>
                <c:pt idx="28">
                  <c:v>286.81055760891866</c:v>
                </c:pt>
                <c:pt idx="29">
                  <c:v>296.80287514169589</c:v>
                </c:pt>
                <c:pt idx="30">
                  <c:v>306.78769366384648</c:v>
                </c:pt>
                <c:pt idx="31">
                  <c:v>316.76529180267272</c:v>
                </c:pt>
                <c:pt idx="32">
                  <c:v>326.73592918898208</c:v>
                </c:pt>
                <c:pt idx="33">
                  <c:v>336.6998483049735</c:v>
                </c:pt>
                <c:pt idx="34">
                  <c:v>346.65727610184331</c:v>
                </c:pt>
                <c:pt idx="35">
                  <c:v>356.60842542173822</c:v>
                </c:pt>
                <c:pt idx="36">
                  <c:v>366.55349625262966</c:v>
                </c:pt>
                <c:pt idx="37">
                  <c:v>376.49267683984073</c:v>
                </c:pt>
                <c:pt idx="38">
                  <c:v>386.42614467402501</c:v>
                </c:pt>
                <c:pt idx="39">
                  <c:v>396.35406737222633</c:v>
                </c:pt>
                <c:pt idx="40">
                  <c:v>406.27660346602693</c:v>
                </c:pt>
                <c:pt idx="41">
                  <c:v>416.19390310866453</c:v>
                </c:pt>
                <c:pt idx="42">
                  <c:v>426.10610871121975</c:v>
                </c:pt>
                <c:pt idx="43">
                  <c:v>342.65561502478448</c:v>
                </c:pt>
                <c:pt idx="44">
                  <c:v>367.22299595279736</c:v>
                </c:pt>
                <c:pt idx="45">
                  <c:v>391.75450876097949</c:v>
                </c:pt>
                <c:pt idx="46">
                  <c:v>416.25271334758946</c:v>
                </c:pt>
                <c:pt idx="47">
                  <c:v>440.71984388784955</c:v>
                </c:pt>
                <c:pt idx="48">
                  <c:v>465.15786643006368</c:v>
                </c:pt>
                <c:pt idx="49">
                  <c:v>489.56852375581985</c:v>
                </c:pt>
                <c:pt idx="50">
                  <c:v>513.95337082755088</c:v>
                </c:pt>
                <c:pt idx="51">
                  <c:v>448.34616704905255</c:v>
                </c:pt>
                <c:pt idx="52">
                  <c:v>473.38827248245599</c:v>
                </c:pt>
                <c:pt idx="53">
                  <c:v>498.40219215664774</c:v>
                </c:pt>
                <c:pt idx="54">
                  <c:v>523.38953807051905</c:v>
                </c:pt>
                <c:pt idx="55">
                  <c:v>548.35175590380129</c:v>
                </c:pt>
                <c:pt idx="56">
                  <c:v>573.29014911890874</c:v>
                </c:pt>
                <c:pt idx="57">
                  <c:v>598.20589865299723</c:v>
                </c:pt>
                <c:pt idx="58">
                  <c:v>623.10007916066672</c:v>
                </c:pt>
                <c:pt idx="59">
                  <c:v>532.4788513925057</c:v>
                </c:pt>
                <c:pt idx="60">
                  <c:v>556.81555166568398</c:v>
                </c:pt>
                <c:pt idx="61">
                  <c:v>581.12998469460376</c:v>
                </c:pt>
                <c:pt idx="62">
                  <c:v>605.42321212564491</c:v>
                </c:pt>
                <c:pt idx="63">
                  <c:v>629.69620355524501</c:v>
                </c:pt>
                <c:pt idx="64">
                  <c:v>653.94984782241556</c:v>
                </c:pt>
                <c:pt idx="65">
                  <c:v>678.18496254028867</c:v>
                </c:pt>
                <c:pt idx="66">
                  <c:v>702.4023021956242</c:v>
                </c:pt>
                <c:pt idx="67">
                  <c:v>596.97430001457417</c:v>
                </c:pt>
                <c:pt idx="68">
                  <c:v>620.35677097345786</c:v>
                </c:pt>
                <c:pt idx="69">
                  <c:v>643.72099057300977</c:v>
                </c:pt>
                <c:pt idx="70">
                  <c:v>667.06771369104376</c:v>
                </c:pt>
                <c:pt idx="71">
                  <c:v>690.39763812007311</c:v>
                </c:pt>
                <c:pt idx="72">
                  <c:v>713.71141070579677</c:v>
                </c:pt>
                <c:pt idx="73">
                  <c:v>737.00963264262998</c:v>
                </c:pt>
                <c:pt idx="74">
                  <c:v>760.29286406553013</c:v>
                </c:pt>
                <c:pt idx="75">
                  <c:v>660.21447789279284</c:v>
                </c:pt>
                <c:pt idx="76">
                  <c:v>683.10172411524729</c:v>
                </c:pt>
                <c:pt idx="77">
                  <c:v>705.97324276449319</c:v>
                </c:pt>
                <c:pt idx="78">
                  <c:v>728.8296144538607</c:v>
                </c:pt>
                <c:pt idx="79">
                  <c:v>751.67138045696208</c:v>
                </c:pt>
                <c:pt idx="80">
                  <c:v>774.49904651143152</c:v>
                </c:pt>
                <c:pt idx="81">
                  <c:v>797.31308615141882</c:v>
                </c:pt>
                <c:pt idx="82">
                  <c:v>820.11394363929401</c:v>
                </c:pt>
                <c:pt idx="83">
                  <c:v>842.90203655477774</c:v>
                </c:pt>
                <c:pt idx="84">
                  <c:v>865.67775808989006</c:v>
                </c:pt>
                <c:pt idx="85">
                  <c:v>728.26718091974999</c:v>
                </c:pt>
                <c:pt idx="86">
                  <c:v>750.21473790394691</c:v>
                </c:pt>
                <c:pt idx="87">
                  <c:v>772.14924934779947</c:v>
                </c:pt>
                <c:pt idx="88">
                  <c:v>794.07113753815395</c:v>
                </c:pt>
                <c:pt idx="89">
                  <c:v>815.98079957512903</c:v>
                </c:pt>
                <c:pt idx="90">
                  <c:v>837.87860952377002</c:v>
                </c:pt>
                <c:pt idx="91">
                  <c:v>859.76492032936324</c:v>
                </c:pt>
                <c:pt idx="92">
                  <c:v>881.64006552783678</c:v>
                </c:pt>
                <c:pt idx="93">
                  <c:v>903.50436077781535</c:v>
                </c:pt>
                <c:pt idx="94">
                  <c:v>925.3581052368645</c:v>
                </c:pt>
                <c:pt idx="95">
                  <c:v>786.01885993748829</c:v>
                </c:pt>
                <c:pt idx="96">
                  <c:v>807.38126342459475</c:v>
                </c:pt>
                <c:pt idx="97">
                  <c:v>828.7322672727945</c:v>
                </c:pt>
                <c:pt idx="98">
                  <c:v>850.07220614414075</c:v>
                </c:pt>
                <c:pt idx="99">
                  <c:v>871.40139655089126</c:v>
                </c:pt>
                <c:pt idx="100">
                  <c:v>892.72013826884665</c:v>
                </c:pt>
                <c:pt idx="101">
                  <c:v>914.02871560884671</c:v>
                </c:pt>
                <c:pt idx="102">
                  <c:v>935.32739856369869</c:v>
                </c:pt>
                <c:pt idx="103">
                  <c:v>956.616443845351</c:v>
                </c:pt>
                <c:pt idx="104">
                  <c:v>977.89609582507819</c:v>
                </c:pt>
                <c:pt idx="105">
                  <c:v>841.49887868623046</c:v>
                </c:pt>
                <c:pt idx="106">
                  <c:v>862.60098945738446</c:v>
                </c:pt>
                <c:pt idx="107">
                  <c:v>883.69275789221285</c:v>
                </c:pt>
                <c:pt idx="108">
                  <c:v>904.77446526198901</c:v>
                </c:pt>
                <c:pt idx="109">
                  <c:v>925.8463786801882</c:v>
                </c:pt>
                <c:pt idx="110">
                  <c:v>946.90875212754872</c:v>
                </c:pt>
                <c:pt idx="111">
                  <c:v>967.96182738131972</c:v>
                </c:pt>
                <c:pt idx="112">
                  <c:v>989.00583485958134</c:v>
                </c:pt>
                <c:pt idx="113">
                  <c:v>1010.0409943900744</c:v>
                </c:pt>
                <c:pt idx="114">
                  <c:v>1031.0675159117488</c:v>
                </c:pt>
                <c:pt idx="115">
                  <c:v>905.07470990356035</c:v>
                </c:pt>
                <c:pt idx="116">
                  <c:v>926.3155927220746</c:v>
                </c:pt>
                <c:pt idx="117">
                  <c:v>947.54678738463429</c:v>
                </c:pt>
                <c:pt idx="118">
                  <c:v>968.7685412228775</c:v>
                </c:pt>
                <c:pt idx="119">
                  <c:v>989.98108986507361</c:v>
                </c:pt>
                <c:pt idx="120">
                  <c:v>1011.1846580338029</c:v>
                </c:pt>
                <c:pt idx="121">
                  <c:v>1032.379460273349</c:v>
                </c:pt>
                <c:pt idx="122">
                  <c:v>1053.5657016143507</c:v>
                </c:pt>
                <c:pt idx="123">
                  <c:v>1074.7435781822924</c:v>
                </c:pt>
                <c:pt idx="124">
                  <c:v>1095.9132777556231</c:v>
                </c:pt>
                <c:pt idx="125">
                  <c:v>979.97311601661215</c:v>
                </c:pt>
                <c:pt idx="126">
                  <c:v>1001.4353523695978</c:v>
                </c:pt>
                <c:pt idx="127">
                  <c:v>1022.8885113226567</c:v>
                </c:pt>
                <c:pt idx="128">
                  <c:v>1044.3328097725562</c:v>
                </c:pt>
                <c:pt idx="129">
                  <c:v>1065.7684549964965</c:v>
                </c:pt>
                <c:pt idx="130">
                  <c:v>1087.195645267482</c:v>
                </c:pt>
                <c:pt idx="131">
                  <c:v>1108.6145704187306</c:v>
                </c:pt>
                <c:pt idx="132">
                  <c:v>1130.0254123622794</c:v>
                </c:pt>
                <c:pt idx="133">
                  <c:v>1151.4283455663001</c:v>
                </c:pt>
                <c:pt idx="134">
                  <c:v>1172.8235374951482</c:v>
                </c:pt>
                <c:pt idx="135">
                  <c:v>1050.277587566464</c:v>
                </c:pt>
                <c:pt idx="136">
                  <c:v>1071.9982353224505</c:v>
                </c:pt>
                <c:pt idx="137">
                  <c:v>1093.7102573650366</c:v>
                </c:pt>
                <c:pt idx="138">
                  <c:v>1115.4138487629491</c:v>
                </c:pt>
                <c:pt idx="139">
                  <c:v>1137.1091963875272</c:v>
                </c:pt>
                <c:pt idx="140">
                  <c:v>1158.7964794101204</c:v>
                </c:pt>
                <c:pt idx="141">
                  <c:v>1180.4758697603829</c:v>
                </c:pt>
                <c:pt idx="142">
                  <c:v>1202.1475325492115</c:v>
                </c:pt>
                <c:pt idx="143">
                  <c:v>1223.811626459652</c:v>
                </c:pt>
                <c:pt idx="144">
                  <c:v>1245.4683041087408</c:v>
                </c:pt>
                <c:pt idx="145">
                  <c:v>1121.1065833581422</c:v>
                </c:pt>
                <c:pt idx="146">
                  <c:v>1143.2528402089345</c:v>
                </c:pt>
                <c:pt idx="147">
                  <c:v>1165.3907435063215</c:v>
                </c:pt>
                <c:pt idx="148">
                  <c:v>1187.5204740068777</c:v>
                </c:pt>
                <c:pt idx="149">
                  <c:v>1209.6422051930247</c:v>
                </c:pt>
                <c:pt idx="150">
                  <c:v>1231.7561036960572</c:v>
                </c:pt>
                <c:pt idx="151">
                  <c:v>1253.8623296872722</c:v>
                </c:pt>
                <c:pt idx="152">
                  <c:v>1275.9610372401291</c:v>
                </c:pt>
                <c:pt idx="153">
                  <c:v>1298.0523746660667</c:v>
                </c:pt>
                <c:pt idx="154">
                  <c:v>1320.1364848263122</c:v>
                </c:pt>
                <c:pt idx="155">
                  <c:v>1198.0621640912727</c:v>
                </c:pt>
                <c:pt idx="156">
                  <c:v>1220.5425898271676</c:v>
                </c:pt>
                <c:pt idx="157">
                  <c:v>1243.0150063674553</c:v>
                </c:pt>
                <c:pt idx="158">
                  <c:v>1265.4795786364139</c:v>
                </c:pt>
                <c:pt idx="159">
                  <c:v>1287.9364652364891</c:v>
                </c:pt>
                <c:pt idx="160">
                  <c:v>1310.3858187987892</c:v>
                </c:pt>
                <c:pt idx="161">
                  <c:v>1332.8277863083597</c:v>
                </c:pt>
                <c:pt idx="162">
                  <c:v>1355.262509406459</c:v>
                </c:pt>
                <c:pt idx="163">
                  <c:v>1377.6901246718105</c:v>
                </c:pt>
                <c:pt idx="164">
                  <c:v>1400.1107638826359</c:v>
                </c:pt>
                <c:pt idx="165">
                  <c:v>1266.734222306319</c:v>
                </c:pt>
                <c:pt idx="166">
                  <c:v>1289.5077848221226</c:v>
                </c:pt>
                <c:pt idx="167">
                  <c:v>1312.2736107684641</c:v>
                </c:pt>
                <c:pt idx="168">
                  <c:v>1335.0318530072084</c:v>
                </c:pt>
                <c:pt idx="169">
                  <c:v>1357.7826587738352</c:v>
                </c:pt>
                <c:pt idx="170">
                  <c:v>1380.5261699771818</c:v>
                </c:pt>
                <c:pt idx="171">
                  <c:v>1403.2625234784462</c:v>
                </c:pt>
                <c:pt idx="172">
                  <c:v>1425.991851351203</c:v>
                </c:pt>
                <c:pt idx="173">
                  <c:v>1448.7142811240176</c:v>
                </c:pt>
                <c:pt idx="174">
                  <c:v>1471.429936007079</c:v>
                </c:pt>
                <c:pt idx="175">
                  <c:v>917.09240362772289</c:v>
                </c:pt>
                <c:pt idx="176">
                  <c:v>931.71716875348295</c:v>
                </c:pt>
                <c:pt idx="177">
                  <c:v>946.33737002622991</c:v>
                </c:pt>
                <c:pt idx="178">
                  <c:v>647.9166940033125</c:v>
                </c:pt>
                <c:pt idx="179">
                  <c:v>656.93601371387604</c:v>
                </c:pt>
                <c:pt idx="180">
                  <c:v>665.95278314604775</c:v>
                </c:pt>
                <c:pt idx="181">
                  <c:v>462.19424347547914</c:v>
                </c:pt>
                <c:pt idx="182">
                  <c:v>467.73460248598911</c:v>
                </c:pt>
                <c:pt idx="183">
                  <c:v>473.27356302136991</c:v>
                </c:pt>
                <c:pt idx="184">
                  <c:v>1.9924702178178812E-11</c:v>
                </c:pt>
                <c:pt idx="185">
                  <c:v>1.9924702178178812E-11</c:v>
                </c:pt>
                <c:pt idx="186">
                  <c:v>1.9924702178178812E-11</c:v>
                </c:pt>
                <c:pt idx="187">
                  <c:v>1.9924702178178812E-11</c:v>
                </c:pt>
                <c:pt idx="188">
                  <c:v>1.9924702178178812E-11</c:v>
                </c:pt>
                <c:pt idx="189">
                  <c:v>1.9924702178178812E-11</c:v>
                </c:pt>
                <c:pt idx="190">
                  <c:v>1.9924702178178812E-11</c:v>
                </c:pt>
                <c:pt idx="191">
                  <c:v>1.9924702178178812E-11</c:v>
                </c:pt>
                <c:pt idx="192">
                  <c:v>1.9924702178178812E-11</c:v>
                </c:pt>
                <c:pt idx="193">
                  <c:v>1.9924702178178812E-11</c:v>
                </c:pt>
                <c:pt idx="194">
                  <c:v>1.9924702178178812E-11</c:v>
                </c:pt>
                <c:pt idx="195">
                  <c:v>1.9924702178178812E-11</c:v>
                </c:pt>
                <c:pt idx="196">
                  <c:v>1.9924702178178812E-11</c:v>
                </c:pt>
                <c:pt idx="197">
                  <c:v>1.9924702178178812E-11</c:v>
                </c:pt>
                <c:pt idx="198">
                  <c:v>1.9924702178178812E-11</c:v>
                </c:pt>
                <c:pt idx="199">
                  <c:v>1.9924702178178812E-11</c:v>
                </c:pt>
                <c:pt idx="200">
                  <c:v>1.9924702178178812E-11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C15" sqref="C15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7.83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14</v>
      </c>
      <c r="C9" s="32">
        <v>0.42</v>
      </c>
      <c r="D9" s="33">
        <f t="shared" ref="D9:D18" si="0">C9*$C$5</f>
        <v>3.2885999999999997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12</v>
      </c>
      <c r="C10" s="32">
        <v>0.42</v>
      </c>
      <c r="D10" s="33">
        <f t="shared" si="0"/>
        <v>3.2885999999999997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6</v>
      </c>
      <c r="C11" s="32">
        <v>0.03</v>
      </c>
      <c r="D11" s="33">
        <f t="shared" si="0"/>
        <v>0.2349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1</v>
      </c>
      <c r="C12" s="32">
        <v>0.03</v>
      </c>
      <c r="D12" s="33">
        <f t="shared" si="0"/>
        <v>0.2349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 t="s">
        <v>52</v>
      </c>
      <c r="C13" s="32">
        <v>0.03</v>
      </c>
      <c r="D13" s="33">
        <f t="shared" si="0"/>
        <v>0.2349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 t="s">
        <v>9</v>
      </c>
      <c r="C14" s="32">
        <v>0.03</v>
      </c>
      <c r="D14" s="33">
        <f t="shared" si="0"/>
        <v>0.2349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 t="s">
        <v>16</v>
      </c>
      <c r="C16" s="32">
        <v>0.04</v>
      </c>
      <c r="D16" s="33">
        <f t="shared" si="0"/>
        <v>0.31320000000000003</v>
      </c>
      <c r="E16" s="34">
        <v>183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</v>
      </c>
      <c r="D19" s="38">
        <f>SUM(D9:D18)</f>
        <v>7.8299999999999983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42</v>
      </c>
      <c r="B114" s="60">
        <v>171.96</v>
      </c>
      <c r="C114" s="50">
        <v>1</v>
      </c>
      <c r="D114" s="60">
        <v>44.510000000000005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4.0942857142857143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50</v>
      </c>
      <c r="B115" s="60">
        <v>208.33</v>
      </c>
      <c r="C115" s="50">
        <v>2</v>
      </c>
      <c r="D115" s="60">
        <v>37.54000000000002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10.110000000000001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58</v>
      </c>
      <c r="B116" s="60">
        <v>253.7</v>
      </c>
      <c r="C116" s="50">
        <v>3</v>
      </c>
      <c r="D116" s="60">
        <v>47.789999999999992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10.36375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66</v>
      </c>
      <c r="B117" s="60">
        <v>286.77</v>
      </c>
      <c r="C117" s="50">
        <v>4</v>
      </c>
      <c r="D117" s="60">
        <v>53.679999999999978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10.107499999999998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74</v>
      </c>
      <c r="B118" s="60">
        <v>310.95999999999998</v>
      </c>
      <c r="C118" s="50">
        <v>5</v>
      </c>
      <c r="D118" s="60">
        <v>51.339999999999975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9.733749999999997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84</v>
      </c>
      <c r="B119" s="60">
        <v>355.09</v>
      </c>
      <c r="C119" s="50">
        <v>6</v>
      </c>
      <c r="D119" s="60">
        <v>66.69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9.546999999999997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94</v>
      </c>
      <c r="B120" s="60">
        <v>380.13</v>
      </c>
      <c r="C120" s="60">
        <v>7</v>
      </c>
      <c r="D120" s="60">
        <v>67.350000000000023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9.1730000000000018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104</v>
      </c>
      <c r="B121" s="60">
        <v>402.2</v>
      </c>
      <c r="C121" s="60">
        <v>8</v>
      </c>
      <c r="D121" s="60">
        <v>66.089999999999975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8.9420000000000019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114</v>
      </c>
      <c r="B122" s="60">
        <v>424.56</v>
      </c>
      <c r="C122" s="60">
        <v>9</v>
      </c>
      <c r="D122" s="60">
        <v>61.860000000000014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8.8449999999999989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124</v>
      </c>
      <c r="B123" s="60">
        <v>451.86</v>
      </c>
      <c r="C123" s="60">
        <v>10</v>
      </c>
      <c r="D123" s="60">
        <v>57.81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8.9160000000000021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134</v>
      </c>
      <c r="B124" s="60">
        <v>484.28</v>
      </c>
      <c r="C124" s="60">
        <v>11</v>
      </c>
      <c r="D124" s="60">
        <v>60.779999999999973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9.0229999999999961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144</v>
      </c>
      <c r="B125" s="60">
        <v>514.94000000000005</v>
      </c>
      <c r="C125" s="60">
        <v>12</v>
      </c>
      <c r="D125" s="60">
        <v>61.800000000000068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9.1440000000000055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154</v>
      </c>
      <c r="B126" s="60">
        <v>546.49</v>
      </c>
      <c r="C126" s="60">
        <v>13</v>
      </c>
      <c r="D126" s="60">
        <v>61.050000000000011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9.3350000000000026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164</v>
      </c>
      <c r="B127" s="60">
        <v>580.32000000000005</v>
      </c>
      <c r="C127" s="60">
        <v>14</v>
      </c>
      <c r="D127" s="60">
        <v>66.020000000000095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9.4880000000000049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174</v>
      </c>
      <c r="B128" s="50">
        <v>610.52</v>
      </c>
      <c r="C128" s="50">
        <v>15</v>
      </c>
      <c r="D128" s="50">
        <v>240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9.6220000000000034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177</v>
      </c>
      <c r="B129" s="50">
        <v>388.94</v>
      </c>
      <c r="C129" s="50">
        <v>16</v>
      </c>
      <c r="D129" s="50">
        <v>128.66000000000003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6.140000000000005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>
        <v>180</v>
      </c>
      <c r="B130" s="50">
        <v>271.56</v>
      </c>
      <c r="C130" s="50">
        <v>17</v>
      </c>
      <c r="D130" s="50">
        <v>86.97</v>
      </c>
      <c r="E130" s="54">
        <v>0.45</v>
      </c>
      <c r="F130" s="54">
        <v>0.05</v>
      </c>
      <c r="G130" s="54">
        <v>0.05</v>
      </c>
      <c r="H130" s="54">
        <v>0.45</v>
      </c>
      <c r="I130" s="53">
        <f t="shared" si="4"/>
        <v>3.76000000000001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>
        <v>183</v>
      </c>
      <c r="B131" s="50">
        <v>191.47</v>
      </c>
      <c r="C131" s="50">
        <v>18</v>
      </c>
      <c r="D131" s="50">
        <v>191.47</v>
      </c>
      <c r="E131" s="54">
        <v>0.45</v>
      </c>
      <c r="F131" s="54">
        <v>0.05</v>
      </c>
      <c r="G131" s="54">
        <v>0.05</v>
      </c>
      <c r="H131" s="54">
        <v>0.45</v>
      </c>
      <c r="I131" s="53">
        <f t="shared" si="4"/>
        <v>2.2933333333333317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>Cormier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>
        <v>42</v>
      </c>
      <c r="B140" s="60">
        <v>171.96</v>
      </c>
      <c r="C140" s="50">
        <v>1</v>
      </c>
      <c r="D140" s="60">
        <v>44.510000000000005</v>
      </c>
      <c r="E140" s="51">
        <v>0</v>
      </c>
      <c r="F140" s="51">
        <v>0.8</v>
      </c>
      <c r="G140" s="51">
        <v>0.2</v>
      </c>
      <c r="H140" s="51">
        <v>0</v>
      </c>
      <c r="I140" s="57">
        <f>IFERROR(B140/A140,"")</f>
        <v>4.0942857142857143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>
        <v>50</v>
      </c>
      <c r="B141" s="60">
        <v>208.33</v>
      </c>
      <c r="C141" s="50">
        <v>2</v>
      </c>
      <c r="D141" s="60">
        <v>37.54000000000002</v>
      </c>
      <c r="E141" s="51">
        <v>0</v>
      </c>
      <c r="F141" s="51">
        <v>0.8</v>
      </c>
      <c r="G141" s="51">
        <v>0.2</v>
      </c>
      <c r="H141" s="51">
        <v>0</v>
      </c>
      <c r="I141" s="57">
        <f t="shared" ref="I141:I159" si="5">IF(A141&lt;&gt;0,(B141-(B140-D140))/(A141-A140),"")</f>
        <v>10.110000000000001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>
        <v>58</v>
      </c>
      <c r="B142" s="60">
        <v>253.7</v>
      </c>
      <c r="C142" s="50">
        <v>3</v>
      </c>
      <c r="D142" s="60">
        <v>47.789999999999992</v>
      </c>
      <c r="E142" s="51">
        <v>0</v>
      </c>
      <c r="F142" s="51">
        <v>0.8</v>
      </c>
      <c r="G142" s="51">
        <v>0.2</v>
      </c>
      <c r="H142" s="51">
        <v>0</v>
      </c>
      <c r="I142" s="57">
        <f t="shared" si="5"/>
        <v>10.36375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>
        <v>66</v>
      </c>
      <c r="B143" s="60">
        <v>286.77</v>
      </c>
      <c r="C143" s="50">
        <v>4</v>
      </c>
      <c r="D143" s="60">
        <v>53.679999999999978</v>
      </c>
      <c r="E143" s="51">
        <v>0.35</v>
      </c>
      <c r="F143" s="51">
        <v>0.2</v>
      </c>
      <c r="G143" s="51">
        <v>0.1</v>
      </c>
      <c r="H143" s="51">
        <v>0.35</v>
      </c>
      <c r="I143" s="57">
        <f t="shared" si="5"/>
        <v>10.107499999999998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>
        <v>74</v>
      </c>
      <c r="B144" s="60">
        <v>310.95999999999998</v>
      </c>
      <c r="C144" s="50">
        <v>5</v>
      </c>
      <c r="D144" s="60">
        <v>51.339999999999975</v>
      </c>
      <c r="E144" s="51">
        <v>0.35</v>
      </c>
      <c r="F144" s="51">
        <v>0.2</v>
      </c>
      <c r="G144" s="51">
        <v>0.1</v>
      </c>
      <c r="H144" s="51">
        <v>0.35</v>
      </c>
      <c r="I144" s="57">
        <f t="shared" si="5"/>
        <v>9.733749999999997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>
        <v>84</v>
      </c>
      <c r="B145" s="60">
        <v>355.09</v>
      </c>
      <c r="C145" s="50">
        <v>6</v>
      </c>
      <c r="D145" s="60">
        <v>66.69</v>
      </c>
      <c r="E145" s="51">
        <v>0.35</v>
      </c>
      <c r="F145" s="51">
        <v>0.2</v>
      </c>
      <c r="G145" s="51">
        <v>0.1</v>
      </c>
      <c r="H145" s="51">
        <v>0.35</v>
      </c>
      <c r="I145" s="57">
        <f t="shared" si="5"/>
        <v>9.546999999999997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>
        <v>94</v>
      </c>
      <c r="B146" s="60">
        <v>380.13</v>
      </c>
      <c r="C146" s="50">
        <v>7</v>
      </c>
      <c r="D146" s="60">
        <v>67.350000000000023</v>
      </c>
      <c r="E146" s="51">
        <v>0.35</v>
      </c>
      <c r="F146" s="51">
        <v>0.2</v>
      </c>
      <c r="G146" s="51">
        <v>0.1</v>
      </c>
      <c r="H146" s="51">
        <v>0.35</v>
      </c>
      <c r="I146" s="57">
        <f t="shared" si="5"/>
        <v>9.1730000000000018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>
        <v>104</v>
      </c>
      <c r="B147" s="60">
        <v>402.2</v>
      </c>
      <c r="C147" s="50">
        <v>8</v>
      </c>
      <c r="D147" s="60">
        <v>66.089999999999975</v>
      </c>
      <c r="E147" s="51">
        <v>0.35</v>
      </c>
      <c r="F147" s="51">
        <v>0.2</v>
      </c>
      <c r="G147" s="51">
        <v>0.1</v>
      </c>
      <c r="H147" s="51">
        <v>0.35</v>
      </c>
      <c r="I147" s="57">
        <f>IF(A147&lt;&gt;0,(B147-(B146-D146))/(A147-A146),"")</f>
        <v>8.9420000000000019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>
        <v>114</v>
      </c>
      <c r="B148" s="60">
        <v>424.56</v>
      </c>
      <c r="C148" s="50">
        <v>9</v>
      </c>
      <c r="D148" s="60">
        <v>61.860000000000014</v>
      </c>
      <c r="E148" s="51">
        <v>0.35</v>
      </c>
      <c r="F148" s="51">
        <v>0.2</v>
      </c>
      <c r="G148" s="51">
        <v>0.1</v>
      </c>
      <c r="H148" s="51">
        <v>0.35</v>
      </c>
      <c r="I148" s="57">
        <f t="shared" si="5"/>
        <v>8.8449999999999989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>
        <v>124</v>
      </c>
      <c r="B149" s="60">
        <v>451.86</v>
      </c>
      <c r="C149" s="50">
        <v>10</v>
      </c>
      <c r="D149" s="60">
        <v>57.81</v>
      </c>
      <c r="E149" s="51">
        <v>0.35</v>
      </c>
      <c r="F149" s="51">
        <v>0.2</v>
      </c>
      <c r="G149" s="51">
        <v>0.1</v>
      </c>
      <c r="H149" s="51">
        <v>0.35</v>
      </c>
      <c r="I149" s="57">
        <f t="shared" si="5"/>
        <v>8.9160000000000021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>
        <v>134</v>
      </c>
      <c r="B150" s="60">
        <v>484.28</v>
      </c>
      <c r="C150" s="50">
        <v>11</v>
      </c>
      <c r="D150" s="60">
        <v>60.779999999999973</v>
      </c>
      <c r="E150" s="51">
        <v>0.5</v>
      </c>
      <c r="F150" s="51">
        <v>0.2</v>
      </c>
      <c r="G150" s="51">
        <v>0</v>
      </c>
      <c r="H150" s="51">
        <v>0.3</v>
      </c>
      <c r="I150" s="57">
        <f t="shared" si="5"/>
        <v>9.0229999999999961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>
        <v>144</v>
      </c>
      <c r="B151" s="60">
        <v>514.94000000000005</v>
      </c>
      <c r="C151" s="50">
        <v>12</v>
      </c>
      <c r="D151" s="60">
        <v>61.800000000000068</v>
      </c>
      <c r="E151" s="51">
        <v>0.5</v>
      </c>
      <c r="F151" s="51">
        <v>0.2</v>
      </c>
      <c r="G151" s="51">
        <v>0</v>
      </c>
      <c r="H151" s="51">
        <v>0.3</v>
      </c>
      <c r="I151" s="57">
        <f t="shared" si="5"/>
        <v>9.1440000000000055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>
        <v>154</v>
      </c>
      <c r="B152" s="60">
        <v>546.49</v>
      </c>
      <c r="C152" s="50">
        <v>13</v>
      </c>
      <c r="D152" s="60">
        <v>61.050000000000011</v>
      </c>
      <c r="E152" s="54">
        <v>0.5</v>
      </c>
      <c r="F152" s="54">
        <v>0.2</v>
      </c>
      <c r="G152" s="54">
        <v>0</v>
      </c>
      <c r="H152" s="54">
        <v>0.3</v>
      </c>
      <c r="I152" s="57">
        <f t="shared" si="5"/>
        <v>9.3350000000000026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>
        <v>164</v>
      </c>
      <c r="B153" s="60">
        <v>580.32000000000005</v>
      </c>
      <c r="C153" s="50">
        <v>14</v>
      </c>
      <c r="D153" s="60">
        <v>66.020000000000095</v>
      </c>
      <c r="E153" s="54">
        <v>0.5</v>
      </c>
      <c r="F153" s="54">
        <v>0.2</v>
      </c>
      <c r="G153" s="54">
        <v>0</v>
      </c>
      <c r="H153" s="54">
        <v>0.3</v>
      </c>
      <c r="I153" s="57">
        <f t="shared" si="5"/>
        <v>9.4880000000000049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>
        <v>174</v>
      </c>
      <c r="B154" s="56">
        <v>610.52</v>
      </c>
      <c r="C154" s="50">
        <v>15</v>
      </c>
      <c r="D154" s="50">
        <v>240</v>
      </c>
      <c r="E154" s="54">
        <v>0.45</v>
      </c>
      <c r="F154" s="54">
        <v>0.05</v>
      </c>
      <c r="G154" s="54">
        <v>0.05</v>
      </c>
      <c r="H154" s="54">
        <v>0.45</v>
      </c>
      <c r="I154" s="57">
        <f t="shared" si="5"/>
        <v>9.6220000000000034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>
        <v>177</v>
      </c>
      <c r="B155" s="56">
        <v>388.94</v>
      </c>
      <c r="C155" s="50">
        <v>16</v>
      </c>
      <c r="D155" s="50">
        <v>128.66000000000003</v>
      </c>
      <c r="E155" s="54">
        <v>0.45</v>
      </c>
      <c r="F155" s="54">
        <v>0.05</v>
      </c>
      <c r="G155" s="54">
        <v>0.05</v>
      </c>
      <c r="H155" s="54">
        <v>0.45</v>
      </c>
      <c r="I155" s="57">
        <f t="shared" si="5"/>
        <v>6.140000000000005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>
        <v>180</v>
      </c>
      <c r="B156" s="56">
        <v>271.56</v>
      </c>
      <c r="C156" s="50">
        <v>17</v>
      </c>
      <c r="D156" s="50">
        <v>86.97</v>
      </c>
      <c r="E156" s="54">
        <v>0.45</v>
      </c>
      <c r="F156" s="54">
        <v>0.05</v>
      </c>
      <c r="G156" s="54">
        <v>0.05</v>
      </c>
      <c r="H156" s="54">
        <v>0.45</v>
      </c>
      <c r="I156" s="57">
        <f t="shared" si="5"/>
        <v>3.76000000000001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>
        <v>183</v>
      </c>
      <c r="B157" s="56">
        <v>191.47</v>
      </c>
      <c r="C157" s="50">
        <v>18</v>
      </c>
      <c r="D157" s="50">
        <v>191.47</v>
      </c>
      <c r="E157" s="54">
        <v>0.45</v>
      </c>
      <c r="F157" s="54">
        <v>0.05</v>
      </c>
      <c r="G157" s="54">
        <v>0.05</v>
      </c>
      <c r="H157" s="54">
        <v>0.45</v>
      </c>
      <c r="I157" s="57">
        <f t="shared" si="5"/>
        <v>2.2933333333333317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>Chêne chevelu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>
        <v>10</v>
      </c>
      <c r="B166" s="60">
        <v>11.538461538461538</v>
      </c>
      <c r="C166" s="60">
        <v>0</v>
      </c>
      <c r="D166" s="60">
        <v>0</v>
      </c>
      <c r="E166" s="51">
        <v>0</v>
      </c>
      <c r="F166" s="51">
        <v>0.5</v>
      </c>
      <c r="G166" s="51">
        <v>0</v>
      </c>
      <c r="H166" s="51">
        <v>0.5</v>
      </c>
      <c r="I166" s="49">
        <f>IFERROR(B166/A166,"")</f>
        <v>1.1538461538461537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>
        <v>15</v>
      </c>
      <c r="B167" s="60">
        <v>30.128205128205128</v>
      </c>
      <c r="C167" s="60">
        <v>0</v>
      </c>
      <c r="D167" s="60">
        <v>0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3.7179487179487181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>
        <v>20</v>
      </c>
      <c r="B168" s="60">
        <v>55.769230769230759</v>
      </c>
      <c r="C168" s="60">
        <v>1</v>
      </c>
      <c r="D168" s="60">
        <v>18.589743589743588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5.128205128205126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>
        <v>25</v>
      </c>
      <c r="B169" s="60">
        <v>62.820512820512818</v>
      </c>
      <c r="C169" s="60">
        <v>2</v>
      </c>
      <c r="D169" s="60">
        <v>12.179487179487179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5.1282051282051295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>
        <v>30</v>
      </c>
      <c r="B170" s="60">
        <v>76.282051282051285</v>
      </c>
      <c r="C170" s="60">
        <v>3</v>
      </c>
      <c r="D170" s="60">
        <v>12.820512820512819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5.1282051282051295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>
        <v>35</v>
      </c>
      <c r="B171" s="60">
        <v>86.538461538461533</v>
      </c>
      <c r="C171" s="60">
        <v>4</v>
      </c>
      <c r="D171" s="60">
        <v>12.820512820512819</v>
      </c>
      <c r="E171" s="51">
        <v>0</v>
      </c>
      <c r="F171" s="51">
        <v>0.5</v>
      </c>
      <c r="G171" s="51">
        <v>0</v>
      </c>
      <c r="H171" s="51">
        <v>0.5</v>
      </c>
      <c r="I171" s="49">
        <f t="shared" si="6"/>
        <v>4.6153846153846132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>
        <v>40</v>
      </c>
      <c r="B172" s="60">
        <v>96.153846153846146</v>
      </c>
      <c r="C172" s="60">
        <v>5</v>
      </c>
      <c r="D172" s="60">
        <v>12.820512820512819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4.4871794871794863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>
        <v>45</v>
      </c>
      <c r="B173" s="50">
        <v>103.84615384615384</v>
      </c>
      <c r="C173" s="50">
        <v>6</v>
      </c>
      <c r="D173" s="50">
        <v>12.179487179487179</v>
      </c>
      <c r="E173" s="51">
        <v>0</v>
      </c>
      <c r="F173" s="51">
        <v>0.5</v>
      </c>
      <c r="G173" s="51">
        <v>0</v>
      </c>
      <c r="H173" s="51">
        <v>0.5</v>
      </c>
      <c r="I173" s="49">
        <f t="shared" si="6"/>
        <v>4.1025641025641022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>
        <v>50</v>
      </c>
      <c r="B174" s="50">
        <v>110.89743589743588</v>
      </c>
      <c r="C174" s="50">
        <v>7</v>
      </c>
      <c r="D174" s="50">
        <v>11.538461538461538</v>
      </c>
      <c r="E174" s="51">
        <v>0</v>
      </c>
      <c r="F174" s="51">
        <v>0.5</v>
      </c>
      <c r="G174" s="51">
        <v>0</v>
      </c>
      <c r="H174" s="51">
        <v>0.5</v>
      </c>
      <c r="I174" s="49">
        <f t="shared" si="6"/>
        <v>3.8461538461538454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>
        <v>55</v>
      </c>
      <c r="B175" s="50">
        <v>116.02564102564102</v>
      </c>
      <c r="C175" s="50">
        <v>8</v>
      </c>
      <c r="D175" s="50">
        <v>10.897435897435898</v>
      </c>
      <c r="E175" s="51">
        <v>0</v>
      </c>
      <c r="F175" s="51">
        <v>0.5</v>
      </c>
      <c r="G175" s="51">
        <v>0</v>
      </c>
      <c r="H175" s="51">
        <v>0.5</v>
      </c>
      <c r="I175" s="49">
        <f t="shared" si="6"/>
        <v>3.3333333333333344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>
        <v>60</v>
      </c>
      <c r="B176" s="50">
        <v>121.15384615384616</v>
      </c>
      <c r="C176" s="50">
        <v>9</v>
      </c>
      <c r="D176" s="50">
        <v>10.256410256410255</v>
      </c>
      <c r="E176" s="51">
        <v>0</v>
      </c>
      <c r="F176" s="51">
        <v>0.5</v>
      </c>
      <c r="G176" s="51">
        <v>0</v>
      </c>
      <c r="H176" s="51">
        <v>0.5</v>
      </c>
      <c r="I176" s="49">
        <f t="shared" si="6"/>
        <v>3.2051282051282071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>
        <v>65</v>
      </c>
      <c r="B177" s="50">
        <v>125</v>
      </c>
      <c r="C177" s="50">
        <v>10</v>
      </c>
      <c r="D177" s="50">
        <v>9.615384615384615</v>
      </c>
      <c r="E177" s="51">
        <v>0.1</v>
      </c>
      <c r="F177" s="51">
        <v>0.5</v>
      </c>
      <c r="G177" s="51">
        <v>0</v>
      </c>
      <c r="H177" s="51">
        <v>0.4</v>
      </c>
      <c r="I177" s="49">
        <f t="shared" si="6"/>
        <v>2.8205128205128176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>
        <v>70</v>
      </c>
      <c r="B178" s="50">
        <v>128.84615384615384</v>
      </c>
      <c r="C178" s="50">
        <v>11</v>
      </c>
      <c r="D178" s="50">
        <v>8.9743589743589745</v>
      </c>
      <c r="E178" s="51">
        <v>0.1</v>
      </c>
      <c r="F178" s="51">
        <v>0.5</v>
      </c>
      <c r="G178" s="51">
        <v>0</v>
      </c>
      <c r="H178" s="51">
        <v>0.4</v>
      </c>
      <c r="I178" s="49">
        <f t="shared" si="6"/>
        <v>2.6923076923076907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>
        <v>75</v>
      </c>
      <c r="B179" s="50">
        <v>130.76923076923075</v>
      </c>
      <c r="C179" s="50">
        <v>12</v>
      </c>
      <c r="D179" s="50">
        <v>7.6923076923076916</v>
      </c>
      <c r="E179" s="51">
        <v>0.1</v>
      </c>
      <c r="F179" s="51">
        <v>0.5</v>
      </c>
      <c r="G179" s="51">
        <v>0</v>
      </c>
      <c r="H179" s="51">
        <v>0.4</v>
      </c>
      <c r="I179" s="49">
        <f t="shared" si="6"/>
        <v>2.1794871794871766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>
        <v>80</v>
      </c>
      <c r="B180" s="50">
        <v>133.33333333333334</v>
      </c>
      <c r="C180" s="50">
        <v>13</v>
      </c>
      <c r="D180" s="50">
        <v>7.0512820512820511</v>
      </c>
      <c r="E180" s="51">
        <v>0.1</v>
      </c>
      <c r="F180" s="51">
        <v>0.5</v>
      </c>
      <c r="G180" s="51">
        <v>0</v>
      </c>
      <c r="H180" s="51">
        <v>0.4</v>
      </c>
      <c r="I180" s="49">
        <f t="shared" si="6"/>
        <v>2.0512820512820582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>
        <v>85</v>
      </c>
      <c r="B181" s="50">
        <v>135.25641025641025</v>
      </c>
      <c r="C181" s="50">
        <v>14</v>
      </c>
      <c r="D181" s="50">
        <v>6.4102564102564097</v>
      </c>
      <c r="E181" s="51">
        <v>0.1</v>
      </c>
      <c r="F181" s="51">
        <v>0.5</v>
      </c>
      <c r="G181" s="51">
        <v>0</v>
      </c>
      <c r="H181" s="51">
        <v>0.4</v>
      </c>
      <c r="I181" s="49">
        <f t="shared" si="6"/>
        <v>1.7948717948717898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>
        <v>90</v>
      </c>
      <c r="B182" s="50">
        <v>137.82051282051282</v>
      </c>
      <c r="C182" s="50">
        <v>15</v>
      </c>
      <c r="D182" s="50">
        <v>6.4102564102564097</v>
      </c>
      <c r="E182" s="51">
        <v>0.1</v>
      </c>
      <c r="F182" s="51">
        <v>0.5</v>
      </c>
      <c r="G182" s="51">
        <v>0</v>
      </c>
      <c r="H182" s="51">
        <v>0.4</v>
      </c>
      <c r="I182" s="49">
        <f t="shared" si="6"/>
        <v>1.7948717948717956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>
        <v>95</v>
      </c>
      <c r="B183" s="50">
        <v>140.38461538461539</v>
      </c>
      <c r="C183" s="50">
        <v>16</v>
      </c>
      <c r="D183" s="50">
        <v>7.0512820512820511</v>
      </c>
      <c r="E183" s="51">
        <v>0.1</v>
      </c>
      <c r="F183" s="51">
        <v>0.5</v>
      </c>
      <c r="G183" s="51">
        <v>0</v>
      </c>
      <c r="H183" s="51">
        <v>0.4</v>
      </c>
      <c r="I183" s="49">
        <f t="shared" si="6"/>
        <v>1.7948717948717956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>
        <v>100</v>
      </c>
      <c r="B184" s="50">
        <v>142.94871794871796</v>
      </c>
      <c r="C184" s="50">
        <v>17</v>
      </c>
      <c r="D184" s="50">
        <v>142.94871794871796</v>
      </c>
      <c r="E184" s="51">
        <v>0.1</v>
      </c>
      <c r="F184" s="51">
        <v>0.5</v>
      </c>
      <c r="G184" s="51">
        <v>0</v>
      </c>
      <c r="H184" s="51">
        <v>0.4</v>
      </c>
      <c r="I184" s="49">
        <f t="shared" si="6"/>
        <v>1.9230769230769227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>Chêne vert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>
        <v>42</v>
      </c>
      <c r="B218" s="60">
        <v>171.96</v>
      </c>
      <c r="C218" s="50">
        <v>1</v>
      </c>
      <c r="D218" s="60">
        <v>44.510000000000005</v>
      </c>
      <c r="E218" s="63">
        <v>0</v>
      </c>
      <c r="F218" s="63">
        <v>0.8</v>
      </c>
      <c r="G218" s="63">
        <v>0.2</v>
      </c>
      <c r="H218" s="63">
        <v>0</v>
      </c>
      <c r="I218" s="53">
        <f>IFERROR(B218/A218,"")</f>
        <v>4.0942857142857143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>
        <v>50</v>
      </c>
      <c r="B219" s="60">
        <v>208.33</v>
      </c>
      <c r="C219" s="50">
        <v>2</v>
      </c>
      <c r="D219" s="60">
        <v>37.54000000000002</v>
      </c>
      <c r="E219" s="63">
        <v>0</v>
      </c>
      <c r="F219" s="63">
        <v>0.8</v>
      </c>
      <c r="G219" s="63">
        <v>0.2</v>
      </c>
      <c r="H219" s="63">
        <v>0</v>
      </c>
      <c r="I219" s="53">
        <f t="shared" ref="I219:I237" si="8">IF(A219&lt;&gt;0,(B219-(B218-D218))/(A219-A218),"")</f>
        <v>10.110000000000001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>
        <v>58</v>
      </c>
      <c r="B220" s="60">
        <v>253.7</v>
      </c>
      <c r="C220" s="50">
        <v>3</v>
      </c>
      <c r="D220" s="60">
        <v>47.789999999999992</v>
      </c>
      <c r="E220" s="63">
        <v>0</v>
      </c>
      <c r="F220" s="63">
        <v>0.8</v>
      </c>
      <c r="G220" s="63">
        <v>0.2</v>
      </c>
      <c r="H220" s="63">
        <v>0</v>
      </c>
      <c r="I220" s="53">
        <f t="shared" si="8"/>
        <v>10.36375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>
        <v>66</v>
      </c>
      <c r="B221" s="55">
        <v>286.77</v>
      </c>
      <c r="C221" s="55">
        <v>4</v>
      </c>
      <c r="D221" s="55">
        <v>53.679999999999978</v>
      </c>
      <c r="E221" s="63">
        <v>0.35</v>
      </c>
      <c r="F221" s="63">
        <v>0.2</v>
      </c>
      <c r="G221" s="63">
        <v>0.1</v>
      </c>
      <c r="H221" s="63">
        <v>0.35</v>
      </c>
      <c r="I221" s="53">
        <f t="shared" si="8"/>
        <v>10.107499999999998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>
        <v>74</v>
      </c>
      <c r="B222" s="55">
        <v>310.95999999999998</v>
      </c>
      <c r="C222" s="55">
        <v>5</v>
      </c>
      <c r="D222" s="55">
        <v>51.339999999999975</v>
      </c>
      <c r="E222" s="63">
        <v>0.35</v>
      </c>
      <c r="F222" s="63">
        <v>0.2</v>
      </c>
      <c r="G222" s="63">
        <v>0.1</v>
      </c>
      <c r="H222" s="63">
        <v>0.35</v>
      </c>
      <c r="I222" s="53">
        <f t="shared" si="8"/>
        <v>9.733749999999997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>
        <v>84</v>
      </c>
      <c r="B223" s="55">
        <v>355.09</v>
      </c>
      <c r="C223" s="55">
        <v>6</v>
      </c>
      <c r="D223" s="55">
        <v>66.69</v>
      </c>
      <c r="E223" s="63">
        <v>0.35</v>
      </c>
      <c r="F223" s="63">
        <v>0.2</v>
      </c>
      <c r="G223" s="63">
        <v>0.1</v>
      </c>
      <c r="H223" s="63">
        <v>0.35</v>
      </c>
      <c r="I223" s="53">
        <f t="shared" si="8"/>
        <v>9.546999999999997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>
        <v>94</v>
      </c>
      <c r="B224" s="55">
        <v>380.13</v>
      </c>
      <c r="C224" s="55">
        <v>7</v>
      </c>
      <c r="D224" s="55">
        <v>67.350000000000023</v>
      </c>
      <c r="E224" s="63">
        <v>0.35</v>
      </c>
      <c r="F224" s="63">
        <v>0.2</v>
      </c>
      <c r="G224" s="63">
        <v>0.1</v>
      </c>
      <c r="H224" s="63">
        <v>0.35</v>
      </c>
      <c r="I224" s="53">
        <f t="shared" si="8"/>
        <v>9.1730000000000018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>
        <v>104</v>
      </c>
      <c r="B225" s="55">
        <v>402.2</v>
      </c>
      <c r="C225" s="55">
        <v>8</v>
      </c>
      <c r="D225" s="55">
        <v>66.089999999999975</v>
      </c>
      <c r="E225" s="63">
        <v>0.35</v>
      </c>
      <c r="F225" s="63">
        <v>0.2</v>
      </c>
      <c r="G225" s="63">
        <v>0.1</v>
      </c>
      <c r="H225" s="63">
        <v>0.35</v>
      </c>
      <c r="I225" s="53">
        <f t="shared" si="8"/>
        <v>8.9420000000000019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>
        <v>114</v>
      </c>
      <c r="B226" s="55">
        <v>424.56</v>
      </c>
      <c r="C226" s="55">
        <v>9</v>
      </c>
      <c r="D226" s="55">
        <v>61.860000000000014</v>
      </c>
      <c r="E226" s="63">
        <v>0.35</v>
      </c>
      <c r="F226" s="63">
        <v>0.2</v>
      </c>
      <c r="G226" s="63">
        <v>0.1</v>
      </c>
      <c r="H226" s="63">
        <v>0.35</v>
      </c>
      <c r="I226" s="53">
        <f t="shared" si="8"/>
        <v>8.8449999999999989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>
        <v>124</v>
      </c>
      <c r="B227" s="55">
        <v>451.86</v>
      </c>
      <c r="C227" s="55">
        <v>10</v>
      </c>
      <c r="D227" s="55">
        <v>57.81</v>
      </c>
      <c r="E227" s="63">
        <v>0.35</v>
      </c>
      <c r="F227" s="63">
        <v>0.2</v>
      </c>
      <c r="G227" s="63">
        <v>0.1</v>
      </c>
      <c r="H227" s="63">
        <v>0.35</v>
      </c>
      <c r="I227" s="53">
        <f t="shared" si="8"/>
        <v>8.9160000000000021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>
        <v>134</v>
      </c>
      <c r="B228" s="55">
        <v>484.28</v>
      </c>
      <c r="C228" s="55">
        <v>11</v>
      </c>
      <c r="D228" s="55">
        <v>60.779999999999973</v>
      </c>
      <c r="E228" s="63">
        <v>0.5</v>
      </c>
      <c r="F228" s="63">
        <v>0.2</v>
      </c>
      <c r="G228" s="63">
        <v>0</v>
      </c>
      <c r="H228" s="63">
        <v>0.3</v>
      </c>
      <c r="I228" s="53">
        <f t="shared" si="8"/>
        <v>9.0229999999999961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>
        <v>144</v>
      </c>
      <c r="B229" s="55">
        <v>514.94000000000005</v>
      </c>
      <c r="C229" s="55">
        <v>12</v>
      </c>
      <c r="D229" s="55">
        <v>61.800000000000068</v>
      </c>
      <c r="E229" s="63">
        <v>0.5</v>
      </c>
      <c r="F229" s="63">
        <v>0.2</v>
      </c>
      <c r="G229" s="63">
        <v>0</v>
      </c>
      <c r="H229" s="63">
        <v>0.3</v>
      </c>
      <c r="I229" s="53">
        <f t="shared" si="8"/>
        <v>9.1440000000000055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>
        <v>154</v>
      </c>
      <c r="B230" s="55">
        <v>546.49</v>
      </c>
      <c r="C230" s="55">
        <v>13</v>
      </c>
      <c r="D230" s="55">
        <v>61.050000000000011</v>
      </c>
      <c r="E230" s="64">
        <v>0.5</v>
      </c>
      <c r="F230" s="64">
        <v>0.2</v>
      </c>
      <c r="G230" s="64">
        <v>0</v>
      </c>
      <c r="H230" s="64">
        <v>0.3</v>
      </c>
      <c r="I230" s="53">
        <f t="shared" si="8"/>
        <v>9.3350000000000026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>
        <v>164</v>
      </c>
      <c r="B231" s="60">
        <v>580.32000000000005</v>
      </c>
      <c r="C231" s="88">
        <v>14</v>
      </c>
      <c r="D231" s="60">
        <v>66.020000000000095</v>
      </c>
      <c r="E231" s="54">
        <v>0.5</v>
      </c>
      <c r="F231" s="54">
        <v>0.2</v>
      </c>
      <c r="G231" s="54">
        <v>0</v>
      </c>
      <c r="H231" s="54">
        <v>0.3</v>
      </c>
      <c r="I231" s="53">
        <f t="shared" si="8"/>
        <v>9.4880000000000049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>
        <v>174</v>
      </c>
      <c r="B232" s="50">
        <v>610.52</v>
      </c>
      <c r="C232" s="50">
        <v>15</v>
      </c>
      <c r="D232" s="50">
        <v>240</v>
      </c>
      <c r="E232" s="54">
        <v>0.45</v>
      </c>
      <c r="F232" s="54">
        <v>0.05</v>
      </c>
      <c r="G232" s="54">
        <v>0.05</v>
      </c>
      <c r="H232" s="54">
        <v>0.45</v>
      </c>
      <c r="I232" s="53">
        <f t="shared" si="8"/>
        <v>9.6220000000000034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>
        <v>177</v>
      </c>
      <c r="B233" s="50">
        <v>388.94</v>
      </c>
      <c r="C233" s="50">
        <v>16</v>
      </c>
      <c r="D233" s="50">
        <v>128.66000000000003</v>
      </c>
      <c r="E233" s="54">
        <v>0.45</v>
      </c>
      <c r="F233" s="54">
        <v>0.05</v>
      </c>
      <c r="G233" s="54">
        <v>0.05</v>
      </c>
      <c r="H233" s="54">
        <v>0.45</v>
      </c>
      <c r="I233" s="53">
        <f t="shared" si="8"/>
        <v>6.140000000000005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>
        <v>180</v>
      </c>
      <c r="B234" s="50">
        <v>271.56</v>
      </c>
      <c r="C234" s="50">
        <v>17</v>
      </c>
      <c r="D234" s="50">
        <v>86.97</v>
      </c>
      <c r="E234" s="54">
        <v>0.45</v>
      </c>
      <c r="F234" s="54">
        <v>0.05</v>
      </c>
      <c r="G234" s="54">
        <v>0.05</v>
      </c>
      <c r="H234" s="54">
        <v>0.45</v>
      </c>
      <c r="I234" s="53">
        <f t="shared" si="8"/>
        <v>3.76000000000001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>
        <v>183</v>
      </c>
      <c r="B235" s="50">
        <v>191.47</v>
      </c>
      <c r="C235" s="50">
        <v>18</v>
      </c>
      <c r="D235" s="50">
        <v>191.47</v>
      </c>
      <c r="E235" s="54">
        <v>0.45</v>
      </c>
      <c r="F235" s="54">
        <v>0.05</v>
      </c>
      <c r="G235" s="54">
        <v>0.05</v>
      </c>
      <c r="H235" s="54">
        <v>0.45</v>
      </c>
      <c r="I235" s="53">
        <f t="shared" si="8"/>
        <v>2.2933333333333317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9" sqref="B9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Cormier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chevelu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Chêne vert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681.47578137804555</v>
      </c>
      <c r="T3" s="59">
        <f>IF('Données projet'!E9&gt;30,$R$33-$H$33,LOOKUP('Données projet'!$E$9,$A$3:$A$203,R3:R203)-LOOKUP('Données projet'!$E$9,$A$3:$A$203,$H$3:$H$203))</f>
        <v>300.88511065995885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752.45542076695506</v>
      </c>
      <c r="AO3" s="59">
        <f>IF('Données projet'!E10&gt;30,$AM$33-$H$33,LOOKUP('Données projet'!$E$10,$A$3:$A$203,AM3:AM203)-LOOKUP('Données projet'!$E$10,$A$3:$A$203,$H$3:$H$203))</f>
        <v>329.70629768420724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711.91538686535682</v>
      </c>
      <c r="BJ3" s="59">
        <f>IF('Données projet'!E11&gt;30,$BH$33-$H$33,LOOKUP('Données projet'!$E$11,$A$3:$A$203,BH3:BH203)-LOOKUP('Données projet'!$E$11,$A$3:$A$203,$H$3:$H$203))</f>
        <v>313.24593837351722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722.05521609092671</v>
      </c>
      <c r="CE3" s="59">
        <f>IF('Données projet'!E12&gt;30,$CC$33-$H$33,LOOKUP('Données projet'!$E$12,$A$3:$A$203,CC3:CC203)-LOOKUP('Données projet'!$E$12,$A$3:$A$203,$H$3:$H$203))</f>
        <v>317.36319714884644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792.94606354161886</v>
      </c>
      <c r="CZ3" s="59">
        <f>IF('Données projet'!E13&gt;30,$CX$33-$H$33,LOOKUP('Données projet'!$E$13,$A$3:$A$203,CX3:CX203)-LOOKUP('Données projet'!$E$13,$A$3:$A$203,$H$3:$H$203))</f>
        <v>346.14443498270919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269.21114382490202</v>
      </c>
      <c r="DU3" s="59">
        <f>IF('Données projet'!E14&gt;30,$DS$33-$H$33,LOOKUP('Données projet'!$E$14,$A$3:$A$203,DS3:DS203)-LOOKUP('Données projet'!$E$14,$A$3:$A$203,$H$3:$H$203))</f>
        <v>233.07776944102309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833.39050463936144</v>
      </c>
      <c r="FK3" s="59">
        <f>IF('Données projet'!E16&gt;30,$FI$33-$H$33,LOOKUP('Données projet'!$E$16,$A$3:$A$203,FI3:FI203)-LOOKUP('Données projet'!$E$16,$A$3:$A$203,$H$3:$H$203))</f>
        <v>362.56178526355507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176.81743605229576</v>
      </c>
      <c r="S4" s="59">
        <f ca="1">AVERAGE(OFFSET($R$3,0,0,'Données projet'!$E$9+1,1))-AVERAGE(OFFSET($H$3,0,0,'Données projet'!$E$9+1,1))</f>
        <v>681.47578137804555</v>
      </c>
      <c r="T4" s="59">
        <f>$T$3</f>
        <v>300.88511065995885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4.151605714285715</v>
      </c>
      <c r="AK4" s="13">
        <f>EXP(-1.0587+0.8836*LN(AJ4)+0.284)</f>
        <v>1.6210925568488095</v>
      </c>
      <c r="AL4" s="20">
        <f t="shared" ref="AL4:AL67" si="4">(AJ4+AK4)*0.475*44/12</f>
        <v>10.054116155559297</v>
      </c>
      <c r="AM4" s="59">
        <f t="shared" ref="AM4:AM67" si="5">AL4+(AD4+AE4)*44/12</f>
        <v>177.86655010848312</v>
      </c>
      <c r="AN4" s="59">
        <f ca="1">AVERAGE(OFFSET($AM$3,0,0,'Données projet'!$E$10+1,1))-AVERAGE(OFFSET($H$3,0,0,'Données projet'!$E$10+1,1))</f>
        <v>752.45542076695506</v>
      </c>
      <c r="AO4" s="59">
        <f>$AO$3</f>
        <v>329.70629768420724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3.8961222857142861</v>
      </c>
      <c r="BF4" s="13">
        <f>EXP(-1.0587+0.8836*LN(BE4)+0.284)</f>
        <v>1.5326218471913844</v>
      </c>
      <c r="BG4" s="20">
        <f t="shared" ref="BG4:BG67" si="7">(BE4+BF4)*0.475*44/12</f>
        <v>9.455062698144042</v>
      </c>
      <c r="BH4" s="59">
        <f t="shared" ref="BH4:BH67" si="8">BG4+(AY4+AZ4)*44/12</f>
        <v>177.26749665106789</v>
      </c>
      <c r="BI4" s="59">
        <f ca="1">AVERAGE(OFFSET($BH$3,0,0,'Données projet'!$E$11+1,1))-AVERAGE(OFFSET($H$3,0,0,'Données projet'!$E$11+1,1))</f>
        <v>711.91538686535682</v>
      </c>
      <c r="BJ4" s="59">
        <f>$BJ$3</f>
        <v>313.24593837351722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4.0942857142857143</v>
      </c>
      <c r="BY4" s="12">
        <f>IF('Données projet'!$A$114&gt;35,BY3+BX4-CG3,IF(A4&lt;'Données projet'!$A$114,$BV$205^A4,IF(A4='Données projet'!$A$114,'Données projet'!$B$114,BY3+BX4-CG3)))</f>
        <v>4.0942857142857143</v>
      </c>
      <c r="BZ4" s="13">
        <f>BY4*VLOOKUP('Données projet'!$B$12,Paramètres!$A$1:$I$89,3,0)*VLOOKUP('Données projet'!$B$12,Paramètres!$A$1:$I$89,5,0)</f>
        <v>3.9599931428571429</v>
      </c>
      <c r="CA4" s="13">
        <f>EXP(-1.0587+0.8836*LN(BZ4)+0.284)</f>
        <v>1.5548011982612446</v>
      </c>
      <c r="CB4" s="20">
        <f t="shared" ref="CB4:CB67" si="10">(BZ4+CA4)*0.475*44/12</f>
        <v>9.6049334774478581</v>
      </c>
      <c r="CC4" s="59">
        <f t="shared" ref="CC4:CC67" si="11">CB4+(BT4+BU4)*44/12</f>
        <v>177.41736743037171</v>
      </c>
      <c r="CD4" s="59">
        <f ca="1">AVERAGE(OFFSET($CC$3,0,0,'Données projet'!$E$12+1,1))-AVERAGE(OFFSET($H$3,0,0,'Données projet'!$E$12+1,1))</f>
        <v>722.05521609092671</v>
      </c>
      <c r="CE4" s="59">
        <f>$CE$3</f>
        <v>317.36319714884644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4.0942857142857143</v>
      </c>
      <c r="CT4" s="12">
        <f>IF('Données projet'!$A$140&gt;35,CT3+CS4-DB3,IF(A4&lt;'Données projet'!$A$140,$CQ$205^A4,IF(A4='Données projet'!$A$140,'Données projet'!$B$140,CT3+CS4-DB3)))</f>
        <v>4.0942857142857143</v>
      </c>
      <c r="CU4" s="17">
        <f>CT4*VLOOKUP('Données projet'!$B$13,Paramètres!$A$1:$I$89,3,0)*VLOOKUP('Données projet'!$B$13,Paramètres!$A$1:$I$89,5,0)</f>
        <v>4.407089142857143</v>
      </c>
      <c r="CV4" s="13">
        <f>EXP(-1.0587+0.8836*LN(CU4)+0.284)</f>
        <v>1.7089313873919469</v>
      </c>
      <c r="CW4" s="20">
        <f t="shared" ref="CW4:CW67" si="13">(CU4+CV4)*0.475*44/12</f>
        <v>10.652069090183831</v>
      </c>
      <c r="CX4" s="59">
        <f t="shared" ref="CX4:CX67" si="14">CW4+(CO4+CP4)*44/12</f>
        <v>178.46450304310767</v>
      </c>
      <c r="CY4" s="59">
        <f ca="1">AVERAGE(OFFSET($CX$3,0,0,'Données projet'!$E$13+1,1))-AVERAGE(OFFSET($H$3,0,0,'Données projet'!$E$13+1,1))</f>
        <v>792.94606354161886</v>
      </c>
      <c r="CZ4" s="59">
        <f>$CZ$3</f>
        <v>346.14443498270919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1.1538461538461537</v>
      </c>
      <c r="DO4" s="12">
        <f>IF('Données projet'!$A$166&gt;35,DO3+DN4-DW3,IF(A4&lt;'Données projet'!$A$166,$DL$205^A4,IF(A4='Données projet'!$A$166,'Données projet'!$B$166,DO3+DN4-DW3)))</f>
        <v>1.2770702581475548</v>
      </c>
      <c r="DP4" s="17">
        <f>DO4*VLOOKUP('Données projet'!$B$14,Paramètres!$A$1:$I$89,3,0)*VLOOKUP('Données projet'!$B$14,Paramètres!$A$1:$I$89,5,0)</f>
        <v>1.3347938338158245</v>
      </c>
      <c r="DQ4" s="13">
        <f>EXP(-1.0587+0.8836*LN(DP4)+0.284)</f>
        <v>0.59479600746513583</v>
      </c>
      <c r="DR4" s="20">
        <f t="shared" ref="DR4:DR67" si="16">(DP4+DQ4)*0.475*44/12</f>
        <v>3.3607023068976729</v>
      </c>
      <c r="DS4" s="59">
        <f t="shared" ref="DS4:DS67" si="17">DR4+(DJ4+DK4)*44/12</f>
        <v>171.17313625982152</v>
      </c>
      <c r="DT4" s="59">
        <f ca="1">AVERAGE(OFFSET($DS$3,0,0,'Données projet'!$E$14+1,1))-AVERAGE(OFFSET($H$3,0,0,'Données projet'!$E$14+1,1))</f>
        <v>269.21114382490202</v>
      </c>
      <c r="DU4" s="59">
        <f>$DU$3</f>
        <v>233.07776944102309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4.0942857142857143</v>
      </c>
      <c r="FE4" s="12">
        <f>IF('Données projet'!$A$218&gt;35,FE3+FD4-FM3,IF(A4&lt;'Données projet'!$A$218,$FB$205^A4,IF(A4='Données projet'!$A$218,'Données projet'!$B$218,FE3+FD4-FM3)))</f>
        <v>4.0942857142857143</v>
      </c>
      <c r="FF4" s="17">
        <f>FE4*VLOOKUP('Données projet'!$B$16,Paramètres!$A$1:$I$89,3,0)*VLOOKUP('Données projet'!$B$16,Paramètres!$A$1:$I$89,5,0)</f>
        <v>4.662572571428572</v>
      </c>
      <c r="FG4" s="13">
        <f>EXP(-1.0587+0.8836*LN(FF4)+0.284)</f>
        <v>1.7961791426447766</v>
      </c>
      <c r="FH4" s="20">
        <f t="shared" ref="FH4:FH67" si="22">(FF4+FG4)*0.475*44/12</f>
        <v>11.24899256867775</v>
      </c>
      <c r="FI4" s="59">
        <f t="shared" ref="FI4:FI67" si="23">FH4+(EZ4+FA4)*44/12</f>
        <v>179.06142652160159</v>
      </c>
      <c r="FJ4" s="59">
        <f ca="1">AVERAGE(OFFSET($FI$3,0,0,'Données projet'!$E$16+1,1))-AVERAGE(OFFSET($H$3,0,0,'Données projet'!$E$16+1,1))</f>
        <v>833.39050463936144</v>
      </c>
      <c r="FK4" s="59">
        <f>$FK$3</f>
        <v>362.56178526355507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188.2115054666001</v>
      </c>
      <c r="S5" s="59">
        <f ca="1">AVERAGE(OFFSET($R$3,0,0,'Données projet'!$E$9+1,1))-AVERAGE(OFFSET($H$3,0,0,'Données projet'!$E$9+1,1))</f>
        <v>681.47578137804555</v>
      </c>
      <c r="T5" s="59">
        <f t="shared" ref="T5:T68" si="34">$T$3</f>
        <v>300.88511065995885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8.30321142857143</v>
      </c>
      <c r="AK5" s="13">
        <f t="shared" ref="AK5:AK68" si="35">EXP(-1.0587+0.8836*LN(AJ5)+0.284)</f>
        <v>2.9908726125223399</v>
      </c>
      <c r="AL5" s="20">
        <f t="shared" si="4"/>
        <v>19.670529704904983</v>
      </c>
      <c r="AM5" s="59">
        <f t="shared" si="5"/>
        <v>190.26781099240583</v>
      </c>
      <c r="AN5" s="59">
        <f ca="1">AVERAGE(OFFSET($AM$3,0,0,'Données projet'!$E$10+1,1))-AVERAGE(OFFSET($H$3,0,0,'Données projet'!$E$10+1,1))</f>
        <v>752.45542076695506</v>
      </c>
      <c r="AO5" s="59">
        <f t="shared" ref="AO5:AO68" si="36">$AO$3</f>
        <v>329.70629768420724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7.7922445714285722</v>
      </c>
      <c r="BF5" s="13">
        <f t="shared" ref="BF5:BF68" si="37">EXP(-1.0587+0.8836*LN(BE5)+0.284)</f>
        <v>2.8276465083699871</v>
      </c>
      <c r="BG5" s="20">
        <f t="shared" si="7"/>
        <v>18.496310297315823</v>
      </c>
      <c r="BH5" s="59">
        <f t="shared" si="8"/>
        <v>189.09359158481666</v>
      </c>
      <c r="BI5" s="59">
        <f ca="1">AVERAGE(OFFSET($BH$3,0,0,'Données projet'!$E$11+1,1))-AVERAGE(OFFSET($H$3,0,0,'Données projet'!$E$11+1,1))</f>
        <v>711.91538686535682</v>
      </c>
      <c r="BJ5" s="59">
        <f t="shared" ref="BJ5:BJ68" si="38">$BJ$3</f>
        <v>313.24593837351722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4.0942857142857143</v>
      </c>
      <c r="BY5" s="12">
        <f>IF('Données projet'!$A$114&gt;35,BY4+BX5-CG4,IF(A5&lt;'Données projet'!$A$114,$BV$205^A5,IF(A5='Données projet'!$A$114,'Données projet'!$B$114,BY4+BX5-CG4)))</f>
        <v>8.1885714285714286</v>
      </c>
      <c r="BZ5" s="13">
        <f>BY5*VLOOKUP('Données projet'!$B$12,Paramètres!$A$1:$I$89,3,0)*VLOOKUP('Données projet'!$B$12,Paramètres!$A$1:$I$89,5,0)</f>
        <v>7.9199862857142858</v>
      </c>
      <c r="CA5" s="13">
        <f t="shared" ref="CA5:CA68" si="39">EXP(-1.0587+0.8836*LN(BZ5)+0.284)</f>
        <v>2.868566820660674</v>
      </c>
      <c r="CB5" s="20">
        <f t="shared" si="10"/>
        <v>18.790063326936387</v>
      </c>
      <c r="CC5" s="59">
        <f t="shared" si="11"/>
        <v>189.38734461443721</v>
      </c>
      <c r="CD5" s="59">
        <f ca="1">AVERAGE(OFFSET($CC$3,0,0,'Données projet'!$E$12+1,1))-AVERAGE(OFFSET($H$3,0,0,'Données projet'!$E$12+1,1))</f>
        <v>722.05521609092671</v>
      </c>
      <c r="CE5" s="59">
        <f t="shared" ref="CE5:CE68" si="40">$CE$3</f>
        <v>317.36319714884644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4.0942857142857143</v>
      </c>
      <c r="CT5" s="12">
        <f>IF('Données projet'!$A$140&gt;35,CT4+CS5-DB4,IF(A5&lt;'Données projet'!$A$140,$CQ$205^A5,IF(A5='Données projet'!$A$140,'Données projet'!$B$140,CT4+CS5-DB4)))</f>
        <v>8.1885714285714286</v>
      </c>
      <c r="CU5" s="17">
        <f>CT5*VLOOKUP('Données projet'!$B$13,Paramètres!$A$1:$I$89,3,0)*VLOOKUP('Données projet'!$B$13,Paramètres!$A$1:$I$89,5,0)</f>
        <v>8.8141782857142861</v>
      </c>
      <c r="CV5" s="13">
        <f t="shared" ref="CV5:CV68" si="41">EXP(-1.0587+0.8836*LN(CU5)+0.284)</f>
        <v>3.1529329165299926</v>
      </c>
      <c r="CW5" s="20">
        <f t="shared" si="13"/>
        <v>20.842718677242118</v>
      </c>
      <c r="CX5" s="59">
        <f t="shared" si="14"/>
        <v>191.43999996474295</v>
      </c>
      <c r="CY5" s="59">
        <f ca="1">AVERAGE(OFFSET($CX$3,0,0,'Données projet'!$E$13+1,1))-AVERAGE(OFFSET($H$3,0,0,'Données projet'!$E$13+1,1))</f>
        <v>792.94606354161886</v>
      </c>
      <c r="CZ5" s="59">
        <f t="shared" ref="CZ5:CZ68" si="42">$CZ$3</f>
        <v>346.14443498270919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1.1538461538461537</v>
      </c>
      <c r="DO5" s="12">
        <f>IF('Données projet'!$A$166&gt;35,DO4+DN5-DW4,IF(A5&lt;'Données projet'!$A$166,$DL$205^A5,IF(A5='Données projet'!$A$166,'Données projet'!$B$166,DO4+DN5-DW4)))</f>
        <v>1.6309084442450623</v>
      </c>
      <c r="DP5" s="17">
        <f>DO5*VLOOKUP('Données projet'!$B$14,Paramètres!$A$1:$I$89,3,0)*VLOOKUP('Données projet'!$B$14,Paramètres!$A$1:$I$89,5,0)</f>
        <v>1.7046255059249393</v>
      </c>
      <c r="DQ5" s="13">
        <f t="shared" ref="DQ5:DQ68" si="43">EXP(-1.0587+0.8836*LN(DP5)+0.284)</f>
        <v>0.7382771613827388</v>
      </c>
      <c r="DR5" s="20">
        <f t="shared" si="16"/>
        <v>4.2547221455608728</v>
      </c>
      <c r="DS5" s="59">
        <f t="shared" si="17"/>
        <v>174.8520034330617</v>
      </c>
      <c r="DT5" s="59">
        <f ca="1">AVERAGE(OFFSET($DS$3,0,0,'Données projet'!$E$14+1,1))-AVERAGE(OFFSET($H$3,0,0,'Données projet'!$E$14+1,1))</f>
        <v>269.21114382490202</v>
      </c>
      <c r="DU5" s="59">
        <f t="shared" ref="DU5:DU68" si="44">$DU$3</f>
        <v>233.07776944102309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4.0942857142857143</v>
      </c>
      <c r="FE5" s="12">
        <f>IF('Données projet'!$A$218&gt;35,FE4+FD5-FM4,IF(A5&lt;'Données projet'!$A$218,$FB$205^A5,IF(A5='Données projet'!$A$218,'Données projet'!$B$218,FE4+FD5-FM4)))</f>
        <v>8.1885714285714286</v>
      </c>
      <c r="FF5" s="17">
        <f>FE5*VLOOKUP('Données projet'!$B$16,Paramètres!$A$1:$I$89,3,0)*VLOOKUP('Données projet'!$B$16,Paramètres!$A$1:$I$89,5,0)</f>
        <v>9.3251451428571439</v>
      </c>
      <c r="FG5" s="13">
        <f t="shared" ref="FG5:FG68" si="47">EXP(-1.0587+0.8836*LN(FF5)+0.284)</f>
        <v>3.3139027023619536</v>
      </c>
      <c r="FH5" s="20">
        <f t="shared" si="22"/>
        <v>22.013008330423261</v>
      </c>
      <c r="FI5" s="59">
        <f t="shared" si="23"/>
        <v>192.61028961792408</v>
      </c>
      <c r="FJ5" s="59">
        <f ca="1">AVERAGE(OFFSET($FI$3,0,0,'Données projet'!$E$16+1,1))-AVERAGE(OFFSET($H$3,0,0,'Données projet'!$E$16+1,1))</f>
        <v>833.39050463936144</v>
      </c>
      <c r="FK5" s="59">
        <f t="shared" ref="FK5:FK68" si="48">$FK$3</f>
        <v>362.56178526355507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199.4506497492805</v>
      </c>
      <c r="S6" s="59">
        <f ca="1">AVERAGE(OFFSET($R$3,0,0,'Données projet'!$E$9+1,1))-AVERAGE(OFFSET($H$3,0,0,'Données projet'!$E$9+1,1))</f>
        <v>681.47578137804555</v>
      </c>
      <c r="T6" s="59">
        <f t="shared" si="34"/>
        <v>300.88511065995885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12.454817142857145</v>
      </c>
      <c r="AK6" s="13">
        <f t="shared" si="35"/>
        <v>4.279491345414665</v>
      </c>
      <c r="AL6" s="20">
        <f t="shared" si="4"/>
        <v>29.145587283740067</v>
      </c>
      <c r="AM6" s="59">
        <f t="shared" si="5"/>
        <v>202.50060785362496</v>
      </c>
      <c r="AN6" s="59">
        <f ca="1">AVERAGE(OFFSET($AM$3,0,0,'Données projet'!$E$10+1,1))-AVERAGE(OFFSET($H$3,0,0,'Données projet'!$E$10+1,1))</f>
        <v>752.45542076695506</v>
      </c>
      <c r="AO6" s="59">
        <f t="shared" si="36"/>
        <v>329.70629768420724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11.688366857142858</v>
      </c>
      <c r="BF6" s="13">
        <f t="shared" si="37"/>
        <v>4.0459392050991161</v>
      </c>
      <c r="BG6" s="20">
        <f t="shared" si="7"/>
        <v>27.403916391738104</v>
      </c>
      <c r="BH6" s="59">
        <f t="shared" si="8"/>
        <v>200.75893696162299</v>
      </c>
      <c r="BI6" s="59">
        <f ca="1">AVERAGE(OFFSET($BH$3,0,0,'Données projet'!$E$11+1,1))-AVERAGE(OFFSET($H$3,0,0,'Données projet'!$E$11+1,1))</f>
        <v>711.91538686535682</v>
      </c>
      <c r="BJ6" s="59">
        <f t="shared" si="38"/>
        <v>313.24593837351722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4.0942857142857143</v>
      </c>
      <c r="BY6" s="12">
        <f>IF('Données projet'!$A$114&gt;35,BY5+BX6-CG5,IF(A6&lt;'Données projet'!$A$114,$BV$205^A6,IF(A6='Données projet'!$A$114,'Données projet'!$B$114,BY5+BX6-CG5)))</f>
        <v>12.282857142857143</v>
      </c>
      <c r="BZ6" s="13">
        <f>BY6*VLOOKUP('Données projet'!$B$12,Paramètres!$A$1:$I$89,3,0)*VLOOKUP('Données projet'!$B$12,Paramètres!$A$1:$I$89,5,0)</f>
        <v>11.87997942857143</v>
      </c>
      <c r="CA6" s="13">
        <f t="shared" si="39"/>
        <v>4.1044900512857669</v>
      </c>
      <c r="CB6" s="20">
        <f t="shared" si="10"/>
        <v>27.839617677417948</v>
      </c>
      <c r="CC6" s="59">
        <f t="shared" si="11"/>
        <v>201.19463824730283</v>
      </c>
      <c r="CD6" s="59">
        <f ca="1">AVERAGE(OFFSET($CC$3,0,0,'Données projet'!$E$12+1,1))-AVERAGE(OFFSET($H$3,0,0,'Données projet'!$E$12+1,1))</f>
        <v>722.05521609092671</v>
      </c>
      <c r="CE6" s="59">
        <f t="shared" si="40"/>
        <v>317.36319714884644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4.0942857142857143</v>
      </c>
      <c r="CT6" s="12">
        <f>IF('Données projet'!$A$140&gt;35,CT5+CS6-DB5,IF(A6&lt;'Données projet'!$A$140,$CQ$205^A6,IF(A6='Données projet'!$A$140,'Données projet'!$B$140,CT5+CS6-DB5)))</f>
        <v>12.282857142857143</v>
      </c>
      <c r="CU6" s="17">
        <f>CT6*VLOOKUP('Données projet'!$B$13,Paramètres!$A$1:$I$89,3,0)*VLOOKUP('Données projet'!$B$13,Paramètres!$A$1:$I$89,5,0)</f>
        <v>13.221267428571428</v>
      </c>
      <c r="CV6" s="13">
        <f t="shared" si="41"/>
        <v>4.5113754000990003</v>
      </c>
      <c r="CW6" s="20">
        <f t="shared" si="13"/>
        <v>30.884352926600993</v>
      </c>
      <c r="CX6" s="59">
        <f t="shared" si="14"/>
        <v>204.23937349648588</v>
      </c>
      <c r="CY6" s="59">
        <f ca="1">AVERAGE(OFFSET($CX$3,0,0,'Données projet'!$E$13+1,1))-AVERAGE(OFFSET($H$3,0,0,'Données projet'!$E$13+1,1))</f>
        <v>792.94606354161886</v>
      </c>
      <c r="CZ6" s="59">
        <f t="shared" si="42"/>
        <v>346.14443498270919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1.1538461538461537</v>
      </c>
      <c r="DO6" s="12">
        <f>IF('Données projet'!$A$166&gt;35,DO5+DN6-DW5,IF(A6&lt;'Données projet'!$A$166,$DL$205^A6,IF(A6='Données projet'!$A$166,'Données projet'!$B$166,DO5+DN6-DW5)))</f>
        <v>2.082784667907069</v>
      </c>
      <c r="DP6" s="17">
        <f>DO6*VLOOKUP('Données projet'!$B$14,Paramètres!$A$1:$I$89,3,0)*VLOOKUP('Données projet'!$B$14,Paramètres!$A$1:$I$89,5,0)</f>
        <v>2.1769265348964688</v>
      </c>
      <c r="DQ6" s="13">
        <f t="shared" si="43"/>
        <v>0.9163699153634669</v>
      </c>
      <c r="DR6" s="20">
        <f t="shared" si="16"/>
        <v>5.3874913175360541</v>
      </c>
      <c r="DS6" s="59">
        <f t="shared" si="17"/>
        <v>178.74251188742093</v>
      </c>
      <c r="DT6" s="59">
        <f ca="1">AVERAGE(OFFSET($DS$3,0,0,'Données projet'!$E$14+1,1))-AVERAGE(OFFSET($H$3,0,0,'Données projet'!$E$14+1,1))</f>
        <v>269.21114382490202</v>
      </c>
      <c r="DU6" s="59">
        <f t="shared" si="44"/>
        <v>233.07776944102309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4.0942857142857143</v>
      </c>
      <c r="FE6" s="12">
        <f>IF('Données projet'!$A$218&gt;35,FE5+FD6-FM5,IF(A6&lt;'Données projet'!$A$218,$FB$205^A6,IF(A6='Données projet'!$A$218,'Données projet'!$B$218,FE5+FD6-FM5)))</f>
        <v>12.282857142857143</v>
      </c>
      <c r="FF6" s="17">
        <f>FE6*VLOOKUP('Données projet'!$B$16,Paramètres!$A$1:$I$89,3,0)*VLOOKUP('Données projet'!$B$16,Paramètres!$A$1:$I$89,5,0)</f>
        <v>13.987717714285713</v>
      </c>
      <c r="FG6" s="13">
        <f t="shared" si="47"/>
        <v>4.7416990863893957</v>
      </c>
      <c r="FH6" s="20">
        <f t="shared" si="22"/>
        <v>32.620400927842482</v>
      </c>
      <c r="FI6" s="59">
        <f t="shared" si="23"/>
        <v>205.97542149772738</v>
      </c>
      <c r="FJ6" s="59">
        <f ca="1">AVERAGE(OFFSET($FI$3,0,0,'Données projet'!$E$16+1,1))-AVERAGE(OFFSET($H$3,0,0,'Données projet'!$E$16+1,1))</f>
        <v>833.39050463936144</v>
      </c>
      <c r="FK6" s="59">
        <f t="shared" si="48"/>
        <v>362.56178526355507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210.58436682213227</v>
      </c>
      <c r="S7" s="59">
        <f ca="1">AVERAGE(OFFSET($R$3,0,0,'Données projet'!$E$9+1,1))-AVERAGE(OFFSET($H$3,0,0,'Données projet'!$E$9+1,1))</f>
        <v>681.47578137804555</v>
      </c>
      <c r="T7" s="59">
        <f t="shared" si="34"/>
        <v>300.88511065995885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16.60642285714286</v>
      </c>
      <c r="AK7" s="13">
        <f t="shared" si="35"/>
        <v>5.5180803505289857</v>
      </c>
      <c r="AL7" s="20">
        <f t="shared" si="4"/>
        <v>38.533509753361791</v>
      </c>
      <c r="AM7" s="59">
        <f t="shared" si="5"/>
        <v>214.61963181753873</v>
      </c>
      <c r="AN7" s="59">
        <f ca="1">AVERAGE(OFFSET($AM$3,0,0,'Données projet'!$E$10+1,1))-AVERAGE(OFFSET($H$3,0,0,'Données projet'!$E$10+1,1))</f>
        <v>752.45542076695506</v>
      </c>
      <c r="AO7" s="59">
        <f t="shared" si="36"/>
        <v>329.70629768420724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15.584489142857144</v>
      </c>
      <c r="BF7" s="13">
        <f t="shared" si="37"/>
        <v>5.2169325335857213</v>
      </c>
      <c r="BG7" s="20">
        <f t="shared" si="7"/>
        <v>36.229142753137985</v>
      </c>
      <c r="BH7" s="59">
        <f t="shared" si="8"/>
        <v>212.31526481731493</v>
      </c>
      <c r="BI7" s="59">
        <f ca="1">AVERAGE(OFFSET($BH$3,0,0,'Données projet'!$E$11+1,1))-AVERAGE(OFFSET($H$3,0,0,'Données projet'!$E$11+1,1))</f>
        <v>711.91538686535682</v>
      </c>
      <c r="BJ7" s="59">
        <f t="shared" si="38"/>
        <v>313.24593837351722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4.0942857142857143</v>
      </c>
      <c r="BY7" s="12">
        <f>IF('Données projet'!$A$114&gt;35,BY6+BX7-CG6,IF(A7&lt;'Données projet'!$A$114,$BV$205^A7,IF(A7='Données projet'!$A$114,'Données projet'!$B$114,BY6+BX7-CG6)))</f>
        <v>16.377142857142857</v>
      </c>
      <c r="BZ7" s="13">
        <f>BY7*VLOOKUP('Données projet'!$B$12,Paramètres!$A$1:$I$89,3,0)*VLOOKUP('Données projet'!$B$12,Paramètres!$A$1:$I$89,5,0)</f>
        <v>15.839972571428572</v>
      </c>
      <c r="CA7" s="13">
        <f t="shared" si="39"/>
        <v>5.2924294204284976</v>
      </c>
      <c r="CB7" s="20">
        <f t="shared" si="10"/>
        <v>36.805600135817727</v>
      </c>
      <c r="CC7" s="59">
        <f t="shared" si="11"/>
        <v>212.89172219999466</v>
      </c>
      <c r="CD7" s="59">
        <f ca="1">AVERAGE(OFFSET($CC$3,0,0,'Données projet'!$E$12+1,1))-AVERAGE(OFFSET($H$3,0,0,'Données projet'!$E$12+1,1))</f>
        <v>722.05521609092671</v>
      </c>
      <c r="CE7" s="59">
        <f t="shared" si="40"/>
        <v>317.36319714884644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4.0942857142857143</v>
      </c>
      <c r="CT7" s="12">
        <f>IF('Données projet'!$A$140&gt;35,CT6+CS7-DB6,IF(A7&lt;'Données projet'!$A$140,$CQ$205^A7,IF(A7='Données projet'!$A$140,'Données projet'!$B$140,CT6+CS7-DB6)))</f>
        <v>16.377142857142857</v>
      </c>
      <c r="CU7" s="17">
        <f>CT7*VLOOKUP('Données projet'!$B$13,Paramètres!$A$1:$I$89,3,0)*VLOOKUP('Données projet'!$B$13,Paramètres!$A$1:$I$89,5,0)</f>
        <v>17.628356571428572</v>
      </c>
      <c r="CV7" s="13">
        <f t="shared" si="41"/>
        <v>5.8170772972398694</v>
      </c>
      <c r="CW7" s="20">
        <f t="shared" si="13"/>
        <v>40.834130654597537</v>
      </c>
      <c r="CX7" s="59">
        <f t="shared" si="14"/>
        <v>216.92025271877449</v>
      </c>
      <c r="CY7" s="59">
        <f ca="1">AVERAGE(OFFSET($CX$3,0,0,'Données projet'!$E$13+1,1))-AVERAGE(OFFSET($H$3,0,0,'Données projet'!$E$13+1,1))</f>
        <v>792.94606354161886</v>
      </c>
      <c r="CZ7" s="59">
        <f t="shared" si="42"/>
        <v>346.14443498270919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1.1538461538461537</v>
      </c>
      <c r="DO7" s="12">
        <f>IF('Données projet'!$A$166&gt;35,DO6+DN7-DW6,IF(A7&lt;'Données projet'!$A$166,$DL$205^A7,IF(A7='Données projet'!$A$166,'Données projet'!$B$166,DO6+DN7-DW6)))</f>
        <v>2.6598623535098493</v>
      </c>
      <c r="DP7" s="17">
        <f>DO7*VLOOKUP('Données projet'!$B$14,Paramètres!$A$1:$I$89,3,0)*VLOOKUP('Données projet'!$B$14,Paramètres!$A$1:$I$89,5,0)</f>
        <v>2.7800881318884949</v>
      </c>
      <c r="DQ7" s="13">
        <f t="shared" si="43"/>
        <v>1.1374235391631071</v>
      </c>
      <c r="DR7" s="20">
        <f t="shared" si="16"/>
        <v>6.822999493748207</v>
      </c>
      <c r="DS7" s="59">
        <f t="shared" si="17"/>
        <v>182.90912155792515</v>
      </c>
      <c r="DT7" s="59">
        <f ca="1">AVERAGE(OFFSET($DS$3,0,0,'Données projet'!$E$14+1,1))-AVERAGE(OFFSET($H$3,0,0,'Données projet'!$E$14+1,1))</f>
        <v>269.21114382490202</v>
      </c>
      <c r="DU7" s="59">
        <f t="shared" si="44"/>
        <v>233.07776944102309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4.0942857142857143</v>
      </c>
      <c r="FE7" s="12">
        <f>IF('Données projet'!$A$218&gt;35,FE6+FD7-FM6,IF(A7&lt;'Données projet'!$A$218,$FB$205^A7,IF(A7='Données projet'!$A$218,'Données projet'!$B$218,FE6+FD7-FM6)))</f>
        <v>16.377142857142857</v>
      </c>
      <c r="FF7" s="17">
        <f>FE7*VLOOKUP('Données projet'!$B$16,Paramètres!$A$1:$I$89,3,0)*VLOOKUP('Données projet'!$B$16,Paramètres!$A$1:$I$89,5,0)</f>
        <v>18.650290285714288</v>
      </c>
      <c r="FG7" s="13">
        <f t="shared" si="47"/>
        <v>6.1140622669471227</v>
      </c>
      <c r="FH7" s="20">
        <f t="shared" si="22"/>
        <v>43.131247362551953</v>
      </c>
      <c r="FI7" s="59">
        <f t="shared" si="23"/>
        <v>219.21736942672891</v>
      </c>
      <c r="FJ7" s="59">
        <f ca="1">AVERAGE(OFFSET($FI$3,0,0,'Données projet'!$E$16+1,1))-AVERAGE(OFFSET($H$3,0,0,'Données projet'!$E$16+1,1))</f>
        <v>833.39050463936144</v>
      </c>
      <c r="FK7" s="59">
        <f t="shared" si="48"/>
        <v>362.56178526355507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221.6353397329257</v>
      </c>
      <c r="S8" s="59">
        <f ca="1">AVERAGE(OFFSET($R$3,0,0,'Données projet'!$E$9+1,1))-AVERAGE(OFFSET($H$3,0,0,'Données projet'!$E$9+1,1))</f>
        <v>681.47578137804555</v>
      </c>
      <c r="T8" s="59">
        <f t="shared" si="34"/>
        <v>300.88511065995885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20.758028571428575</v>
      </c>
      <c r="AK8" s="13">
        <f t="shared" si="35"/>
        <v>6.7207494872819238</v>
      </c>
      <c r="AL8" s="20">
        <f t="shared" si="4"/>
        <v>47.858871785587461</v>
      </c>
      <c r="AM8" s="59">
        <f t="shared" si="5"/>
        <v>226.64991966203482</v>
      </c>
      <c r="AN8" s="59">
        <f ca="1">AVERAGE(OFFSET($AM$3,0,0,'Données projet'!$E$10+1,1))-AVERAGE(OFFSET($H$3,0,0,'Données projet'!$E$10+1,1))</f>
        <v>752.45542076695506</v>
      </c>
      <c r="AO8" s="59">
        <f t="shared" si="36"/>
        <v>329.70629768420724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19.480611428571429</v>
      </c>
      <c r="BF8" s="13">
        <f t="shared" si="37"/>
        <v>6.3539663112950988</v>
      </c>
      <c r="BG8" s="20">
        <f t="shared" si="7"/>
        <v>44.995222896934202</v>
      </c>
      <c r="BH8" s="59">
        <f t="shared" si="8"/>
        <v>223.78627077338155</v>
      </c>
      <c r="BI8" s="59">
        <f ca="1">AVERAGE(OFFSET($BH$3,0,0,'Données projet'!$E$11+1,1))-AVERAGE(OFFSET($H$3,0,0,'Données projet'!$E$11+1,1))</f>
        <v>711.91538686535682</v>
      </c>
      <c r="BJ8" s="59">
        <f t="shared" si="38"/>
        <v>313.24593837351722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4.0942857142857143</v>
      </c>
      <c r="BY8" s="12">
        <f>IF('Données projet'!$A$114&gt;35,BY7+BX8-CG7,IF(A8&lt;'Données projet'!$A$114,$BV$205^A8,IF(A8='Données projet'!$A$114,'Données projet'!$B$114,BY7+BX8-CG7)))</f>
        <v>20.471428571428572</v>
      </c>
      <c r="BZ8" s="13">
        <f>BY8*VLOOKUP('Données projet'!$B$12,Paramètres!$A$1:$I$89,3,0)*VLOOKUP('Données projet'!$B$12,Paramètres!$A$1:$I$89,5,0)</f>
        <v>19.799965714285715</v>
      </c>
      <c r="CA8" s="13">
        <f t="shared" si="39"/>
        <v>6.4459177928445319</v>
      </c>
      <c r="CB8" s="20">
        <f t="shared" si="10"/>
        <v>45.711580441585177</v>
      </c>
      <c r="CC8" s="59">
        <f t="shared" si="11"/>
        <v>224.50262831803252</v>
      </c>
      <c r="CD8" s="59">
        <f ca="1">AVERAGE(OFFSET($CC$3,0,0,'Données projet'!$E$12+1,1))-AVERAGE(OFFSET($H$3,0,0,'Données projet'!$E$12+1,1))</f>
        <v>722.05521609092671</v>
      </c>
      <c r="CE8" s="59">
        <f t="shared" si="40"/>
        <v>317.36319714884644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4.0942857142857143</v>
      </c>
      <c r="CT8" s="12">
        <f>IF('Données projet'!$A$140&gt;35,CT7+CS8-DB7,IF(A8&lt;'Données projet'!$A$140,$CQ$205^A8,IF(A8='Données projet'!$A$140,'Données projet'!$B$140,CT7+CS8-DB7)))</f>
        <v>20.471428571428572</v>
      </c>
      <c r="CU8" s="17">
        <f>CT8*VLOOKUP('Données projet'!$B$13,Paramètres!$A$1:$I$89,3,0)*VLOOKUP('Données projet'!$B$13,Paramètres!$A$1:$I$89,5,0)</f>
        <v>22.035445714285714</v>
      </c>
      <c r="CV8" s="13">
        <f t="shared" si="41"/>
        <v>7.084913009495474</v>
      </c>
      <c r="CW8" s="20">
        <f t="shared" si="13"/>
        <v>50.717958110585563</v>
      </c>
      <c r="CX8" s="59">
        <f t="shared" si="14"/>
        <v>229.50900598703291</v>
      </c>
      <c r="CY8" s="59">
        <f ca="1">AVERAGE(OFFSET($CX$3,0,0,'Données projet'!$E$13+1,1))-AVERAGE(OFFSET($H$3,0,0,'Données projet'!$E$13+1,1))</f>
        <v>792.94606354161886</v>
      </c>
      <c r="CZ8" s="59">
        <f t="shared" si="42"/>
        <v>346.14443498270919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1.1538461538461537</v>
      </c>
      <c r="DO8" s="12">
        <f>IF('Données projet'!$A$166&gt;35,DO7+DN8-DW7,IF(A8&lt;'Données projet'!$A$166,$DL$205^A8,IF(A8='Données projet'!$A$166,'Données projet'!$B$166,DO7+DN8-DW7)))</f>
        <v>3.3968311024337861</v>
      </c>
      <c r="DP8" s="17">
        <f>DO8*VLOOKUP('Données projet'!$B$14,Paramètres!$A$1:$I$89,3,0)*VLOOKUP('Données projet'!$B$14,Paramètres!$A$1:$I$89,5,0)</f>
        <v>3.5503678682637934</v>
      </c>
      <c r="DQ8" s="13">
        <f t="shared" si="43"/>
        <v>1.4118013760078378</v>
      </c>
      <c r="DR8" s="20">
        <f t="shared" si="16"/>
        <v>8.6424447671064257</v>
      </c>
      <c r="DS8" s="59">
        <f t="shared" si="17"/>
        <v>187.43349264355379</v>
      </c>
      <c r="DT8" s="59">
        <f ca="1">AVERAGE(OFFSET($DS$3,0,0,'Données projet'!$E$14+1,1))-AVERAGE(OFFSET($H$3,0,0,'Données projet'!$E$14+1,1))</f>
        <v>269.21114382490202</v>
      </c>
      <c r="DU8" s="59">
        <f t="shared" si="44"/>
        <v>233.07776944102309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4.0942857142857143</v>
      </c>
      <c r="FE8" s="12">
        <f>IF('Données projet'!$A$218&gt;35,FE7+FD8-FM7,IF(A8&lt;'Données projet'!$A$218,$FB$205^A8,IF(A8='Données projet'!$A$218,'Données projet'!$B$218,FE7+FD8-FM7)))</f>
        <v>20.471428571428572</v>
      </c>
      <c r="FF8" s="17">
        <f>FE8*VLOOKUP('Données projet'!$B$16,Paramètres!$A$1:$I$89,3,0)*VLOOKUP('Données projet'!$B$16,Paramètres!$A$1:$I$89,5,0)</f>
        <v>23.312862857142857</v>
      </c>
      <c r="FG8" s="13">
        <f t="shared" si="47"/>
        <v>7.4466260430324223</v>
      </c>
      <c r="FH8" s="20">
        <f t="shared" si="22"/>
        <v>53.572776501138605</v>
      </c>
      <c r="FI8" s="59">
        <f t="shared" si="23"/>
        <v>232.36382437758596</v>
      </c>
      <c r="FJ8" s="59">
        <f ca="1">AVERAGE(OFFSET($FI$3,0,0,'Données projet'!$E$16+1,1))-AVERAGE(OFFSET($H$3,0,0,'Données projet'!$E$16+1,1))</f>
        <v>833.39050463936144</v>
      </c>
      <c r="FK8" s="59">
        <f t="shared" si="48"/>
        <v>362.56178526355507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232.61669832411957</v>
      </c>
      <c r="S9" s="59">
        <f ca="1">AVERAGE(OFFSET($R$3,0,0,'Données projet'!$E$9+1,1))-AVERAGE(OFFSET($H$3,0,0,'Données projet'!$E$9+1,1))</f>
        <v>681.47578137804555</v>
      </c>
      <c r="T9" s="59">
        <f t="shared" si="34"/>
        <v>300.88511065995885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24.90963428571429</v>
      </c>
      <c r="AK9" s="13">
        <f t="shared" si="35"/>
        <v>7.8955476085878011</v>
      </c>
      <c r="AL9" s="20">
        <f t="shared" si="4"/>
        <v>57.135691799242814</v>
      </c>
      <c r="AM9" s="59">
        <f t="shared" si="5"/>
        <v>238.60594389550178</v>
      </c>
      <c r="AN9" s="59">
        <f ca="1">AVERAGE(OFFSET($AM$3,0,0,'Données projet'!$E$10+1,1))-AVERAGE(OFFSET($H$3,0,0,'Données projet'!$E$10+1,1))</f>
        <v>752.45542076695506</v>
      </c>
      <c r="AO9" s="59">
        <f t="shared" si="36"/>
        <v>329.70629768420724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23.376733714285717</v>
      </c>
      <c r="BF9" s="13">
        <f t="shared" si="37"/>
        <v>7.4646501270623844</v>
      </c>
      <c r="BG9" s="20">
        <f t="shared" si="7"/>
        <v>53.715410190347939</v>
      </c>
      <c r="BH9" s="59">
        <f t="shared" si="8"/>
        <v>235.18566228660691</v>
      </c>
      <c r="BI9" s="59">
        <f ca="1">AVERAGE(OFFSET($BH$3,0,0,'Données projet'!$E$11+1,1))-AVERAGE(OFFSET($H$3,0,0,'Données projet'!$E$11+1,1))</f>
        <v>711.91538686535682</v>
      </c>
      <c r="BJ9" s="59">
        <f t="shared" si="38"/>
        <v>313.24593837351722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4.0942857142857143</v>
      </c>
      <c r="BY9" s="12">
        <f>IF('Données projet'!$A$114&gt;35,BY8+BX9-CG8,IF(A9&lt;'Données projet'!$A$114,$BV$205^A9,IF(A9='Données projet'!$A$114,'Données projet'!$B$114,BY8+BX9-CG8)))</f>
        <v>24.565714285714286</v>
      </c>
      <c r="BZ9" s="13">
        <f>BY9*VLOOKUP('Données projet'!$B$12,Paramètres!$A$1:$I$89,3,0)*VLOOKUP('Données projet'!$B$12,Paramètres!$A$1:$I$89,5,0)</f>
        <v>23.759958857142859</v>
      </c>
      <c r="CA9" s="13">
        <f t="shared" si="39"/>
        <v>7.5726748796033911</v>
      </c>
      <c r="CB9" s="20">
        <f t="shared" si="10"/>
        <v>54.571003758166377</v>
      </c>
      <c r="CC9" s="59">
        <f t="shared" si="11"/>
        <v>236.04125585442534</v>
      </c>
      <c r="CD9" s="59">
        <f ca="1">AVERAGE(OFFSET($CC$3,0,0,'Données projet'!$E$12+1,1))-AVERAGE(OFFSET($H$3,0,0,'Données projet'!$E$12+1,1))</f>
        <v>722.05521609092671</v>
      </c>
      <c r="CE9" s="59">
        <f t="shared" si="40"/>
        <v>317.36319714884644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4.0942857142857143</v>
      </c>
      <c r="CT9" s="12">
        <f>IF('Données projet'!$A$140&gt;35,CT8+CS9-DB8,IF(A9&lt;'Données projet'!$A$140,$CQ$205^A9,IF(A9='Données projet'!$A$140,'Données projet'!$B$140,CT8+CS9-DB8)))</f>
        <v>24.565714285714286</v>
      </c>
      <c r="CU9" s="17">
        <f>CT9*VLOOKUP('Données projet'!$B$13,Paramètres!$A$1:$I$89,3,0)*VLOOKUP('Données projet'!$B$13,Paramètres!$A$1:$I$89,5,0)</f>
        <v>26.442534857142856</v>
      </c>
      <c r="CV9" s="13">
        <f t="shared" si="41"/>
        <v>8.3233675165294905</v>
      </c>
      <c r="CW9" s="20">
        <f t="shared" si="13"/>
        <v>60.550613300812671</v>
      </c>
      <c r="CX9" s="59">
        <f t="shared" si="14"/>
        <v>242.02086539707165</v>
      </c>
      <c r="CY9" s="59">
        <f ca="1">AVERAGE(OFFSET($CX$3,0,0,'Données projet'!$E$13+1,1))-AVERAGE(OFFSET($H$3,0,0,'Données projet'!$E$13+1,1))</f>
        <v>792.94606354161886</v>
      </c>
      <c r="CZ9" s="59">
        <f t="shared" si="42"/>
        <v>346.14443498270919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1.1538461538461537</v>
      </c>
      <c r="DO9" s="12">
        <f>IF('Données projet'!$A$166&gt;35,DO8+DN9-DW8,IF(A9&lt;'Données projet'!$A$166,$DL$205^A9,IF(A9='Données projet'!$A$166,'Données projet'!$B$166,DO8+DN9-DW8)))</f>
        <v>4.3379919728687586</v>
      </c>
      <c r="DP9" s="17">
        <f>DO9*VLOOKUP('Données projet'!$B$14,Paramètres!$A$1:$I$89,3,0)*VLOOKUP('Données projet'!$B$14,Paramètres!$A$1:$I$89,5,0)</f>
        <v>4.5340692100424276</v>
      </c>
      <c r="DQ9" s="13">
        <f t="shared" si="43"/>
        <v>1.7523666925023973</v>
      </c>
      <c r="DR9" s="20">
        <f t="shared" si="16"/>
        <v>10.948875863598902</v>
      </c>
      <c r="DS9" s="59">
        <f t="shared" si="17"/>
        <v>192.41912795985789</v>
      </c>
      <c r="DT9" s="59">
        <f ca="1">AVERAGE(OFFSET($DS$3,0,0,'Données projet'!$E$14+1,1))-AVERAGE(OFFSET($H$3,0,0,'Données projet'!$E$14+1,1))</f>
        <v>269.21114382490202</v>
      </c>
      <c r="DU9" s="59">
        <f t="shared" si="44"/>
        <v>233.07776944102309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4.0942857142857143</v>
      </c>
      <c r="FE9" s="12">
        <f>IF('Données projet'!$A$218&gt;35,FE8+FD9-FM8,IF(A9&lt;'Données projet'!$A$218,$FB$205^A9,IF(A9='Données projet'!$A$218,'Données projet'!$B$218,FE8+FD9-FM8)))</f>
        <v>24.565714285714286</v>
      </c>
      <c r="FF9" s="17">
        <f>FE9*VLOOKUP('Données projet'!$B$16,Paramètres!$A$1:$I$89,3,0)*VLOOKUP('Données projet'!$B$16,Paramètres!$A$1:$I$89,5,0)</f>
        <v>27.975435428571426</v>
      </c>
      <c r="FG9" s="13">
        <f t="shared" si="47"/>
        <v>8.7483085863226897</v>
      </c>
      <c r="FH9" s="20">
        <f t="shared" si="22"/>
        <v>63.96052082594057</v>
      </c>
      <c r="FI9" s="59">
        <f t="shared" si="23"/>
        <v>245.43077292219954</v>
      </c>
      <c r="FJ9" s="59">
        <f ca="1">AVERAGE(OFFSET($FI$3,0,0,'Données projet'!$E$16+1,1))-AVERAGE(OFFSET($H$3,0,0,'Données projet'!$E$16+1,1))</f>
        <v>833.39050463936144</v>
      </c>
      <c r="FK9" s="59">
        <f t="shared" si="48"/>
        <v>362.56178526355507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243.53706037561517</v>
      </c>
      <c r="S10" s="59">
        <f ca="1">AVERAGE(OFFSET($R$3,0,0,'Données projet'!$E$9+1,1))-AVERAGE(OFFSET($H$3,0,0,'Données projet'!$E$9+1,1))</f>
        <v>681.47578137804555</v>
      </c>
      <c r="T10" s="59">
        <f t="shared" si="34"/>
        <v>300.88511065995885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29.061240000000002</v>
      </c>
      <c r="AK10" s="13">
        <f t="shared" si="35"/>
        <v>9.0476634987070454</v>
      </c>
      <c r="AL10" s="20">
        <f t="shared" si="4"/>
        <v>66.373006926914783</v>
      </c>
      <c r="AM10" s="59">
        <f t="shared" si="5"/>
        <v>250.497187862651</v>
      </c>
      <c r="AN10" s="59">
        <f ca="1">AVERAGE(OFFSET($AM$3,0,0,'Données projet'!$E$10+1,1))-AVERAGE(OFFSET($H$3,0,0,'Données projet'!$E$10+1,1))</f>
        <v>752.45542076695506</v>
      </c>
      <c r="AO10" s="59">
        <f t="shared" si="36"/>
        <v>329.70629768420724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27.272856000000004</v>
      </c>
      <c r="BF10" s="13">
        <f t="shared" si="37"/>
        <v>8.5538895885805495</v>
      </c>
      <c r="BG10" s="20">
        <f t="shared" si="7"/>
        <v>62.398248566777788</v>
      </c>
      <c r="BH10" s="59">
        <f t="shared" si="8"/>
        <v>246.52242950251403</v>
      </c>
      <c r="BI10" s="59">
        <f ca="1">AVERAGE(OFFSET($BH$3,0,0,'Données projet'!$E$11+1,1))-AVERAGE(OFFSET($H$3,0,0,'Données projet'!$E$11+1,1))</f>
        <v>711.91538686535682</v>
      </c>
      <c r="BJ10" s="59">
        <f t="shared" si="38"/>
        <v>313.24593837351722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4.0942857142857143</v>
      </c>
      <c r="BY10" s="12">
        <f>IF('Données projet'!$A$114&gt;35,BY9+BX10-CG9,IF(A10&lt;'Données projet'!$A$114,$BV$205^A10,IF(A10='Données projet'!$A$114,'Données projet'!$B$114,BY9+BX10-CG9)))</f>
        <v>28.66</v>
      </c>
      <c r="BZ10" s="13">
        <f>BY10*VLOOKUP('Données projet'!$B$12,Paramètres!$A$1:$I$89,3,0)*VLOOKUP('Données projet'!$B$12,Paramètres!$A$1:$I$89,5,0)</f>
        <v>27.719952000000003</v>
      </c>
      <c r="CA10" s="13">
        <f t="shared" si="39"/>
        <v>8.677677279944616</v>
      </c>
      <c r="CB10" s="20">
        <f t="shared" si="10"/>
        <v>63.392537662570199</v>
      </c>
      <c r="CC10" s="59">
        <f t="shared" si="11"/>
        <v>247.51671859830643</v>
      </c>
      <c r="CD10" s="59">
        <f ca="1">AVERAGE(OFFSET($CC$3,0,0,'Données projet'!$E$12+1,1))-AVERAGE(OFFSET($H$3,0,0,'Données projet'!$E$12+1,1))</f>
        <v>722.05521609092671</v>
      </c>
      <c r="CE10" s="59">
        <f t="shared" si="40"/>
        <v>317.36319714884644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4.0942857142857143</v>
      </c>
      <c r="CT10" s="12">
        <f>IF('Données projet'!$A$140&gt;35,CT9+CS10-DB9,IF(A10&lt;'Données projet'!$A$140,$CQ$205^A10,IF(A10='Données projet'!$A$140,'Données projet'!$B$140,CT9+CS10-DB9)))</f>
        <v>28.66</v>
      </c>
      <c r="CU10" s="17">
        <f>CT10*VLOOKUP('Données projet'!$B$13,Paramètres!$A$1:$I$89,3,0)*VLOOKUP('Données projet'!$B$13,Paramètres!$A$1:$I$89,5,0)</f>
        <v>30.849623999999999</v>
      </c>
      <c r="CV10" s="13">
        <f t="shared" si="41"/>
        <v>9.5379107566545613</v>
      </c>
      <c r="CW10" s="20">
        <f t="shared" si="13"/>
        <v>70.341623034506696</v>
      </c>
      <c r="CX10" s="59">
        <f t="shared" si="14"/>
        <v>254.46580397024292</v>
      </c>
      <c r="CY10" s="59">
        <f ca="1">AVERAGE(OFFSET($CX$3,0,0,'Données projet'!$E$13+1,1))-AVERAGE(OFFSET($H$3,0,0,'Données projet'!$E$13+1,1))</f>
        <v>792.94606354161886</v>
      </c>
      <c r="CZ10" s="59">
        <f t="shared" si="42"/>
        <v>346.14443498270919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1.1538461538461537</v>
      </c>
      <c r="DO10" s="12">
        <f>IF('Données projet'!$A$166&gt;35,DO9+DN10-DW9,IF(A10&lt;'Données projet'!$A$166,$DL$205^A10,IF(A10='Données projet'!$A$166,'Données projet'!$B$166,DO9+DN10-DW9)))</f>
        <v>5.5399205286335267</v>
      </c>
      <c r="DP10" s="17">
        <f>DO10*VLOOKUP('Données projet'!$B$14,Paramètres!$A$1:$I$89,3,0)*VLOOKUP('Données projet'!$B$14,Paramètres!$A$1:$I$89,5,0)</f>
        <v>5.7903249365277629</v>
      </c>
      <c r="DQ10" s="13">
        <f t="shared" si="43"/>
        <v>2.1750857288969967</v>
      </c>
      <c r="DR10" s="20">
        <f t="shared" si="16"/>
        <v>13.873090242281457</v>
      </c>
      <c r="DS10" s="59">
        <f t="shared" si="17"/>
        <v>197.99727117801768</v>
      </c>
      <c r="DT10" s="59">
        <f ca="1">AVERAGE(OFFSET($DS$3,0,0,'Données projet'!$E$14+1,1))-AVERAGE(OFFSET($H$3,0,0,'Données projet'!$E$14+1,1))</f>
        <v>269.21114382490202</v>
      </c>
      <c r="DU10" s="59">
        <f t="shared" si="44"/>
        <v>233.07776944102309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4.0942857142857143</v>
      </c>
      <c r="FE10" s="12">
        <f>IF('Données projet'!$A$218&gt;35,FE9+FD10-FM9,IF(A10&lt;'Données projet'!$A$218,$FB$205^A10,IF(A10='Données projet'!$A$218,'Données projet'!$B$218,FE9+FD10-FM9)))</f>
        <v>28.66</v>
      </c>
      <c r="FF10" s="17">
        <f>FE10*VLOOKUP('Données projet'!$B$16,Paramètres!$A$1:$I$89,3,0)*VLOOKUP('Données projet'!$B$16,Paramètres!$A$1:$I$89,5,0)</f>
        <v>32.638007999999999</v>
      </c>
      <c r="FG10" s="13">
        <f t="shared" si="47"/>
        <v>10.024859097272211</v>
      </c>
      <c r="FH10" s="20">
        <f t="shared" si="22"/>
        <v>74.304493527749102</v>
      </c>
      <c r="FI10" s="59">
        <f t="shared" si="23"/>
        <v>258.42867446348532</v>
      </c>
      <c r="FJ10" s="59">
        <f ca="1">AVERAGE(OFFSET($FI$3,0,0,'Données projet'!$E$16+1,1))-AVERAGE(OFFSET($H$3,0,0,'Données projet'!$E$16+1,1))</f>
        <v>833.39050463936144</v>
      </c>
      <c r="FK10" s="59">
        <f t="shared" si="48"/>
        <v>362.56178526355507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254.40255617832378</v>
      </c>
      <c r="S11" s="59">
        <f ca="1">AVERAGE(OFFSET($R$3,0,0,'Données projet'!$E$9+1,1))-AVERAGE(OFFSET($H$3,0,0,'Données projet'!$E$9+1,1))</f>
        <v>681.47578137804555</v>
      </c>
      <c r="T11" s="59">
        <f t="shared" si="34"/>
        <v>300.88511065995885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33.21284571428572</v>
      </c>
      <c r="AK11" s="13">
        <f t="shared" si="35"/>
        <v>10.180711350730137</v>
      </c>
      <c r="AL11" s="20">
        <f t="shared" si="4"/>
        <v>75.577111888235933</v>
      </c>
      <c r="AM11" s="59">
        <f t="shared" si="5"/>
        <v>262.33038475445647</v>
      </c>
      <c r="AN11" s="59">
        <f ca="1">AVERAGE(OFFSET($AM$3,0,0,'Données projet'!$E$10+1,1))-AVERAGE(OFFSET($H$3,0,0,'Données projet'!$E$10+1,1))</f>
        <v>752.45542076695506</v>
      </c>
      <c r="AO11" s="59">
        <f t="shared" si="36"/>
        <v>329.70629768420724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31.168978285714289</v>
      </c>
      <c r="BF11" s="13">
        <f t="shared" si="37"/>
        <v>9.6251016452810383</v>
      </c>
      <c r="BG11" s="20">
        <f t="shared" si="7"/>
        <v>71.049689213150188</v>
      </c>
      <c r="BH11" s="59">
        <f t="shared" si="8"/>
        <v>257.80296207937073</v>
      </c>
      <c r="BI11" s="59">
        <f ca="1">AVERAGE(OFFSET($BH$3,0,0,'Données projet'!$E$11+1,1))-AVERAGE(OFFSET($H$3,0,0,'Données projet'!$E$11+1,1))</f>
        <v>711.91538686535682</v>
      </c>
      <c r="BJ11" s="59">
        <f t="shared" si="38"/>
        <v>313.24593837351722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4.0942857142857143</v>
      </c>
      <c r="BY11" s="12">
        <f>IF('Données projet'!$A$114&gt;35,BY10+BX11-CG10,IF(A11&lt;'Données projet'!$A$114,$BV$205^A11,IF(A11='Données projet'!$A$114,'Données projet'!$B$114,BY10+BX11-CG10)))</f>
        <v>32.754285714285714</v>
      </c>
      <c r="BZ11" s="13">
        <f>BY11*VLOOKUP('Données projet'!$B$12,Paramètres!$A$1:$I$89,3,0)*VLOOKUP('Données projet'!$B$12,Paramètres!$A$1:$I$89,5,0)</f>
        <v>31.679945142857143</v>
      </c>
      <c r="CA11" s="13">
        <f t="shared" si="39"/>
        <v>9.7643913917145664</v>
      </c>
      <c r="CB11" s="20">
        <f t="shared" si="10"/>
        <v>72.18221946437906</v>
      </c>
      <c r="CC11" s="59">
        <f t="shared" si="11"/>
        <v>258.93549233059963</v>
      </c>
      <c r="CD11" s="59">
        <f ca="1">AVERAGE(OFFSET($CC$3,0,0,'Données projet'!$E$12+1,1))-AVERAGE(OFFSET($H$3,0,0,'Données projet'!$E$12+1,1))</f>
        <v>722.05521609092671</v>
      </c>
      <c r="CE11" s="59">
        <f t="shared" si="40"/>
        <v>317.36319714884644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4.0942857142857143</v>
      </c>
      <c r="CT11" s="12">
        <f>IF('Données projet'!$A$140&gt;35,CT10+CS11-DB10,IF(A11&lt;'Données projet'!$A$140,$CQ$205^A11,IF(A11='Données projet'!$A$140,'Données projet'!$B$140,CT10+CS11-DB10)))</f>
        <v>32.754285714285714</v>
      </c>
      <c r="CU11" s="17">
        <f>CT11*VLOOKUP('Données projet'!$B$13,Paramètres!$A$1:$I$89,3,0)*VLOOKUP('Données projet'!$B$13,Paramètres!$A$1:$I$89,5,0)</f>
        <v>35.256713142857144</v>
      </c>
      <c r="CV11" s="13">
        <f t="shared" si="41"/>
        <v>10.732352757858489</v>
      </c>
      <c r="CW11" s="20">
        <f t="shared" si="13"/>
        <v>80.097623110413053</v>
      </c>
      <c r="CX11" s="59">
        <f t="shared" si="14"/>
        <v>266.85089597663364</v>
      </c>
      <c r="CY11" s="59">
        <f ca="1">AVERAGE(OFFSET($CX$3,0,0,'Données projet'!$E$13+1,1))-AVERAGE(OFFSET($H$3,0,0,'Données projet'!$E$13+1,1))</f>
        <v>792.94606354161886</v>
      </c>
      <c r="CZ11" s="59">
        <f t="shared" si="42"/>
        <v>346.14443498270919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1.1538461538461537</v>
      </c>
      <c r="DO11" s="12">
        <f>IF('Données projet'!$A$166&gt;35,DO10+DN11-DW10,IF(A11&lt;'Données projet'!$A$166,$DL$205^A11,IF(A11='Données projet'!$A$166,'Données projet'!$B$166,DO10+DN11-DW10)))</f>
        <v>7.0748677396189548</v>
      </c>
      <c r="DP11" s="17">
        <f>DO11*VLOOKUP('Données projet'!$B$14,Paramètres!$A$1:$I$89,3,0)*VLOOKUP('Données projet'!$B$14,Paramètres!$A$1:$I$89,5,0)</f>
        <v>7.3946517614497322</v>
      </c>
      <c r="DQ11" s="13">
        <f t="shared" si="43"/>
        <v>2.6997762216625256</v>
      </c>
      <c r="DR11" s="20">
        <f t="shared" si="16"/>
        <v>17.581128737253849</v>
      </c>
      <c r="DS11" s="59">
        <f t="shared" si="17"/>
        <v>204.33440160347442</v>
      </c>
      <c r="DT11" s="59">
        <f ca="1">AVERAGE(OFFSET($DS$3,0,0,'Données projet'!$E$14+1,1))-AVERAGE(OFFSET($H$3,0,0,'Données projet'!$E$14+1,1))</f>
        <v>269.21114382490202</v>
      </c>
      <c r="DU11" s="59">
        <f t="shared" si="44"/>
        <v>233.07776944102309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4.0942857142857143</v>
      </c>
      <c r="FE11" s="12">
        <f>IF('Données projet'!$A$218&gt;35,FE10+FD11-FM10,IF(A11&lt;'Données projet'!$A$218,$FB$205^A11,IF(A11='Données projet'!$A$218,'Données projet'!$B$218,FE10+FD11-FM10)))</f>
        <v>32.754285714285714</v>
      </c>
      <c r="FF11" s="17">
        <f>FE11*VLOOKUP('Données projet'!$B$16,Paramètres!$A$1:$I$89,3,0)*VLOOKUP('Données projet'!$B$16,Paramètres!$A$1:$I$89,5,0)</f>
        <v>37.300580571428576</v>
      </c>
      <c r="FG11" s="13">
        <f t="shared" si="47"/>
        <v>11.280282120975693</v>
      </c>
      <c r="FH11" s="20">
        <f t="shared" si="22"/>
        <v>84.611669189270756</v>
      </c>
      <c r="FI11" s="59">
        <f t="shared" si="23"/>
        <v>271.36494205549133</v>
      </c>
      <c r="FJ11" s="59">
        <f ca="1">AVERAGE(OFFSET($FI$3,0,0,'Données projet'!$E$16+1,1))-AVERAGE(OFFSET($H$3,0,0,'Données projet'!$E$16+1,1))</f>
        <v>833.39050463936144</v>
      </c>
      <c r="FK11" s="59">
        <f t="shared" si="48"/>
        <v>362.56178526355507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265.21780015687921</v>
      </c>
      <c r="S12" s="59">
        <f ca="1">AVERAGE(OFFSET($R$3,0,0,'Données projet'!$E$9+1,1))-AVERAGE(OFFSET($H$3,0,0,'Données projet'!$E$9+1,1))</f>
        <v>681.47578137804555</v>
      </c>
      <c r="T12" s="59">
        <f t="shared" si="34"/>
        <v>300.88511065995885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37.364451428571435</v>
      </c>
      <c r="AK12" s="13">
        <f t="shared" si="35"/>
        <v>11.297347642554788</v>
      </c>
      <c r="AL12" s="20">
        <f t="shared" si="4"/>
        <v>84.752633382211499</v>
      </c>
      <c r="AM12" s="59">
        <f t="shared" si="5"/>
        <v>274.11059213476756</v>
      </c>
      <c r="AN12" s="59">
        <f ca="1">AVERAGE(OFFSET($AM$3,0,0,'Données projet'!$E$10+1,1))-AVERAGE(OFFSET($H$3,0,0,'Données projet'!$E$10+1,1))</f>
        <v>752.45542076695506</v>
      </c>
      <c r="AO12" s="59">
        <f t="shared" si="36"/>
        <v>329.70629768420724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35.06510057142858</v>
      </c>
      <c r="BF12" s="13">
        <f t="shared" si="37"/>
        <v>10.680797798463022</v>
      </c>
      <c r="BG12" s="20">
        <f t="shared" si="7"/>
        <v>79.674106327561205</v>
      </c>
      <c r="BH12" s="59">
        <f t="shared" si="8"/>
        <v>269.03206508011726</v>
      </c>
      <c r="BI12" s="59">
        <f ca="1">AVERAGE(OFFSET($BH$3,0,0,'Données projet'!$E$11+1,1))-AVERAGE(OFFSET($H$3,0,0,'Données projet'!$E$11+1,1))</f>
        <v>711.91538686535682</v>
      </c>
      <c r="BJ12" s="59">
        <f t="shared" si="38"/>
        <v>313.24593837351722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4.0942857142857143</v>
      </c>
      <c r="BY12" s="12">
        <f>IF('Données projet'!$A$114&gt;35,BY11+BX12-CG11,IF(A12&lt;'Données projet'!$A$114,$BV$205^A12,IF(A12='Données projet'!$A$114,'Données projet'!$B$114,BY11+BX12-CG11)))</f>
        <v>36.848571428571432</v>
      </c>
      <c r="BZ12" s="13">
        <f>BY12*VLOOKUP('Données projet'!$B$12,Paramètres!$A$1:$I$89,3,0)*VLOOKUP('Données projet'!$B$12,Paramètres!$A$1:$I$89,5,0)</f>
        <v>35.639938285714294</v>
      </c>
      <c r="CA12" s="13">
        <f t="shared" si="39"/>
        <v>10.835365061426426</v>
      </c>
      <c r="CB12" s="20">
        <f t="shared" si="10"/>
        <v>80.944486662936754</v>
      </c>
      <c r="CC12" s="59">
        <f t="shared" si="11"/>
        <v>270.3024454154928</v>
      </c>
      <c r="CD12" s="59">
        <f ca="1">AVERAGE(OFFSET($CC$3,0,0,'Données projet'!$E$12+1,1))-AVERAGE(OFFSET($H$3,0,0,'Données projet'!$E$12+1,1))</f>
        <v>722.05521609092671</v>
      </c>
      <c r="CE12" s="59">
        <f t="shared" si="40"/>
        <v>317.36319714884644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4.0942857142857143</v>
      </c>
      <c r="CT12" s="12">
        <f>IF('Données projet'!$A$140&gt;35,CT11+CS12-DB11,IF(A12&lt;'Données projet'!$A$140,$CQ$205^A12,IF(A12='Données projet'!$A$140,'Données projet'!$B$140,CT11+CS12-DB11)))</f>
        <v>36.848571428571432</v>
      </c>
      <c r="CU12" s="17">
        <f>CT12*VLOOKUP('Données projet'!$B$13,Paramètres!$A$1:$I$89,3,0)*VLOOKUP('Données projet'!$B$13,Paramètres!$A$1:$I$89,5,0)</f>
        <v>39.66380228571429</v>
      </c>
      <c r="CV12" s="13">
        <f t="shared" si="41"/>
        <v>11.909493939179743</v>
      </c>
      <c r="CW12" s="20">
        <f t="shared" si="13"/>
        <v>89.823490925023762</v>
      </c>
      <c r="CX12" s="59">
        <f t="shared" si="14"/>
        <v>279.18144967757985</v>
      </c>
      <c r="CY12" s="59">
        <f ca="1">AVERAGE(OFFSET($CX$3,0,0,'Données projet'!$E$13+1,1))-AVERAGE(OFFSET($H$3,0,0,'Données projet'!$E$13+1,1))</f>
        <v>792.94606354161886</v>
      </c>
      <c r="CZ12" s="59">
        <f t="shared" si="42"/>
        <v>346.14443498270919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1.1538461538461537</v>
      </c>
      <c r="DO12" s="12">
        <f>IF('Données projet'!$A$166&gt;35,DO11+DN12-DW11,IF(A12&lt;'Données projet'!$A$166,$DL$205^A12,IF(A12='Données projet'!$A$166,'Données projet'!$B$166,DO11+DN12-DW11)))</f>
        <v>9.0351031705949865</v>
      </c>
      <c r="DP12" s="17">
        <f>DO12*VLOOKUP('Données projet'!$B$14,Paramètres!$A$1:$I$89,3,0)*VLOOKUP('Données projet'!$B$14,Paramètres!$A$1:$I$89,5,0)</f>
        <v>9.4434898339058808</v>
      </c>
      <c r="DQ12" s="13">
        <f t="shared" si="43"/>
        <v>3.3510364902952992</v>
      </c>
      <c r="DR12" s="20">
        <f t="shared" si="16"/>
        <v>22.283800014650385</v>
      </c>
      <c r="DS12" s="59">
        <f t="shared" si="17"/>
        <v>211.64175876720645</v>
      </c>
      <c r="DT12" s="59">
        <f ca="1">AVERAGE(OFFSET($DS$3,0,0,'Données projet'!$E$14+1,1))-AVERAGE(OFFSET($H$3,0,0,'Données projet'!$E$14+1,1))</f>
        <v>269.21114382490202</v>
      </c>
      <c r="DU12" s="59">
        <f t="shared" si="44"/>
        <v>233.07776944102309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4.0942857142857143</v>
      </c>
      <c r="FE12" s="12">
        <f>IF('Données projet'!$A$218&gt;35,FE11+FD12-FM11,IF(A12&lt;'Données projet'!$A$218,$FB$205^A12,IF(A12='Données projet'!$A$218,'Données projet'!$B$218,FE11+FD12-FM11)))</f>
        <v>36.848571428571432</v>
      </c>
      <c r="FF12" s="17">
        <f>FE12*VLOOKUP('Données projet'!$B$16,Paramètres!$A$1:$I$89,3,0)*VLOOKUP('Données projet'!$B$16,Paramètres!$A$1:$I$89,5,0)</f>
        <v>41.963153142857145</v>
      </c>
      <c r="FG12" s="13">
        <f t="shared" si="47"/>
        <v>12.51752104901964</v>
      </c>
      <c r="FH12" s="20">
        <f t="shared" si="22"/>
        <v>94.887174217518734</v>
      </c>
      <c r="FI12" s="59">
        <f t="shared" si="23"/>
        <v>284.24513297007479</v>
      </c>
      <c r="FJ12" s="59">
        <f ca="1">AVERAGE(OFFSET($FI$3,0,0,'Données projet'!$E$16+1,1))-AVERAGE(OFFSET($H$3,0,0,'Données projet'!$E$16+1,1))</f>
        <v>833.39050463936144</v>
      </c>
      <c r="FK12" s="59">
        <f t="shared" si="48"/>
        <v>362.56178526355507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275.98641504162418</v>
      </c>
      <c r="S13" s="59">
        <f ca="1">AVERAGE(OFFSET($R$3,0,0,'Données projet'!$E$9+1,1))-AVERAGE(OFFSET($H$3,0,0,'Données projet'!$E$9+1,1))</f>
        <v>681.47578137804555</v>
      </c>
      <c r="T13" s="59">
        <f t="shared" si="34"/>
        <v>300.88511065995885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41.51605714285715</v>
      </c>
      <c r="AK13" s="13">
        <f t="shared" si="35"/>
        <v>12.399603891963192</v>
      </c>
      <c r="AL13" s="20">
        <f t="shared" si="4"/>
        <v>93.903109635645436</v>
      </c>
      <c r="AM13" s="59">
        <f t="shared" si="5"/>
        <v>285.84177162069034</v>
      </c>
      <c r="AN13" s="59">
        <f ca="1">AVERAGE(OFFSET($AM$3,0,0,'Données projet'!$E$10+1,1))-AVERAGE(OFFSET($H$3,0,0,'Données projet'!$E$10+1,1))</f>
        <v>752.45542076695506</v>
      </c>
      <c r="AO13" s="59">
        <f t="shared" si="36"/>
        <v>329.70629768420724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38.961222857142864</v>
      </c>
      <c r="BF13" s="13">
        <f t="shared" si="37"/>
        <v>11.722898696347846</v>
      </c>
      <c r="BG13" s="20">
        <f t="shared" si="7"/>
        <v>88.274845038996318</v>
      </c>
      <c r="BH13" s="59">
        <f t="shared" si="8"/>
        <v>280.21350702404118</v>
      </c>
      <c r="BI13" s="59">
        <f ca="1">AVERAGE(OFFSET($BH$3,0,0,'Données projet'!$E$11+1,1))-AVERAGE(OFFSET($H$3,0,0,'Données projet'!$E$11+1,1))</f>
        <v>711.91538686535682</v>
      </c>
      <c r="BJ13" s="59">
        <f t="shared" si="38"/>
        <v>313.24593837351722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4.0942857142857143</v>
      </c>
      <c r="BY13" s="12">
        <f>IF('Données projet'!$A$114&gt;35,BY12+BX13-CG12,IF(A13&lt;'Données projet'!$A$114,$BV$205^A13,IF(A13='Données projet'!$A$114,'Données projet'!$B$114,BY12+BX13-CG12)))</f>
        <v>40.94285714285715</v>
      </c>
      <c r="BZ13" s="13">
        <f>BY13*VLOOKUP('Données projet'!$B$12,Paramètres!$A$1:$I$89,3,0)*VLOOKUP('Données projet'!$B$12,Paramètres!$A$1:$I$89,5,0)</f>
        <v>39.599931428571438</v>
      </c>
      <c r="CA13" s="13">
        <f t="shared" si="39"/>
        <v>11.892546731979841</v>
      </c>
      <c r="CB13" s="20">
        <f t="shared" si="10"/>
        <v>89.682732796293465</v>
      </c>
      <c r="CC13" s="59">
        <f t="shared" si="11"/>
        <v>281.62139478133838</v>
      </c>
      <c r="CD13" s="59">
        <f ca="1">AVERAGE(OFFSET($CC$3,0,0,'Données projet'!$E$12+1,1))-AVERAGE(OFFSET($H$3,0,0,'Données projet'!$E$12+1,1))</f>
        <v>722.05521609092671</v>
      </c>
      <c r="CE13" s="59">
        <f t="shared" si="40"/>
        <v>317.36319714884644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4.0942857142857143</v>
      </c>
      <c r="CT13" s="12">
        <f>IF('Données projet'!$A$140&gt;35,CT12+CS13-DB12,IF(A13&lt;'Données projet'!$A$140,$CQ$205^A13,IF(A13='Données projet'!$A$140,'Données projet'!$B$140,CT12+CS13-DB12)))</f>
        <v>40.94285714285715</v>
      </c>
      <c r="CU13" s="17">
        <f>CT13*VLOOKUP('Données projet'!$B$13,Paramètres!$A$1:$I$89,3,0)*VLOOKUP('Données projet'!$B$13,Paramètres!$A$1:$I$89,5,0)</f>
        <v>44.070891428571429</v>
      </c>
      <c r="CV13" s="13">
        <f t="shared" si="41"/>
        <v>13.071475896104255</v>
      </c>
      <c r="CW13" s="20">
        <f t="shared" si="13"/>
        <v>99.522956423810157</v>
      </c>
      <c r="CX13" s="59">
        <f t="shared" si="14"/>
        <v>291.46161840885503</v>
      </c>
      <c r="CY13" s="59">
        <f ca="1">AVERAGE(OFFSET($CX$3,0,0,'Données projet'!$E$13+1,1))-AVERAGE(OFFSET($H$3,0,0,'Données projet'!$E$13+1,1))</f>
        <v>792.94606354161886</v>
      </c>
      <c r="CZ13" s="59">
        <f t="shared" si="42"/>
        <v>346.14443498270919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11.538461538461538</v>
      </c>
      <c r="DM13" s="12">
        <f>VLOOKUP(A13,'Données projet'!$A$165:$I$185,9,0)</f>
        <v>1.1538461538461537</v>
      </c>
      <c r="DN13" s="12">
        <f t="array" ref="DN13">INDEX(DM:DM,MIN(IF(ISNUMBER(DM13:DM209),ROW(DM13:DM209),"")))</f>
        <v>1.1538461538461537</v>
      </c>
      <c r="DO13" s="12">
        <f>IF('Données projet'!$A$166&gt;35,DO12+DN13-DW12,IF(A13&lt;'Données projet'!$A$166,$DL$205^A13,IF(A13='Données projet'!$A$166,'Données projet'!$B$166,DO12+DN13-DW12)))</f>
        <v>11.538461538461538</v>
      </c>
      <c r="DP13" s="17">
        <f>DO13*VLOOKUP('Données projet'!$B$14,Paramètres!$A$1:$I$89,3,0)*VLOOKUP('Données projet'!$B$14,Paramètres!$A$1:$I$89,5,0)</f>
        <v>12.06</v>
      </c>
      <c r="DQ13" s="13">
        <f t="shared" si="43"/>
        <v>4.1593986454090377</v>
      </c>
      <c r="DR13" s="20">
        <f t="shared" si="16"/>
        <v>28.248785974087401</v>
      </c>
      <c r="DS13" s="59">
        <f t="shared" si="17"/>
        <v>220.1874479591323</v>
      </c>
      <c r="DT13" s="59">
        <f ca="1">AVERAGE(OFFSET($DS$3,0,0,'Données projet'!$E$14+1,1))-AVERAGE(OFFSET($H$3,0,0,'Données projet'!$E$14+1,1))</f>
        <v>269.21114382490202</v>
      </c>
      <c r="DU13" s="59">
        <f t="shared" si="44"/>
        <v>233.07776944102309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0.215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4.0942857142857143</v>
      </c>
      <c r="FE13" s="12">
        <f>IF('Données projet'!$A$218&gt;35,FE12+FD13-FM12,IF(A13&lt;'Données projet'!$A$218,$FB$205^A13,IF(A13='Données projet'!$A$218,'Données projet'!$B$218,FE12+FD13-FM12)))</f>
        <v>40.94285714285715</v>
      </c>
      <c r="FF13" s="17">
        <f>FE13*VLOOKUP('Données projet'!$B$16,Paramètres!$A$1:$I$89,3,0)*VLOOKUP('Données projet'!$B$16,Paramètres!$A$1:$I$89,5,0)</f>
        <v>46.625725714285721</v>
      </c>
      <c r="FG13" s="13">
        <f t="shared" si="47"/>
        <v>13.738826813871096</v>
      </c>
      <c r="FH13" s="20">
        <f t="shared" si="22"/>
        <v>105.1349289865398</v>
      </c>
      <c r="FI13" s="59">
        <f t="shared" si="23"/>
        <v>297.07359097158468</v>
      </c>
      <c r="FJ13" s="59">
        <f ca="1">AVERAGE(OFFSET($FI$3,0,0,'Données projet'!$E$16+1,1))-AVERAGE(OFFSET($H$3,0,0,'Données projet'!$E$16+1,1))</f>
        <v>833.39050463936144</v>
      </c>
      <c r="FK13" s="59">
        <f t="shared" si="48"/>
        <v>362.56178526355507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286.71133932256703</v>
      </c>
      <c r="S14" s="59">
        <f ca="1">AVERAGE(OFFSET($R$3,0,0,'Données projet'!$E$9+1,1))-AVERAGE(OFFSET($H$3,0,0,'Données projet'!$E$9+1,1))</f>
        <v>681.47578137804555</v>
      </c>
      <c r="T14" s="59">
        <f t="shared" si="34"/>
        <v>300.88511065995885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45.667662857142872</v>
      </c>
      <c r="AK14" s="13">
        <f t="shared" si="35"/>
        <v>13.489081801480216</v>
      </c>
      <c r="AL14" s="20">
        <f t="shared" si="4"/>
        <v>103.03133028043521</v>
      </c>
      <c r="AM14" s="59">
        <f t="shared" si="5"/>
        <v>297.52712888954932</v>
      </c>
      <c r="AN14" s="59">
        <f ca="1">AVERAGE(OFFSET($AM$3,0,0,'Données projet'!$E$10+1,1))-AVERAGE(OFFSET($H$3,0,0,'Données projet'!$E$10+1,1))</f>
        <v>752.45542076695506</v>
      </c>
      <c r="AO14" s="59">
        <f t="shared" si="36"/>
        <v>329.70629768420724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42.857345142857156</v>
      </c>
      <c r="BF14" s="13">
        <f t="shared" si="37"/>
        <v>12.752918628956738</v>
      </c>
      <c r="BG14" s="20">
        <f t="shared" si="7"/>
        <v>96.854542735909192</v>
      </c>
      <c r="BH14" s="59">
        <f t="shared" si="8"/>
        <v>291.35034134502331</v>
      </c>
      <c r="BI14" s="59">
        <f ca="1">AVERAGE(OFFSET($BH$3,0,0,'Données projet'!$E$11+1,1))-AVERAGE(OFFSET($H$3,0,0,'Données projet'!$E$11+1,1))</f>
        <v>711.91538686535682</v>
      </c>
      <c r="BJ14" s="59">
        <f t="shared" si="38"/>
        <v>313.24593837351722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4.0942857142857143</v>
      </c>
      <c r="BY14" s="12">
        <f>IF('Données projet'!$A$114&gt;35,BY13+BX14-CG13,IF(A14&lt;'Données projet'!$A$114,$BV$205^A14,IF(A14='Données projet'!$A$114,'Données projet'!$B$114,BY13+BX14-CG13)))</f>
        <v>45.037142857142868</v>
      </c>
      <c r="BZ14" s="13">
        <f>BY14*VLOOKUP('Données projet'!$B$12,Paramètres!$A$1:$I$89,3,0)*VLOOKUP('Données projet'!$B$12,Paramètres!$A$1:$I$89,5,0)</f>
        <v>43.559924571428581</v>
      </c>
      <c r="CA14" s="13">
        <f t="shared" si="39"/>
        <v>12.937472607457911</v>
      </c>
      <c r="CB14" s="20">
        <f t="shared" si="10"/>
        <v>98.399633419893973</v>
      </c>
      <c r="CC14" s="59">
        <f t="shared" si="11"/>
        <v>292.89543202900813</v>
      </c>
      <c r="CD14" s="59">
        <f ca="1">AVERAGE(OFFSET($CC$3,0,0,'Données projet'!$E$12+1,1))-AVERAGE(OFFSET($H$3,0,0,'Données projet'!$E$12+1,1))</f>
        <v>722.05521609092671</v>
      </c>
      <c r="CE14" s="59">
        <f t="shared" si="40"/>
        <v>317.36319714884644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4.0942857142857143</v>
      </c>
      <c r="CT14" s="12">
        <f>IF('Données projet'!$A$140&gt;35,CT13+CS14-DB13,IF(A14&lt;'Données projet'!$A$140,$CQ$205^A14,IF(A14='Données projet'!$A$140,'Données projet'!$B$140,CT13+CS14-DB13)))</f>
        <v>45.037142857142868</v>
      </c>
      <c r="CU14" s="17">
        <f>CT14*VLOOKUP('Données projet'!$B$13,Paramètres!$A$1:$I$89,3,0)*VLOOKUP('Données projet'!$B$13,Paramètres!$A$1:$I$89,5,0)</f>
        <v>48.477980571428581</v>
      </c>
      <c r="CV14" s="13">
        <f t="shared" si="41"/>
        <v>14.219987119339399</v>
      </c>
      <c r="CW14" s="20">
        <f t="shared" si="13"/>
        <v>109.19896039475422</v>
      </c>
      <c r="CX14" s="59">
        <f t="shared" si="14"/>
        <v>303.69475900386834</v>
      </c>
      <c r="CY14" s="59">
        <f ca="1">AVERAGE(OFFSET($CX$3,0,0,'Données projet'!$E$13+1,1))-AVERAGE(OFFSET($H$3,0,0,'Données projet'!$E$13+1,1))</f>
        <v>792.94606354161886</v>
      </c>
      <c r="CZ14" s="59">
        <f t="shared" si="42"/>
        <v>346.14443498270919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3.7179487179487181</v>
      </c>
      <c r="DO14" s="12">
        <f>IF('Données projet'!$A$166&gt;35,DO13+DN14-DW13,IF(A14&lt;'Données projet'!$A$166,$DL$205^A14,IF(A14='Données projet'!$A$166,'Données projet'!$B$166,DO13+DN14-DW13)))</f>
        <v>15.256410256410255</v>
      </c>
      <c r="DP14" s="17">
        <f>DO14*VLOOKUP('Données projet'!$B$14,Paramètres!$A$1:$I$89,3,0)*VLOOKUP('Données projet'!$B$14,Paramètres!$A$1:$I$89,5,0)</f>
        <v>15.946000000000002</v>
      </c>
      <c r="DQ14" s="13">
        <f t="shared" si="43"/>
        <v>5.3237194363648275</v>
      </c>
      <c r="DR14" s="20">
        <f t="shared" si="16"/>
        <v>37.044761351668747</v>
      </c>
      <c r="DS14" s="59">
        <f t="shared" si="17"/>
        <v>231.54055996078287</v>
      </c>
      <c r="DT14" s="59">
        <f ca="1">AVERAGE(OFFSET($DS$3,0,0,'Données projet'!$E$14+1,1))-AVERAGE(OFFSET($H$3,0,0,'Données projet'!$E$14+1,1))</f>
        <v>269.21114382490202</v>
      </c>
      <c r="DU14" s="59">
        <f t="shared" si="44"/>
        <v>233.07776944102309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4.0942857142857143</v>
      </c>
      <c r="FE14" s="12">
        <f>IF('Données projet'!$A$218&gt;35,FE13+FD14-FM13,IF(A14&lt;'Données projet'!$A$218,$FB$205^A14,IF(A14='Données projet'!$A$218,'Données projet'!$B$218,FE13+FD14-FM13)))</f>
        <v>45.037142857142868</v>
      </c>
      <c r="FF14" s="17">
        <f>FE14*VLOOKUP('Données projet'!$B$16,Paramètres!$A$1:$I$89,3,0)*VLOOKUP('Données projet'!$B$16,Paramètres!$A$1:$I$89,5,0)</f>
        <v>51.288298285714298</v>
      </c>
      <c r="FG14" s="13">
        <f t="shared" si="47"/>
        <v>14.945974110414515</v>
      </c>
      <c r="FH14" s="20">
        <f t="shared" si="22"/>
        <v>115.35802442325767</v>
      </c>
      <c r="FI14" s="59">
        <f t="shared" si="23"/>
        <v>309.85382303237179</v>
      </c>
      <c r="FJ14" s="59">
        <f ca="1">AVERAGE(OFFSET($FI$3,0,0,'Données projet'!$E$16+1,1))-AVERAGE(OFFSET($H$3,0,0,'Données projet'!$E$16+1,1))</f>
        <v>833.39050463936144</v>
      </c>
      <c r="FK14" s="59">
        <f t="shared" si="48"/>
        <v>362.56178526355507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297.39501934067528</v>
      </c>
      <c r="S15" s="59">
        <f ca="1">AVERAGE(OFFSET($R$3,0,0,'Données projet'!$E$9+1,1))-AVERAGE(OFFSET($H$3,0,0,'Données projet'!$E$9+1,1))</f>
        <v>681.47578137804555</v>
      </c>
      <c r="T15" s="59">
        <f t="shared" si="34"/>
        <v>300.88511065995885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49.819268571428587</v>
      </c>
      <c r="AK15" s="13">
        <f t="shared" si="35"/>
        <v>14.567075151646579</v>
      </c>
      <c r="AL15" s="20">
        <f t="shared" si="4"/>
        <v>112.13954865102259</v>
      </c>
      <c r="AM15" s="59">
        <f t="shared" si="5"/>
        <v>309.16932610375545</v>
      </c>
      <c r="AN15" s="59">
        <f ca="1">AVERAGE(OFFSET($AM$3,0,0,'Données projet'!$E$10+1,1))-AVERAGE(OFFSET($H$3,0,0,'Données projet'!$E$10+1,1))</f>
        <v>752.45542076695506</v>
      </c>
      <c r="AO15" s="59">
        <f t="shared" si="36"/>
        <v>329.70629768420724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46.75346742857144</v>
      </c>
      <c r="BF15" s="13">
        <f t="shared" si="37"/>
        <v>13.772080769089918</v>
      </c>
      <c r="BG15" s="20">
        <f t="shared" si="7"/>
        <v>105.41532977759353</v>
      </c>
      <c r="BH15" s="59">
        <f t="shared" si="8"/>
        <v>302.44510723032641</v>
      </c>
      <c r="BI15" s="59">
        <f ca="1">AVERAGE(OFFSET($BH$3,0,0,'Données projet'!$E$11+1,1))-AVERAGE(OFFSET($H$3,0,0,'Données projet'!$E$11+1,1))</f>
        <v>711.91538686535682</v>
      </c>
      <c r="BJ15" s="59">
        <f t="shared" si="38"/>
        <v>313.24593837351722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4.0942857142857143</v>
      </c>
      <c r="BY15" s="12">
        <f>IF('Données projet'!$A$114&gt;35,BY14+BX15-CG14,IF(A15&lt;'Données projet'!$A$114,$BV$205^A15,IF(A15='Données projet'!$A$114,'Données projet'!$B$114,BY14+BX15-CG14)))</f>
        <v>49.131428571428586</v>
      </c>
      <c r="BZ15" s="13">
        <f>BY15*VLOOKUP('Données projet'!$B$12,Paramètres!$A$1:$I$89,3,0)*VLOOKUP('Données projet'!$B$12,Paramètres!$A$1:$I$89,5,0)</f>
        <v>47.519917714285725</v>
      </c>
      <c r="CA15" s="13">
        <f t="shared" si="39"/>
        <v>13.97138356181722</v>
      </c>
      <c r="CB15" s="20">
        <f t="shared" si="10"/>
        <v>107.09734972254596</v>
      </c>
      <c r="CC15" s="59">
        <f t="shared" si="11"/>
        <v>304.12712717527882</v>
      </c>
      <c r="CD15" s="59">
        <f ca="1">AVERAGE(OFFSET($CC$3,0,0,'Données projet'!$E$12+1,1))-AVERAGE(OFFSET($H$3,0,0,'Données projet'!$E$12+1,1))</f>
        <v>722.05521609092671</v>
      </c>
      <c r="CE15" s="59">
        <f t="shared" si="40"/>
        <v>317.36319714884644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4.0942857142857143</v>
      </c>
      <c r="CT15" s="12">
        <f>IF('Données projet'!$A$140&gt;35,CT14+CS15-DB14,IF(A15&lt;'Données projet'!$A$140,$CQ$205^A15,IF(A15='Données projet'!$A$140,'Données projet'!$B$140,CT14+CS15-DB14)))</f>
        <v>49.131428571428586</v>
      </c>
      <c r="CU15" s="17">
        <f>CT15*VLOOKUP('Données projet'!$B$13,Paramètres!$A$1:$I$89,3,0)*VLOOKUP('Données projet'!$B$13,Paramètres!$A$1:$I$89,5,0)</f>
        <v>52.885069714285727</v>
      </c>
      <c r="CV15" s="13">
        <f t="shared" si="41"/>
        <v>15.356391492868891</v>
      </c>
      <c r="CW15" s="20">
        <f t="shared" si="13"/>
        <v>118.85387826912762</v>
      </c>
      <c r="CX15" s="59">
        <f t="shared" si="14"/>
        <v>315.88365572186046</v>
      </c>
      <c r="CY15" s="59">
        <f ca="1">AVERAGE(OFFSET($CX$3,0,0,'Données projet'!$E$13+1,1))-AVERAGE(OFFSET($H$3,0,0,'Données projet'!$E$13+1,1))</f>
        <v>792.94606354161886</v>
      </c>
      <c r="CZ15" s="59">
        <f t="shared" si="42"/>
        <v>346.14443498270919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3.7179487179487181</v>
      </c>
      <c r="DO15" s="12">
        <f>IF('Données projet'!$A$166&gt;35,DO14+DN15-DW14,IF(A15&lt;'Données projet'!$A$166,$DL$205^A15,IF(A15='Données projet'!$A$166,'Données projet'!$B$166,DO14+DN15-DW14)))</f>
        <v>18.974358974358974</v>
      </c>
      <c r="DP15" s="17">
        <f>DO15*VLOOKUP('Données projet'!$B$14,Paramètres!$A$1:$I$89,3,0)*VLOOKUP('Données projet'!$B$14,Paramètres!$A$1:$I$89,5,0)</f>
        <v>19.832000000000001</v>
      </c>
      <c r="DQ15" s="13">
        <f t="shared" si="43"/>
        <v>6.4551318352154752</v>
      </c>
      <c r="DR15" s="20">
        <f t="shared" si="16"/>
        <v>45.783421279666953</v>
      </c>
      <c r="DS15" s="59">
        <f t="shared" si="17"/>
        <v>242.81319873239983</v>
      </c>
      <c r="DT15" s="59">
        <f ca="1">AVERAGE(OFFSET($DS$3,0,0,'Données projet'!$E$14+1,1))-AVERAGE(OFFSET($H$3,0,0,'Données projet'!$E$14+1,1))</f>
        <v>269.21114382490202</v>
      </c>
      <c r="DU15" s="59">
        <f t="shared" si="44"/>
        <v>233.07776944102309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4.0942857142857143</v>
      </c>
      <c r="FE15" s="12">
        <f>IF('Données projet'!$A$218&gt;35,FE14+FD15-FM14,IF(A15&lt;'Données projet'!$A$218,$FB$205^A15,IF(A15='Données projet'!$A$218,'Données projet'!$B$218,FE14+FD15-FM14)))</f>
        <v>49.131428571428586</v>
      </c>
      <c r="FF15" s="17">
        <f>FE15*VLOOKUP('Données projet'!$B$16,Paramètres!$A$1:$I$89,3,0)*VLOOKUP('Données projet'!$B$16,Paramètres!$A$1:$I$89,5,0)</f>
        <v>55.950870857142881</v>
      </c>
      <c r="FG15" s="13">
        <f t="shared" si="47"/>
        <v>16.140396454344362</v>
      </c>
      <c r="FH15" s="20">
        <f t="shared" si="22"/>
        <v>125.5589572341736</v>
      </c>
      <c r="FI15" s="59">
        <f t="shared" si="23"/>
        <v>322.58873468690649</v>
      </c>
      <c r="FJ15" s="59">
        <f ca="1">AVERAGE(OFFSET($FI$3,0,0,'Données projet'!$E$16+1,1))-AVERAGE(OFFSET($H$3,0,0,'Données projet'!$E$16+1,1))</f>
        <v>833.39050463936144</v>
      </c>
      <c r="FK15" s="59">
        <f t="shared" si="48"/>
        <v>362.56178526355507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308.03953539456739</v>
      </c>
      <c r="S16" s="59">
        <f ca="1">AVERAGE(OFFSET($R$3,0,0,'Données projet'!$E$9+1,1))-AVERAGE(OFFSET($H$3,0,0,'Données projet'!$E$9+1,1))</f>
        <v>681.47578137804555</v>
      </c>
      <c r="T16" s="59">
        <f t="shared" si="34"/>
        <v>300.88511065995885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53.970874285714309</v>
      </c>
      <c r="AK16" s="13">
        <f t="shared" si="35"/>
        <v>15.634649796775355</v>
      </c>
      <c r="AL16" s="20">
        <f t="shared" si="4"/>
        <v>121.22962111033615</v>
      </c>
      <c r="AM16" s="59">
        <f t="shared" si="5"/>
        <v>320.77062136195497</v>
      </c>
      <c r="AN16" s="59">
        <f ca="1">AVERAGE(OFFSET($AM$3,0,0,'Données projet'!$E$10+1,1))-AVERAGE(OFFSET($H$3,0,0,'Données projet'!$E$10+1,1))</f>
        <v>752.45542076695506</v>
      </c>
      <c r="AO16" s="59">
        <f t="shared" si="36"/>
        <v>329.70629768420724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50.649589714285725</v>
      </c>
      <c r="BF16" s="13">
        <f t="shared" si="37"/>
        <v>14.781392802335258</v>
      </c>
      <c r="BG16" s="20">
        <f t="shared" si="7"/>
        <v>113.9589612164482</v>
      </c>
      <c r="BH16" s="59">
        <f t="shared" si="8"/>
        <v>313.499961468067</v>
      </c>
      <c r="BI16" s="59">
        <f ca="1">AVERAGE(OFFSET($BH$3,0,0,'Données projet'!$E$11+1,1))-AVERAGE(OFFSET($H$3,0,0,'Données projet'!$E$11+1,1))</f>
        <v>711.91538686535682</v>
      </c>
      <c r="BJ16" s="59">
        <f t="shared" si="38"/>
        <v>313.24593837351722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4.0942857142857143</v>
      </c>
      <c r="BY16" s="12">
        <f>IF('Données projet'!$A$114&gt;35,BY15+BX16-CG15,IF(A16&lt;'Données projet'!$A$114,$BV$205^A16,IF(A16='Données projet'!$A$114,'Données projet'!$B$114,BY15+BX16-CG15)))</f>
        <v>53.225714285714304</v>
      </c>
      <c r="BZ16" s="13">
        <f>BY16*VLOOKUP('Données projet'!$B$12,Paramètres!$A$1:$I$89,3,0)*VLOOKUP('Données projet'!$B$12,Paramètres!$A$1:$I$89,5,0)</f>
        <v>51.479910857142876</v>
      </c>
      <c r="CA16" s="13">
        <f t="shared" si="39"/>
        <v>14.99530186337682</v>
      </c>
      <c r="CB16" s="20">
        <f t="shared" si="10"/>
        <v>115.77766215490512</v>
      </c>
      <c r="CC16" s="59">
        <f t="shared" si="11"/>
        <v>315.31866240652391</v>
      </c>
      <c r="CD16" s="59">
        <f ca="1">AVERAGE(OFFSET($CC$3,0,0,'Données projet'!$E$12+1,1))-AVERAGE(OFFSET($H$3,0,0,'Données projet'!$E$12+1,1))</f>
        <v>722.05521609092671</v>
      </c>
      <c r="CE16" s="59">
        <f t="shared" si="40"/>
        <v>317.36319714884644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4.0942857142857143</v>
      </c>
      <c r="CT16" s="12">
        <f>IF('Données projet'!$A$140&gt;35,CT15+CS16-DB15,IF(A16&lt;'Données projet'!$A$140,$CQ$205^A16,IF(A16='Données projet'!$A$140,'Données projet'!$B$140,CT15+CS16-DB15)))</f>
        <v>53.225714285714304</v>
      </c>
      <c r="CU16" s="17">
        <f>CT16*VLOOKUP('Données projet'!$B$13,Paramètres!$A$1:$I$89,3,0)*VLOOKUP('Données projet'!$B$13,Paramètres!$A$1:$I$89,5,0)</f>
        <v>57.29215885714288</v>
      </c>
      <c r="CV16" s="13">
        <f t="shared" si="41"/>
        <v>16.481812624275978</v>
      </c>
      <c r="CW16" s="20">
        <f t="shared" si="13"/>
        <v>128.48966699680452</v>
      </c>
      <c r="CX16" s="59">
        <f t="shared" si="14"/>
        <v>328.03066724842336</v>
      </c>
      <c r="CY16" s="59">
        <f ca="1">AVERAGE(OFFSET($CX$3,0,0,'Données projet'!$E$13+1,1))-AVERAGE(OFFSET($H$3,0,0,'Données projet'!$E$13+1,1))</f>
        <v>792.94606354161886</v>
      </c>
      <c r="CZ16" s="59">
        <f t="shared" si="42"/>
        <v>346.14443498270919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3.7179487179487181</v>
      </c>
      <c r="DO16" s="12">
        <f>IF('Données projet'!$A$166&gt;35,DO15+DN16-DW15,IF(A16&lt;'Données projet'!$A$166,$DL$205^A16,IF(A16='Données projet'!$A$166,'Données projet'!$B$166,DO15+DN16-DW15)))</f>
        <v>22.692307692307693</v>
      </c>
      <c r="DP16" s="17">
        <f>DO16*VLOOKUP('Données projet'!$B$14,Paramètres!$A$1:$I$89,3,0)*VLOOKUP('Données projet'!$B$14,Paramètres!$A$1:$I$89,5,0)</f>
        <v>23.718000000000004</v>
      </c>
      <c r="DQ16" s="13">
        <f t="shared" si="43"/>
        <v>7.5608573241730994</v>
      </c>
      <c r="DR16" s="20">
        <f t="shared" si="16"/>
        <v>54.477343172934816</v>
      </c>
      <c r="DS16" s="59">
        <f t="shared" si="17"/>
        <v>254.01834342455362</v>
      </c>
      <c r="DT16" s="59">
        <f ca="1">AVERAGE(OFFSET($DS$3,0,0,'Données projet'!$E$14+1,1))-AVERAGE(OFFSET($H$3,0,0,'Données projet'!$E$14+1,1))</f>
        <v>269.21114382490202</v>
      </c>
      <c r="DU16" s="59">
        <f t="shared" si="44"/>
        <v>233.07776944102309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4.0942857142857143</v>
      </c>
      <c r="FE16" s="12">
        <f>IF('Données projet'!$A$218&gt;35,FE15+FD16-FM15,IF(A16&lt;'Données projet'!$A$218,$FB$205^A16,IF(A16='Données projet'!$A$218,'Données projet'!$B$218,FE15+FD16-FM15)))</f>
        <v>53.225714285714304</v>
      </c>
      <c r="FF16" s="17">
        <f>FE16*VLOOKUP('Données projet'!$B$16,Paramètres!$A$1:$I$89,3,0)*VLOOKUP('Données projet'!$B$16,Paramètres!$A$1:$I$89,5,0)</f>
        <v>60.613443428571451</v>
      </c>
      <c r="FG16" s="13">
        <f t="shared" si="47"/>
        <v>17.323274817887153</v>
      </c>
      <c r="FH16" s="20">
        <f t="shared" si="22"/>
        <v>135.73978427924877</v>
      </c>
      <c r="FI16" s="59">
        <f t="shared" si="23"/>
        <v>335.28078453086755</v>
      </c>
      <c r="FJ16" s="59">
        <f ca="1">AVERAGE(OFFSET($FI$3,0,0,'Données projet'!$E$16+1,1))-AVERAGE(OFFSET($H$3,0,0,'Données projet'!$E$16+1,1))</f>
        <v>833.39050463936144</v>
      </c>
      <c r="FK16" s="59">
        <f t="shared" si="48"/>
        <v>362.56178526355507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318.64668790347997</v>
      </c>
      <c r="S17" s="59">
        <f ca="1">AVERAGE(OFFSET($R$3,0,0,'Données projet'!$E$9+1,1))-AVERAGE(OFFSET($H$3,0,0,'Données projet'!$E$9+1,1))</f>
        <v>681.47578137804555</v>
      </c>
      <c r="T17" s="59">
        <f t="shared" si="34"/>
        <v>300.88511065995885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58.122480000000031</v>
      </c>
      <c r="AK17" s="13">
        <f t="shared" si="35"/>
        <v>16.692698298610935</v>
      </c>
      <c r="AL17" s="20">
        <f t="shared" si="4"/>
        <v>130.30310220341408</v>
      </c>
      <c r="AM17" s="59">
        <f t="shared" si="5"/>
        <v>332.33296397568728</v>
      </c>
      <c r="AN17" s="59">
        <f ca="1">AVERAGE(OFFSET($AM$3,0,0,'Données projet'!$E$10+1,1))-AVERAGE(OFFSET($H$3,0,0,'Données projet'!$E$10+1,1))</f>
        <v>752.45542076695506</v>
      </c>
      <c r="AO17" s="59">
        <f t="shared" si="36"/>
        <v>329.70629768420724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54.545712000000016</v>
      </c>
      <c r="BF17" s="13">
        <f t="shared" si="37"/>
        <v>15.781698579109328</v>
      </c>
      <c r="BG17" s="20">
        <f t="shared" si="7"/>
        <v>122.48690675861542</v>
      </c>
      <c r="BH17" s="59">
        <f t="shared" si="8"/>
        <v>324.51676853088861</v>
      </c>
      <c r="BI17" s="59">
        <f ca="1">AVERAGE(OFFSET($BH$3,0,0,'Données projet'!$E$11+1,1))-AVERAGE(OFFSET($H$3,0,0,'Données projet'!$E$11+1,1))</f>
        <v>711.91538686535682</v>
      </c>
      <c r="BJ17" s="59">
        <f t="shared" si="38"/>
        <v>313.24593837351722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4.0942857142857143</v>
      </c>
      <c r="BY17" s="12">
        <f>IF('Données projet'!$A$114&gt;35,BY16+BX17-CG16,IF(A17&lt;'Données projet'!$A$114,$BV$205^A17,IF(A17='Données projet'!$A$114,'Données projet'!$B$114,BY16+BX17-CG16)))</f>
        <v>57.320000000000022</v>
      </c>
      <c r="BZ17" s="13">
        <f>BY17*VLOOKUP('Données projet'!$B$12,Paramètres!$A$1:$I$89,3,0)*VLOOKUP('Données projet'!$B$12,Paramètres!$A$1:$I$89,5,0)</f>
        <v>55.43990400000002</v>
      </c>
      <c r="CA17" s="13">
        <f t="shared" si="39"/>
        <v>16.010083574342314</v>
      </c>
      <c r="CB17" s="20">
        <f t="shared" si="10"/>
        <v>124.44206169197953</v>
      </c>
      <c r="CC17" s="59">
        <f t="shared" si="11"/>
        <v>326.47192346425271</v>
      </c>
      <c r="CD17" s="59">
        <f ca="1">AVERAGE(OFFSET($CC$3,0,0,'Données projet'!$E$12+1,1))-AVERAGE(OFFSET($H$3,0,0,'Données projet'!$E$12+1,1))</f>
        <v>722.05521609092671</v>
      </c>
      <c r="CE17" s="59">
        <f t="shared" si="40"/>
        <v>317.36319714884644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4.0942857142857143</v>
      </c>
      <c r="CT17" s="12">
        <f>IF('Données projet'!$A$140&gt;35,CT16+CS17-DB16,IF(A17&lt;'Données projet'!$A$140,$CQ$205^A17,IF(A17='Données projet'!$A$140,'Données projet'!$B$140,CT16+CS17-DB16)))</f>
        <v>57.320000000000022</v>
      </c>
      <c r="CU17" s="17">
        <f>CT17*VLOOKUP('Données projet'!$B$13,Paramètres!$A$1:$I$89,3,0)*VLOOKUP('Données projet'!$B$13,Paramètres!$A$1:$I$89,5,0)</f>
        <v>61.699248000000019</v>
      </c>
      <c r="CV17" s="13">
        <f t="shared" si="41"/>
        <v>17.597191438724803</v>
      </c>
      <c r="CW17" s="20">
        <f t="shared" si="13"/>
        <v>138.10796535577904</v>
      </c>
      <c r="CX17" s="59">
        <f t="shared" si="14"/>
        <v>340.13782712805221</v>
      </c>
      <c r="CY17" s="59">
        <f ca="1">AVERAGE(OFFSET($CX$3,0,0,'Données projet'!$E$13+1,1))-AVERAGE(OFFSET($H$3,0,0,'Données projet'!$E$13+1,1))</f>
        <v>792.94606354161886</v>
      </c>
      <c r="CZ17" s="59">
        <f t="shared" si="42"/>
        <v>346.14443498270919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3.7179487179487181</v>
      </c>
      <c r="DO17" s="12">
        <f>IF('Données projet'!$A$166&gt;35,DO16+DN17-DW16,IF(A17&lt;'Données projet'!$A$166,$DL$205^A17,IF(A17='Données projet'!$A$166,'Données projet'!$B$166,DO16+DN17-DW16)))</f>
        <v>26.410256410256412</v>
      </c>
      <c r="DP17" s="17">
        <f>DO17*VLOOKUP('Données projet'!$B$14,Paramètres!$A$1:$I$89,3,0)*VLOOKUP('Données projet'!$B$14,Paramètres!$A$1:$I$89,5,0)</f>
        <v>27.604000000000006</v>
      </c>
      <c r="DQ17" s="13">
        <f t="shared" si="43"/>
        <v>8.6455960616159544</v>
      </c>
      <c r="DR17" s="20">
        <f t="shared" si="16"/>
        <v>63.134713140647797</v>
      </c>
      <c r="DS17" s="59">
        <f t="shared" si="17"/>
        <v>265.16457491292101</v>
      </c>
      <c r="DT17" s="59">
        <f ca="1">AVERAGE(OFFSET($DS$3,0,0,'Données projet'!$E$14+1,1))-AVERAGE(OFFSET($H$3,0,0,'Données projet'!$E$14+1,1))</f>
        <v>269.21114382490202</v>
      </c>
      <c r="DU17" s="59">
        <f t="shared" si="44"/>
        <v>233.07776944102309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4.0942857142857143</v>
      </c>
      <c r="FE17" s="12">
        <f>IF('Données projet'!$A$218&gt;35,FE16+FD17-FM16,IF(A17&lt;'Données projet'!$A$218,$FB$205^A17,IF(A17='Données projet'!$A$218,'Données projet'!$B$218,FE16+FD17-FM16)))</f>
        <v>57.320000000000022</v>
      </c>
      <c r="FF17" s="17">
        <f>FE17*VLOOKUP('Données projet'!$B$16,Paramètres!$A$1:$I$89,3,0)*VLOOKUP('Données projet'!$B$16,Paramètres!$A$1:$I$89,5,0)</f>
        <v>65.276016000000027</v>
      </c>
      <c r="FG17" s="13">
        <f t="shared" si="47"/>
        <v>18.495598164185058</v>
      </c>
      <c r="FH17" s="20">
        <f t="shared" si="22"/>
        <v>145.90222800262234</v>
      </c>
      <c r="FI17" s="59">
        <f t="shared" si="23"/>
        <v>347.93208977489553</v>
      </c>
      <c r="FJ17" s="59">
        <f ca="1">AVERAGE(OFFSET($FI$3,0,0,'Données projet'!$E$16+1,1))-AVERAGE(OFFSET($H$3,0,0,'Données projet'!$E$16+1,1))</f>
        <v>833.39050463936144</v>
      </c>
      <c r="FK17" s="59">
        <f t="shared" si="48"/>
        <v>362.56178526355507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329.21805825209799</v>
      </c>
      <c r="S18" s="59">
        <f ca="1">AVERAGE(OFFSET($R$3,0,0,'Données projet'!$E$9+1,1))-AVERAGE(OFFSET($H$3,0,0,'Données projet'!$E$9+1,1))</f>
        <v>681.47578137804555</v>
      </c>
      <c r="T18" s="59">
        <f t="shared" si="34"/>
        <v>300.88511065995885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62.274085714285746</v>
      </c>
      <c r="AK18" s="13">
        <f t="shared" si="35"/>
        <v>17.741978484825932</v>
      </c>
      <c r="AL18" s="20">
        <f t="shared" si="4"/>
        <v>139.36131181345283</v>
      </c>
      <c r="AM18" s="59">
        <f t="shared" si="5"/>
        <v>343.85806174633387</v>
      </c>
      <c r="AN18" s="59">
        <f ca="1">AVERAGE(OFFSET($AM$3,0,0,'Données projet'!$E$10+1,1))-AVERAGE(OFFSET($H$3,0,0,'Données projet'!$E$10+1,1))</f>
        <v>752.45542076695506</v>
      </c>
      <c r="AO18" s="59">
        <f t="shared" si="36"/>
        <v>329.70629768420724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58.441834285714307</v>
      </c>
      <c r="BF18" s="13">
        <f t="shared" si="37"/>
        <v>16.773714568834297</v>
      </c>
      <c r="BG18" s="20">
        <f t="shared" si="7"/>
        <v>131.0004142550055</v>
      </c>
      <c r="BH18" s="59">
        <f t="shared" si="8"/>
        <v>335.49716418788654</v>
      </c>
      <c r="BI18" s="59">
        <f ca="1">AVERAGE(OFFSET($BH$3,0,0,'Données projet'!$E$11+1,1))-AVERAGE(OFFSET($H$3,0,0,'Données projet'!$E$11+1,1))</f>
        <v>711.91538686535682</v>
      </c>
      <c r="BJ18" s="59">
        <f t="shared" si="38"/>
        <v>313.24593837351722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4.0942857142857143</v>
      </c>
      <c r="BY18" s="12">
        <f>IF('Données projet'!$A$114&gt;35,BY17+BX18-CG17,IF(A18&lt;'Données projet'!$A$114,$BV$205^A18,IF(A18='Données projet'!$A$114,'Données projet'!$B$114,BY17+BX18-CG17)))</f>
        <v>61.414285714285739</v>
      </c>
      <c r="BZ18" s="13">
        <f>BY18*VLOOKUP('Données projet'!$B$12,Paramètres!$A$1:$I$89,3,0)*VLOOKUP('Données projet'!$B$12,Paramètres!$A$1:$I$89,5,0)</f>
        <v>59.399897142857171</v>
      </c>
      <c r="CA18" s="13">
        <f t="shared" si="39"/>
        <v>17.016455532529655</v>
      </c>
      <c r="CB18" s="20">
        <f t="shared" si="10"/>
        <v>133.0918142429654</v>
      </c>
      <c r="CC18" s="59">
        <f t="shared" si="11"/>
        <v>337.58856417584644</v>
      </c>
      <c r="CD18" s="59">
        <f ca="1">AVERAGE(OFFSET($CC$3,0,0,'Données projet'!$E$12+1,1))-AVERAGE(OFFSET($H$3,0,0,'Données projet'!$E$12+1,1))</f>
        <v>722.05521609092671</v>
      </c>
      <c r="CE18" s="59">
        <f t="shared" si="40"/>
        <v>317.36319714884644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4.0942857142857143</v>
      </c>
      <c r="CT18" s="12">
        <f>IF('Données projet'!$A$140&gt;35,CT17+CS18-DB17,IF(A18&lt;'Données projet'!$A$140,$CQ$205^A18,IF(A18='Données projet'!$A$140,'Données projet'!$B$140,CT17+CS18-DB17)))</f>
        <v>61.414285714285739</v>
      </c>
      <c r="CU18" s="17">
        <f>CT18*VLOOKUP('Données projet'!$B$13,Paramètres!$A$1:$I$89,3,0)*VLOOKUP('Données projet'!$B$13,Paramètres!$A$1:$I$89,5,0)</f>
        <v>66.106337142857171</v>
      </c>
      <c r="CV18" s="13">
        <f t="shared" si="41"/>
        <v>18.703326826747876</v>
      </c>
      <c r="CW18" s="20">
        <f t="shared" si="13"/>
        <v>147.71016474706212</v>
      </c>
      <c r="CX18" s="59">
        <f t="shared" si="14"/>
        <v>352.20691467994317</v>
      </c>
      <c r="CY18" s="59">
        <f ca="1">AVERAGE(OFFSET($CX$3,0,0,'Données projet'!$E$13+1,1))-AVERAGE(OFFSET($H$3,0,0,'Données projet'!$E$13+1,1))</f>
        <v>792.94606354161886</v>
      </c>
      <c r="CZ18" s="59">
        <f t="shared" si="42"/>
        <v>346.14443498270919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30.128205128205128</v>
      </c>
      <c r="DM18" s="12">
        <f>VLOOKUP(A18,'Données projet'!$A$165:$I$185,9,0)</f>
        <v>3.7179487179487181</v>
      </c>
      <c r="DN18" s="12">
        <f t="array" ref="DN18">INDEX(DM:DM,MIN(IF(ISNUMBER(DM18:DM214),ROW(DM18:DM214),"")))</f>
        <v>3.7179487179487181</v>
      </c>
      <c r="DO18" s="12">
        <f>IF('Données projet'!$A$166&gt;35,DO17+DN18-DW17,IF(A18&lt;'Données projet'!$A$166,$DL$205^A18,IF(A18='Données projet'!$A$166,'Données projet'!$B$166,DO17+DN18-DW17)))</f>
        <v>30.128205128205131</v>
      </c>
      <c r="DP18" s="17">
        <f>DO18*VLOOKUP('Données projet'!$B$14,Paramètres!$A$1:$I$89,3,0)*VLOOKUP('Données projet'!$B$14,Paramètres!$A$1:$I$89,5,0)</f>
        <v>31.490000000000006</v>
      </c>
      <c r="DQ18" s="13">
        <f t="shared" si="43"/>
        <v>9.7126430402655597</v>
      </c>
      <c r="DR18" s="20">
        <f t="shared" si="16"/>
        <v>71.761269961795847</v>
      </c>
      <c r="DS18" s="59">
        <f t="shared" si="17"/>
        <v>276.25801989467686</v>
      </c>
      <c r="DT18" s="59">
        <f ca="1">AVERAGE(OFFSET($DS$3,0,0,'Données projet'!$E$14+1,1))-AVERAGE(OFFSET($H$3,0,0,'Données projet'!$E$14+1,1))</f>
        <v>269.21114382490202</v>
      </c>
      <c r="DU18" s="59">
        <f t="shared" si="44"/>
        <v>233.07776944102309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0.215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4.0942857142857143</v>
      </c>
      <c r="FE18" s="12">
        <f>IF('Données projet'!$A$218&gt;35,FE17+FD18-FM17,IF(A18&lt;'Données projet'!$A$218,$FB$205^A18,IF(A18='Données projet'!$A$218,'Données projet'!$B$218,FE17+FD18-FM17)))</f>
        <v>61.414285714285739</v>
      </c>
      <c r="FF18" s="17">
        <f>FE18*VLOOKUP('Données projet'!$B$16,Paramètres!$A$1:$I$89,3,0)*VLOOKUP('Données projet'!$B$16,Paramètres!$A$1:$I$89,5,0)</f>
        <v>69.938588571428596</v>
      </c>
      <c r="FG18" s="13">
        <f t="shared" si="47"/>
        <v>19.65820617031482</v>
      </c>
      <c r="FH18" s="20">
        <f t="shared" si="22"/>
        <v>156.04775084186977</v>
      </c>
      <c r="FI18" s="59">
        <f t="shared" si="23"/>
        <v>360.54450077475082</v>
      </c>
      <c r="FJ18" s="59">
        <f ca="1">AVERAGE(OFFSET($FI$3,0,0,'Données projet'!$E$16+1,1))-AVERAGE(OFFSET($H$3,0,0,'Données projet'!$E$16+1,1))</f>
        <v>833.39050463936144</v>
      </c>
      <c r="FK18" s="59">
        <f t="shared" si="48"/>
        <v>362.56178526355507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339.75505296407175</v>
      </c>
      <c r="S19" s="59">
        <f ca="1">AVERAGE(OFFSET($R$3,0,0,'Données projet'!$E$9+1,1))-AVERAGE(OFFSET($H$3,0,0,'Données projet'!$E$9+1,1))</f>
        <v>681.47578137804555</v>
      </c>
      <c r="T19" s="59">
        <f t="shared" si="34"/>
        <v>300.88511065995885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66.425691428571454</v>
      </c>
      <c r="AK19" s="13">
        <f t="shared" si="35"/>
        <v>18.783141422895284</v>
      </c>
      <c r="AL19" s="20">
        <f t="shared" si="4"/>
        <v>148.40538388297122</v>
      </c>
      <c r="AM19" s="59">
        <f t="shared" si="5"/>
        <v>355.34742980508531</v>
      </c>
      <c r="AN19" s="59">
        <f ca="1">AVERAGE(OFFSET($AM$3,0,0,'Données projet'!$E$10+1,1))-AVERAGE(OFFSET($H$3,0,0,'Données projet'!$E$10+1,1))</f>
        <v>752.45542076695506</v>
      </c>
      <c r="AO19" s="59">
        <f t="shared" si="36"/>
        <v>329.70629768420724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62.337956571428599</v>
      </c>
      <c r="BF19" s="13">
        <f t="shared" si="37"/>
        <v>17.758056307144972</v>
      </c>
      <c r="BG19" s="20">
        <f t="shared" si="7"/>
        <v>139.50055576351562</v>
      </c>
      <c r="BH19" s="59">
        <f t="shared" si="8"/>
        <v>346.44260168562971</v>
      </c>
      <c r="BI19" s="59">
        <f ca="1">AVERAGE(OFFSET($BH$3,0,0,'Données projet'!$E$11+1,1))-AVERAGE(OFFSET($H$3,0,0,'Données projet'!$E$11+1,1))</f>
        <v>711.91538686535682</v>
      </c>
      <c r="BJ19" s="59">
        <f t="shared" si="38"/>
        <v>313.24593837351722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4.0942857142857143</v>
      </c>
      <c r="BY19" s="12">
        <f>IF('Données projet'!$A$114&gt;35,BY18+BX19-CG18,IF(A19&lt;'Données projet'!$A$114,$BV$205^A19,IF(A19='Données projet'!$A$114,'Données projet'!$B$114,BY18+BX19-CG18)))</f>
        <v>65.508571428571457</v>
      </c>
      <c r="BZ19" s="13">
        <f>BY19*VLOOKUP('Données projet'!$B$12,Paramètres!$A$1:$I$89,3,0)*VLOOKUP('Données projet'!$B$12,Paramètres!$A$1:$I$89,5,0)</f>
        <v>63.359890285714322</v>
      </c>
      <c r="CA19" s="13">
        <f t="shared" si="39"/>
        <v>18.015042181303219</v>
      </c>
      <c r="CB19" s="20">
        <f t="shared" si="10"/>
        <v>141.72800738005557</v>
      </c>
      <c r="CC19" s="59">
        <f t="shared" si="11"/>
        <v>348.67005330216966</v>
      </c>
      <c r="CD19" s="59">
        <f ca="1">AVERAGE(OFFSET($CC$3,0,0,'Données projet'!$E$12+1,1))-AVERAGE(OFFSET($H$3,0,0,'Données projet'!$E$12+1,1))</f>
        <v>722.05521609092671</v>
      </c>
      <c r="CE19" s="59">
        <f t="shared" si="40"/>
        <v>317.36319714884644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4.0942857142857143</v>
      </c>
      <c r="CT19" s="12">
        <f>IF('Données projet'!$A$140&gt;35,CT18+CS19-DB18,IF(A19&lt;'Données projet'!$A$140,$CQ$205^A19,IF(A19='Données projet'!$A$140,'Données projet'!$B$140,CT18+CS19-DB18)))</f>
        <v>65.508571428571457</v>
      </c>
      <c r="CU19" s="17">
        <f>CT19*VLOOKUP('Données projet'!$B$13,Paramètres!$A$1:$I$89,3,0)*VLOOKUP('Données projet'!$B$13,Paramètres!$A$1:$I$89,5,0)</f>
        <v>70.513426285714317</v>
      </c>
      <c r="CV19" s="13">
        <f t="shared" si="41"/>
        <v>19.800905133883287</v>
      </c>
      <c r="CW19" s="20">
        <f t="shared" si="13"/>
        <v>157.29746055579915</v>
      </c>
      <c r="CX19" s="59">
        <f t="shared" si="14"/>
        <v>364.23950647791321</v>
      </c>
      <c r="CY19" s="59">
        <f ca="1">AVERAGE(OFFSET($CX$3,0,0,'Données projet'!$E$13+1,1))-AVERAGE(OFFSET($H$3,0,0,'Données projet'!$E$13+1,1))</f>
        <v>792.94606354161886</v>
      </c>
      <c r="CZ19" s="59">
        <f t="shared" si="42"/>
        <v>346.14443498270919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5.128205128205126</v>
      </c>
      <c r="DO19" s="12">
        <f>IF('Données projet'!$A$166&gt;35,DO18+DN19-DW18,IF(A19&lt;'Données projet'!$A$166,$DL$205^A19,IF(A19='Données projet'!$A$166,'Données projet'!$B$166,DO18+DN19-DW18)))</f>
        <v>35.256410256410255</v>
      </c>
      <c r="DP19" s="17">
        <f>DO19*VLOOKUP('Données projet'!$B$14,Paramètres!$A$1:$I$89,3,0)*VLOOKUP('Données projet'!$B$14,Paramètres!$A$1:$I$89,5,0)</f>
        <v>36.85</v>
      </c>
      <c r="DQ19" s="13">
        <f t="shared" si="43"/>
        <v>11.159795413106259</v>
      </c>
      <c r="DR19" s="20">
        <f t="shared" si="16"/>
        <v>83.617060344493396</v>
      </c>
      <c r="DS19" s="59">
        <f t="shared" si="17"/>
        <v>290.55910626660744</v>
      </c>
      <c r="DT19" s="59">
        <f ca="1">AVERAGE(OFFSET($DS$3,0,0,'Données projet'!$E$14+1,1))-AVERAGE(OFFSET($H$3,0,0,'Données projet'!$E$14+1,1))</f>
        <v>269.21114382490202</v>
      </c>
      <c r="DU19" s="59">
        <f t="shared" si="44"/>
        <v>233.07776944102309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4.0942857142857143</v>
      </c>
      <c r="FE19" s="12">
        <f>IF('Données projet'!$A$218&gt;35,FE18+FD19-FM18,IF(A19&lt;'Données projet'!$A$218,$FB$205^A19,IF(A19='Données projet'!$A$218,'Données projet'!$B$218,FE18+FD19-FM18)))</f>
        <v>65.508571428571457</v>
      </c>
      <c r="FF19" s="17">
        <f>FE19*VLOOKUP('Données projet'!$B$16,Paramètres!$A$1:$I$89,3,0)*VLOOKUP('Données projet'!$B$16,Paramètres!$A$1:$I$89,5,0)</f>
        <v>74.60116114285718</v>
      </c>
      <c r="FG19" s="13">
        <f t="shared" si="47"/>
        <v>20.811820222488493</v>
      </c>
      <c r="FH19" s="20">
        <f t="shared" si="22"/>
        <v>166.17760921131037</v>
      </c>
      <c r="FI19" s="59">
        <f t="shared" si="23"/>
        <v>373.11965513342443</v>
      </c>
      <c r="FJ19" s="59">
        <f ca="1">AVERAGE(OFFSET($FI$3,0,0,'Données projet'!$E$16+1,1))-AVERAGE(OFFSET($H$3,0,0,'Données projet'!$E$16+1,1))</f>
        <v>833.39050463936144</v>
      </c>
      <c r="FK19" s="59">
        <f t="shared" si="48"/>
        <v>362.56178526355507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350.25893653939312</v>
      </c>
      <c r="S20" s="59">
        <f ca="1">AVERAGE(OFFSET($R$3,0,0,'Données projet'!$E$9+1,1))-AVERAGE(OFFSET($H$3,0,0,'Données projet'!$E$9+1,1))</f>
        <v>681.47578137804555</v>
      </c>
      <c r="T20" s="59">
        <f t="shared" si="34"/>
        <v>300.88511065995885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70.577297142857176</v>
      </c>
      <c r="AK20" s="13">
        <f t="shared" si="35"/>
        <v>19.816752197053003</v>
      </c>
      <c r="AL20" s="20">
        <f t="shared" si="4"/>
        <v>157.43630260034357</v>
      </c>
      <c r="AM20" s="59">
        <f t="shared" si="5"/>
        <v>366.80242691621629</v>
      </c>
      <c r="AN20" s="59">
        <f ca="1">AVERAGE(OFFSET($AM$3,0,0,'Données projet'!$E$10+1,1))-AVERAGE(OFFSET($H$3,0,0,'Données projet'!$E$10+1,1))</f>
        <v>752.45542076695506</v>
      </c>
      <c r="AO20" s="59">
        <f t="shared" si="36"/>
        <v>329.70629768420724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66.23407885714289</v>
      </c>
      <c r="BF20" s="13">
        <f t="shared" si="37"/>
        <v>18.735258038948551</v>
      </c>
      <c r="BG20" s="20">
        <f t="shared" si="7"/>
        <v>147.98826176069258</v>
      </c>
      <c r="BH20" s="59">
        <f t="shared" si="8"/>
        <v>357.35438607656533</v>
      </c>
      <c r="BI20" s="59">
        <f ca="1">AVERAGE(OFFSET($BH$3,0,0,'Données projet'!$E$11+1,1))-AVERAGE(OFFSET($H$3,0,0,'Données projet'!$E$11+1,1))</f>
        <v>711.91538686535682</v>
      </c>
      <c r="BJ20" s="59">
        <f t="shared" si="38"/>
        <v>313.24593837351722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4.0942857142857143</v>
      </c>
      <c r="BY20" s="12">
        <f>IF('Données projet'!$A$114&gt;35,BY19+BX20-CG19,IF(A20&lt;'Données projet'!$A$114,$BV$205^A20,IF(A20='Données projet'!$A$114,'Données projet'!$B$114,BY19+BX20-CG19)))</f>
        <v>69.602857142857175</v>
      </c>
      <c r="BZ20" s="13">
        <f>BY20*VLOOKUP('Données projet'!$B$12,Paramètres!$A$1:$I$89,3,0)*VLOOKUP('Données projet'!$B$12,Paramètres!$A$1:$I$89,5,0)</f>
        <v>67.319883428571458</v>
      </c>
      <c r="CA20" s="13">
        <f t="shared" si="39"/>
        <v>19.006385496900258</v>
      </c>
      <c r="CB20" s="20">
        <f t="shared" si="10"/>
        <v>150.35158504519657</v>
      </c>
      <c r="CC20" s="59">
        <f t="shared" si="11"/>
        <v>359.7177093610693</v>
      </c>
      <c r="CD20" s="59">
        <f ca="1">AVERAGE(OFFSET($CC$3,0,0,'Données projet'!$E$12+1,1))-AVERAGE(OFFSET($H$3,0,0,'Données projet'!$E$12+1,1))</f>
        <v>722.05521609092671</v>
      </c>
      <c r="CE20" s="59">
        <f t="shared" si="40"/>
        <v>317.36319714884644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4.0942857142857143</v>
      </c>
      <c r="CT20" s="12">
        <f>IF('Données projet'!$A$140&gt;35,CT19+CS20-DB19,IF(A20&lt;'Données projet'!$A$140,$CQ$205^A20,IF(A20='Données projet'!$A$140,'Données projet'!$B$140,CT19+CS20-DB19)))</f>
        <v>69.602857142857175</v>
      </c>
      <c r="CU20" s="17">
        <f>CT20*VLOOKUP('Données projet'!$B$13,Paramètres!$A$1:$I$89,3,0)*VLOOKUP('Données projet'!$B$13,Paramètres!$A$1:$I$89,5,0)</f>
        <v>74.920515428571463</v>
      </c>
      <c r="CV20" s="13">
        <f t="shared" si="41"/>
        <v>20.890522063429991</v>
      </c>
      <c r="CW20" s="20">
        <f t="shared" si="13"/>
        <v>166.87089029856921</v>
      </c>
      <c r="CX20" s="59">
        <f t="shared" si="14"/>
        <v>376.23701461444193</v>
      </c>
      <c r="CY20" s="59">
        <f ca="1">AVERAGE(OFFSET($CX$3,0,0,'Données projet'!$E$13+1,1))-AVERAGE(OFFSET($H$3,0,0,'Données projet'!$E$13+1,1))</f>
        <v>792.94606354161886</v>
      </c>
      <c r="CZ20" s="59">
        <f t="shared" si="42"/>
        <v>346.14443498270919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5.128205128205126</v>
      </c>
      <c r="DO20" s="12">
        <f>IF('Données projet'!$A$166&gt;35,DO19+DN20-DW19,IF(A20&lt;'Données projet'!$A$166,$DL$205^A20,IF(A20='Données projet'!$A$166,'Données projet'!$B$166,DO19+DN20-DW19)))</f>
        <v>40.38461538461538</v>
      </c>
      <c r="DP20" s="17">
        <f>DO20*VLOOKUP('Données projet'!$B$14,Paramètres!$A$1:$I$89,3,0)*VLOOKUP('Données projet'!$B$14,Paramètres!$A$1:$I$89,5,0)</f>
        <v>42.21</v>
      </c>
      <c r="DQ20" s="13">
        <f t="shared" si="43"/>
        <v>12.582561739030865</v>
      </c>
      <c r="DR20" s="20">
        <f t="shared" si="16"/>
        <v>95.430378362145419</v>
      </c>
      <c r="DS20" s="59">
        <f t="shared" si="17"/>
        <v>304.79650267801816</v>
      </c>
      <c r="DT20" s="59">
        <f ca="1">AVERAGE(OFFSET($DS$3,0,0,'Données projet'!$E$14+1,1))-AVERAGE(OFFSET($H$3,0,0,'Données projet'!$E$14+1,1))</f>
        <v>269.21114382490202</v>
      </c>
      <c r="DU20" s="59">
        <f t="shared" si="44"/>
        <v>233.07776944102309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4.0942857142857143</v>
      </c>
      <c r="FE20" s="12">
        <f>IF('Données projet'!$A$218&gt;35,FE19+FD20-FM19,IF(A20&lt;'Données projet'!$A$218,$FB$205^A20,IF(A20='Données projet'!$A$218,'Données projet'!$B$218,FE19+FD20-FM19)))</f>
        <v>69.602857142857175</v>
      </c>
      <c r="FF20" s="17">
        <f>FE20*VLOOKUP('Données projet'!$B$16,Paramètres!$A$1:$I$89,3,0)*VLOOKUP('Données projet'!$B$16,Paramètres!$A$1:$I$89,5,0)</f>
        <v>79.263733714285749</v>
      </c>
      <c r="FG20" s="13">
        <f t="shared" si="47"/>
        <v>21.957066437031553</v>
      </c>
      <c r="FH20" s="20">
        <f t="shared" si="22"/>
        <v>176.29289359687763</v>
      </c>
      <c r="FI20" s="59">
        <f t="shared" si="23"/>
        <v>385.65901791275036</v>
      </c>
      <c r="FJ20" s="59">
        <f ca="1">AVERAGE(OFFSET($FI$3,0,0,'Données projet'!$E$16+1,1))-AVERAGE(OFFSET($H$3,0,0,'Données projet'!$E$16+1,1))</f>
        <v>833.39050463936144</v>
      </c>
      <c r="FK20" s="59">
        <f t="shared" si="48"/>
        <v>362.56178526355507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360.73085636864027</v>
      </c>
      <c r="S21" s="59">
        <f ca="1">AVERAGE(OFFSET($R$3,0,0,'Données projet'!$E$9+1,1))-AVERAGE(OFFSET($H$3,0,0,'Données projet'!$E$9+1,1))</f>
        <v>681.47578137804555</v>
      </c>
      <c r="T21" s="59">
        <f t="shared" si="34"/>
        <v>300.88511065995885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74.728902857142899</v>
      </c>
      <c r="AK21" s="13">
        <f t="shared" si="35"/>
        <v>20.843305655503205</v>
      </c>
      <c r="AL21" s="20">
        <f t="shared" si="4"/>
        <v>166.45492982619194</v>
      </c>
      <c r="AM21" s="59">
        <f t="shared" si="5"/>
        <v>378.22428301819502</v>
      </c>
      <c r="AN21" s="59">
        <f ca="1">AVERAGE(OFFSET($AM$3,0,0,'Données projet'!$E$10+1,1))-AVERAGE(OFFSET($H$3,0,0,'Données projet'!$E$10+1,1))</f>
        <v>752.45542076695506</v>
      </c>
      <c r="AO21" s="59">
        <f t="shared" si="36"/>
        <v>329.70629768420724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70.130201142857175</v>
      </c>
      <c r="BF21" s="13">
        <f t="shared" si="37"/>
        <v>19.705787606235543</v>
      </c>
      <c r="BG21" s="20">
        <f t="shared" si="7"/>
        <v>156.46434707133648</v>
      </c>
      <c r="BH21" s="59">
        <f t="shared" si="8"/>
        <v>368.23370026333959</v>
      </c>
      <c r="BI21" s="59">
        <f ca="1">AVERAGE(OFFSET($BH$3,0,0,'Données projet'!$E$11+1,1))-AVERAGE(OFFSET($H$3,0,0,'Données projet'!$E$11+1,1))</f>
        <v>711.91538686535682</v>
      </c>
      <c r="BJ21" s="59">
        <f t="shared" si="38"/>
        <v>313.24593837351722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4.0942857142857143</v>
      </c>
      <c r="BY21" s="12">
        <f>IF('Données projet'!$A$114&gt;35,BY20+BX21-CG20,IF(A21&lt;'Données projet'!$A$114,$BV$205^A21,IF(A21='Données projet'!$A$114,'Données projet'!$B$114,BY20+BX21-CG20)))</f>
        <v>73.697142857142893</v>
      </c>
      <c r="BZ21" s="13">
        <f>BY21*VLOOKUP('Données projet'!$B$12,Paramètres!$A$1:$I$89,3,0)*VLOOKUP('Données projet'!$B$12,Paramètres!$A$1:$I$89,5,0)</f>
        <v>71.279876571428602</v>
      </c>
      <c r="CA21" s="13">
        <f t="shared" si="39"/>
        <v>19.990960091690926</v>
      </c>
      <c r="CB21" s="20">
        <f t="shared" si="10"/>
        <v>158.96337385493317</v>
      </c>
      <c r="CC21" s="59">
        <f t="shared" si="11"/>
        <v>370.73272704693625</v>
      </c>
      <c r="CD21" s="59">
        <f ca="1">AVERAGE(OFFSET($CC$3,0,0,'Données projet'!$E$12+1,1))-AVERAGE(OFFSET($H$3,0,0,'Données projet'!$E$12+1,1))</f>
        <v>722.05521609092671</v>
      </c>
      <c r="CE21" s="59">
        <f t="shared" si="40"/>
        <v>317.36319714884644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4.0942857142857143</v>
      </c>
      <c r="CT21" s="12">
        <f>IF('Données projet'!$A$140&gt;35,CT20+CS21-DB20,IF(A21&lt;'Données projet'!$A$140,$CQ$205^A21,IF(A21='Données projet'!$A$140,'Données projet'!$B$140,CT20+CS21-DB20)))</f>
        <v>73.697142857142893</v>
      </c>
      <c r="CU21" s="17">
        <f>CT21*VLOOKUP('Données projet'!$B$13,Paramètres!$A$1:$I$89,3,0)*VLOOKUP('Données projet'!$B$13,Paramètres!$A$1:$I$89,5,0)</f>
        <v>79.327604571428608</v>
      </c>
      <c r="CV21" s="13">
        <f t="shared" si="41"/>
        <v>21.972699276920789</v>
      </c>
      <c r="CW21" s="20">
        <f t="shared" si="13"/>
        <v>176.43136253587519</v>
      </c>
      <c r="CX21" s="59">
        <f t="shared" si="14"/>
        <v>388.20071572787833</v>
      </c>
      <c r="CY21" s="59">
        <f ca="1">AVERAGE(OFFSET($CX$3,0,0,'Données projet'!$E$13+1,1))-AVERAGE(OFFSET($H$3,0,0,'Données projet'!$E$13+1,1))</f>
        <v>792.94606354161886</v>
      </c>
      <c r="CZ21" s="59">
        <f t="shared" si="42"/>
        <v>346.14443498270919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5.128205128205126</v>
      </c>
      <c r="DO21" s="12">
        <f>IF('Données projet'!$A$166&gt;35,DO20+DN21-DW20,IF(A21&lt;'Données projet'!$A$166,$DL$205^A21,IF(A21='Données projet'!$A$166,'Données projet'!$B$166,DO20+DN21-DW20)))</f>
        <v>45.512820512820504</v>
      </c>
      <c r="DP21" s="17">
        <f>DO21*VLOOKUP('Données projet'!$B$14,Paramètres!$A$1:$I$89,3,0)*VLOOKUP('Données projet'!$B$14,Paramètres!$A$1:$I$89,5,0)</f>
        <v>47.57</v>
      </c>
      <c r="DQ21" s="13">
        <f t="shared" si="43"/>
        <v>13.984393551590529</v>
      </c>
      <c r="DR21" s="20">
        <f t="shared" si="16"/>
        <v>107.20723543568683</v>
      </c>
      <c r="DS21" s="59">
        <f t="shared" si="17"/>
        <v>318.97658862768992</v>
      </c>
      <c r="DT21" s="59">
        <f ca="1">AVERAGE(OFFSET($DS$3,0,0,'Données projet'!$E$14+1,1))-AVERAGE(OFFSET($H$3,0,0,'Données projet'!$E$14+1,1))</f>
        <v>269.21114382490202</v>
      </c>
      <c r="DU21" s="59">
        <f t="shared" si="44"/>
        <v>233.07776944102309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4.0942857142857143</v>
      </c>
      <c r="FE21" s="12">
        <f>IF('Données projet'!$A$218&gt;35,FE20+FD21-FM20,IF(A21&lt;'Données projet'!$A$218,$FB$205^A21,IF(A21='Données projet'!$A$218,'Données projet'!$B$218,FE20+FD21-FM20)))</f>
        <v>73.697142857142893</v>
      </c>
      <c r="FF21" s="17">
        <f>FE21*VLOOKUP('Données projet'!$B$16,Paramètres!$A$1:$I$89,3,0)*VLOOKUP('Données projet'!$B$16,Paramètres!$A$1:$I$89,5,0)</f>
        <v>83.926306285714332</v>
      </c>
      <c r="FG21" s="13">
        <f t="shared" si="47"/>
        <v>23.094493108376184</v>
      </c>
      <c r="FH21" s="20">
        <f t="shared" si="22"/>
        <v>186.39455894470765</v>
      </c>
      <c r="FI21" s="59">
        <f t="shared" si="23"/>
        <v>398.16391213671079</v>
      </c>
      <c r="FJ21" s="59">
        <f ca="1">AVERAGE(OFFSET($FI$3,0,0,'Données projet'!$E$16+1,1))-AVERAGE(OFFSET($H$3,0,0,'Données projet'!$E$16+1,1))</f>
        <v>833.39050463936144</v>
      </c>
      <c r="FK21" s="59">
        <f t="shared" si="48"/>
        <v>362.56178526355507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371.17186197623124</v>
      </c>
      <c r="S22" s="59">
        <f ca="1">AVERAGE(OFFSET($R$3,0,0,'Données projet'!$E$9+1,1))-AVERAGE(OFFSET($H$3,0,0,'Données projet'!$E$9+1,1))</f>
        <v>681.47578137804555</v>
      </c>
      <c r="T22" s="59">
        <f t="shared" si="34"/>
        <v>300.88511065995885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78.880508571428621</v>
      </c>
      <c r="AK22" s="13">
        <f t="shared" si="35"/>
        <v>21.863238557926771</v>
      </c>
      <c r="AL22" s="20">
        <f t="shared" si="4"/>
        <v>175.462026250294</v>
      </c>
      <c r="AM22" s="59">
        <f t="shared" si="5"/>
        <v>389.6141204933175</v>
      </c>
      <c r="AN22" s="59">
        <f ca="1">AVERAGE(OFFSET($AM$3,0,0,'Données projet'!$E$10+1,1))-AVERAGE(OFFSET($H$3,0,0,'Données projet'!$E$10+1,1))</f>
        <v>752.45542076695506</v>
      </c>
      <c r="AO22" s="59">
        <f t="shared" si="36"/>
        <v>329.70629768420724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74.026323428571473</v>
      </c>
      <c r="BF22" s="13">
        <f t="shared" si="37"/>
        <v>20.670057932639512</v>
      </c>
      <c r="BG22" s="20">
        <f t="shared" si="7"/>
        <v>164.92953087077578</v>
      </c>
      <c r="BH22" s="59">
        <f t="shared" si="8"/>
        <v>379.0816251137993</v>
      </c>
      <c r="BI22" s="59">
        <f ca="1">AVERAGE(OFFSET($BH$3,0,0,'Données projet'!$E$11+1,1))-AVERAGE(OFFSET($H$3,0,0,'Données projet'!$E$11+1,1))</f>
        <v>711.91538686535682</v>
      </c>
      <c r="BJ22" s="59">
        <f t="shared" si="38"/>
        <v>313.24593837351722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4.0942857142857143</v>
      </c>
      <c r="BY22" s="12">
        <f>IF('Données projet'!$A$114&gt;35,BY21+BX22-CG21,IF(A22&lt;'Données projet'!$A$114,$BV$205^A22,IF(A22='Données projet'!$A$114,'Données projet'!$B$114,BY21+BX22-CG21)))</f>
        <v>77.791428571428611</v>
      </c>
      <c r="BZ22" s="13">
        <f>BY22*VLOOKUP('Données projet'!$B$12,Paramètres!$A$1:$I$89,3,0)*VLOOKUP('Données projet'!$B$12,Paramètres!$A$1:$I$89,5,0)</f>
        <v>75.23986971428576</v>
      </c>
      <c r="CA22" s="13">
        <f t="shared" si="39"/>
        <v>20.969184864936924</v>
      </c>
      <c r="CB22" s="20">
        <f t="shared" si="10"/>
        <v>167.56410339214617</v>
      </c>
      <c r="CC22" s="59">
        <f t="shared" si="11"/>
        <v>381.71619763516969</v>
      </c>
      <c r="CD22" s="59">
        <f ca="1">AVERAGE(OFFSET($CC$3,0,0,'Données projet'!$E$12+1,1))-AVERAGE(OFFSET($H$3,0,0,'Données projet'!$E$12+1,1))</f>
        <v>722.05521609092671</v>
      </c>
      <c r="CE22" s="59">
        <f t="shared" si="40"/>
        <v>317.36319714884644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4.0942857142857143</v>
      </c>
      <c r="CT22" s="12">
        <f>IF('Données projet'!$A$140&gt;35,CT21+CS22-DB21,IF(A22&lt;'Données projet'!$A$140,$CQ$205^A22,IF(A22='Données projet'!$A$140,'Données projet'!$B$140,CT21+CS22-DB21)))</f>
        <v>77.791428571428611</v>
      </c>
      <c r="CU22" s="17">
        <f>CT22*VLOOKUP('Données projet'!$B$13,Paramètres!$A$1:$I$89,3,0)*VLOOKUP('Données projet'!$B$13,Paramètres!$A$1:$I$89,5,0)</f>
        <v>83.734693714285754</v>
      </c>
      <c r="CV22" s="13">
        <f t="shared" si="41"/>
        <v>23.047897199841071</v>
      </c>
      <c r="CW22" s="20">
        <f t="shared" si="13"/>
        <v>185.97967917543755</v>
      </c>
      <c r="CX22" s="59">
        <f t="shared" si="14"/>
        <v>400.13177341846108</v>
      </c>
      <c r="CY22" s="59">
        <f ca="1">AVERAGE(OFFSET($CX$3,0,0,'Données projet'!$E$13+1,1))-AVERAGE(OFFSET($H$3,0,0,'Données projet'!$E$13+1,1))</f>
        <v>792.94606354161886</v>
      </c>
      <c r="CZ22" s="59">
        <f t="shared" si="42"/>
        <v>346.14443498270919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5.128205128205126</v>
      </c>
      <c r="DO22" s="12">
        <f>IF('Données projet'!$A$166&gt;35,DO21+DN22-DW21,IF(A22&lt;'Données projet'!$A$166,$DL$205^A22,IF(A22='Données projet'!$A$166,'Données projet'!$B$166,DO21+DN22-DW21)))</f>
        <v>50.641025641025628</v>
      </c>
      <c r="DP22" s="17">
        <f>DO22*VLOOKUP('Données projet'!$B$14,Paramètres!$A$1:$I$89,3,0)*VLOOKUP('Données projet'!$B$14,Paramètres!$A$1:$I$89,5,0)</f>
        <v>52.929999999999993</v>
      </c>
      <c r="DQ22" s="13">
        <f t="shared" si="43"/>
        <v>15.3679188437793</v>
      </c>
      <c r="DR22" s="20">
        <f t="shared" si="16"/>
        <v>118.9522086529156</v>
      </c>
      <c r="DS22" s="59">
        <f t="shared" si="17"/>
        <v>333.1043028959391</v>
      </c>
      <c r="DT22" s="59">
        <f ca="1">AVERAGE(OFFSET($DS$3,0,0,'Données projet'!$E$14+1,1))-AVERAGE(OFFSET($H$3,0,0,'Données projet'!$E$14+1,1))</f>
        <v>269.21114382490202</v>
      </c>
      <c r="DU22" s="59">
        <f t="shared" si="44"/>
        <v>233.07776944102309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4.0942857142857143</v>
      </c>
      <c r="FE22" s="12">
        <f>IF('Données projet'!$A$218&gt;35,FE21+FD22-FM21,IF(A22&lt;'Données projet'!$A$218,$FB$205^A22,IF(A22='Données projet'!$A$218,'Données projet'!$B$218,FE21+FD22-FM21)))</f>
        <v>77.791428571428611</v>
      </c>
      <c r="FF22" s="17">
        <f>FE22*VLOOKUP('Données projet'!$B$16,Paramètres!$A$1:$I$89,3,0)*VLOOKUP('Données projet'!$B$16,Paramètres!$A$1:$I$89,5,0)</f>
        <v>88.588878857142902</v>
      </c>
      <c r="FG22" s="13">
        <f t="shared" si="47"/>
        <v>24.224584168563062</v>
      </c>
      <c r="FH22" s="20">
        <f t="shared" si="22"/>
        <v>196.48344810310456</v>
      </c>
      <c r="FI22" s="59">
        <f t="shared" si="23"/>
        <v>410.63554234612809</v>
      </c>
      <c r="FJ22" s="59">
        <f ca="1">AVERAGE(OFFSET($FI$3,0,0,'Données projet'!$E$16+1,1))-AVERAGE(OFFSET($H$3,0,0,'Données projet'!$E$16+1,1))</f>
        <v>833.39050463936144</v>
      </c>
      <c r="FK22" s="59">
        <f t="shared" si="48"/>
        <v>362.56178526355507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381.58292011934685</v>
      </c>
      <c r="S23" s="59">
        <f ca="1">AVERAGE(OFFSET($R$3,0,0,'Données projet'!$E$9+1,1))-AVERAGE(OFFSET($H$3,0,0,'Données projet'!$E$9+1,1))</f>
        <v>681.47578137804555</v>
      </c>
      <c r="T23" s="59">
        <f t="shared" si="34"/>
        <v>300.88511065995885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83.032114285714343</v>
      </c>
      <c r="AK23" s="13">
        <f t="shared" si="35"/>
        <v>22.876939092662138</v>
      </c>
      <c r="AL23" s="20">
        <f t="shared" si="4"/>
        <v>184.45826796733903</v>
      </c>
      <c r="AM23" s="59">
        <f t="shared" si="5"/>
        <v>400.97297085423475</v>
      </c>
      <c r="AN23" s="59">
        <f ca="1">AVERAGE(OFFSET($AM$3,0,0,'Données projet'!$E$10+1,1))-AVERAGE(OFFSET($H$3,0,0,'Données projet'!$E$10+1,1))</f>
        <v>752.45542076695506</v>
      </c>
      <c r="AO23" s="59">
        <f t="shared" si="36"/>
        <v>329.70629768420724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77.922445714285757</v>
      </c>
      <c r="BF23" s="13">
        <f t="shared" si="37"/>
        <v>21.628436021220121</v>
      </c>
      <c r="BG23" s="20">
        <f t="shared" si="7"/>
        <v>173.38445235600605</v>
      </c>
      <c r="BH23" s="59">
        <f t="shared" si="8"/>
        <v>389.89915524290177</v>
      </c>
      <c r="BI23" s="59">
        <f ca="1">AVERAGE(OFFSET($BH$3,0,0,'Données projet'!$E$11+1,1))-AVERAGE(OFFSET($H$3,0,0,'Données projet'!$E$11+1,1))</f>
        <v>711.91538686535682</v>
      </c>
      <c r="BJ23" s="59">
        <f t="shared" si="38"/>
        <v>313.24593837351722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4.0942857142857143</v>
      </c>
      <c r="BY23" s="12">
        <f>IF('Données projet'!$A$114&gt;35,BY22+BX23-CG22,IF(A23&lt;'Données projet'!$A$114,$BV$205^A23,IF(A23='Données projet'!$A$114,'Données projet'!$B$114,BY22+BX23-CG22)))</f>
        <v>81.885714285714329</v>
      </c>
      <c r="BZ23" s="13">
        <f>BY23*VLOOKUP('Données projet'!$B$12,Paramètres!$A$1:$I$89,3,0)*VLOOKUP('Données projet'!$B$12,Paramètres!$A$1:$I$89,5,0)</f>
        <v>79.199862857142904</v>
      </c>
      <c r="CA23" s="13">
        <f t="shared" si="39"/>
        <v>21.941432130786055</v>
      </c>
      <c r="CB23" s="20">
        <f t="shared" si="10"/>
        <v>176.15442210397626</v>
      </c>
      <c r="CC23" s="59">
        <f t="shared" si="11"/>
        <v>392.66912499087198</v>
      </c>
      <c r="CD23" s="59">
        <f ca="1">AVERAGE(OFFSET($CC$3,0,0,'Données projet'!$E$12+1,1))-AVERAGE(OFFSET($H$3,0,0,'Données projet'!$E$12+1,1))</f>
        <v>722.05521609092671</v>
      </c>
      <c r="CE23" s="59">
        <f t="shared" si="40"/>
        <v>317.36319714884644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4.0942857142857143</v>
      </c>
      <c r="CT23" s="12">
        <f>IF('Données projet'!$A$140&gt;35,CT22+CS23-DB22,IF(A23&lt;'Données projet'!$A$140,$CQ$205^A23,IF(A23='Données projet'!$A$140,'Données projet'!$B$140,CT22+CS23-DB22)))</f>
        <v>81.885714285714329</v>
      </c>
      <c r="CU23" s="17">
        <f>CT23*VLOOKUP('Données projet'!$B$13,Paramètres!$A$1:$I$89,3,0)*VLOOKUP('Données projet'!$B$13,Paramètres!$A$1:$I$89,5,0)</f>
        <v>88.1417828571429</v>
      </c>
      <c r="CV23" s="13">
        <f t="shared" si="41"/>
        <v>24.11652505449776</v>
      </c>
      <c r="CW23" s="20">
        <f t="shared" si="13"/>
        <v>195.51655294610748</v>
      </c>
      <c r="CX23" s="59">
        <f t="shared" si="14"/>
        <v>412.03125583300323</v>
      </c>
      <c r="CY23" s="59">
        <f ca="1">AVERAGE(OFFSET($CX$3,0,0,'Données projet'!$E$13+1,1))-AVERAGE(OFFSET($H$3,0,0,'Données projet'!$E$13+1,1))</f>
        <v>792.94606354161886</v>
      </c>
      <c r="CZ23" s="59">
        <f t="shared" si="42"/>
        <v>346.14443498270919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55.769230769230759</v>
      </c>
      <c r="DM23" s="12">
        <f>VLOOKUP(A23,'Données projet'!$A$165:$I$185,9,0)</f>
        <v>5.128205128205126</v>
      </c>
      <c r="DN23" s="12">
        <f t="array" ref="DN23">INDEX(DM:DM,MIN(IF(ISNUMBER(DM23:DM219),ROW(DM23:DM219),"")))</f>
        <v>5.128205128205126</v>
      </c>
      <c r="DO23" s="12">
        <f>IF('Données projet'!$A$166&gt;35,DO22+DN23-DW22,IF(A23&lt;'Données projet'!$A$166,$DL$205^A23,IF(A23='Données projet'!$A$166,'Données projet'!$B$166,DO22+DN23-DW22)))</f>
        <v>55.769230769230752</v>
      </c>
      <c r="DP23" s="17">
        <f>DO23*VLOOKUP('Données projet'!$B$14,Paramètres!$A$1:$I$89,3,0)*VLOOKUP('Données projet'!$B$14,Paramètres!$A$1:$I$89,5,0)</f>
        <v>58.289999999999985</v>
      </c>
      <c r="DQ23" s="13">
        <f t="shared" si="43"/>
        <v>16.735202513714196</v>
      </c>
      <c r="DR23" s="20">
        <f t="shared" si="16"/>
        <v>130.66889437805216</v>
      </c>
      <c r="DS23" s="59">
        <f t="shared" si="17"/>
        <v>347.18359726494788</v>
      </c>
      <c r="DT23" s="59">
        <f ca="1">AVERAGE(OFFSET($DS$3,0,0,'Données projet'!$E$14+1,1))-AVERAGE(OFFSET($H$3,0,0,'Données projet'!$E$14+1,1))</f>
        <v>269.21114382490202</v>
      </c>
      <c r="DU23" s="59">
        <f t="shared" si="44"/>
        <v>233.07776944102309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18.589743589743588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0.215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4.5998642253939837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4.5998642253939837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4.0942857142857143</v>
      </c>
      <c r="FE23" s="12">
        <f>IF('Données projet'!$A$218&gt;35,FE22+FD23-FM22,IF(A23&lt;'Données projet'!$A$218,$FB$205^A23,IF(A23='Données projet'!$A$218,'Données projet'!$B$218,FE22+FD23-FM22)))</f>
        <v>81.885714285714329</v>
      </c>
      <c r="FF23" s="17">
        <f>FE23*VLOOKUP('Données projet'!$B$16,Paramètres!$A$1:$I$89,3,0)*VLOOKUP('Données projet'!$B$16,Paramètres!$A$1:$I$89,5,0)</f>
        <v>93.251451428571471</v>
      </c>
      <c r="FG23" s="13">
        <f t="shared" si="47"/>
        <v>25.347769732328111</v>
      </c>
      <c r="FH23" s="20">
        <f t="shared" si="22"/>
        <v>206.56031018856677</v>
      </c>
      <c r="FI23" s="59">
        <f t="shared" si="23"/>
        <v>423.07501307546249</v>
      </c>
      <c r="FJ23" s="59">
        <f ca="1">AVERAGE(OFFSET($FI$3,0,0,'Données projet'!$E$16+1,1))-AVERAGE(OFFSET($H$3,0,0,'Données projet'!$E$16+1,1))</f>
        <v>833.39050463936144</v>
      </c>
      <c r="FK23" s="59">
        <f t="shared" si="48"/>
        <v>362.56178526355507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391.96492680211463</v>
      </c>
      <c r="S24" s="59">
        <f ca="1">AVERAGE(OFFSET($R$3,0,0,'Données projet'!$E$9+1,1))-AVERAGE(OFFSET($H$3,0,0,'Données projet'!$E$9+1,1))</f>
        <v>681.47578137804555</v>
      </c>
      <c r="T24" s="59">
        <f t="shared" si="34"/>
        <v>300.88511065995885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87.183720000000051</v>
      </c>
      <c r="AK24" s="13">
        <f t="shared" si="35"/>
        <v>23.884754436357664</v>
      </c>
      <c r="AL24" s="20">
        <f t="shared" si="4"/>
        <v>193.44425964332299</v>
      </c>
      <c r="AM24" s="59">
        <f t="shared" si="5"/>
        <v>412.30178801919737</v>
      </c>
      <c r="AN24" s="59">
        <f ca="1">AVERAGE(OFFSET($AM$3,0,0,'Données projet'!$E$10+1,1))-AVERAGE(OFFSET($H$3,0,0,'Données projet'!$E$10+1,1))</f>
        <v>752.45542076695506</v>
      </c>
      <c r="AO24" s="59">
        <f t="shared" si="36"/>
        <v>329.70629768420724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81.818568000000042</v>
      </c>
      <c r="BF24" s="13">
        <f t="shared" si="37"/>
        <v>22.581250101549351</v>
      </c>
      <c r="BG24" s="20">
        <f t="shared" si="7"/>
        <v>181.82968319353185</v>
      </c>
      <c r="BH24" s="59">
        <f t="shared" si="8"/>
        <v>400.68721156940626</v>
      </c>
      <c r="BI24" s="59">
        <f ca="1">AVERAGE(OFFSET($BH$3,0,0,'Données projet'!$E$11+1,1))-AVERAGE(OFFSET($H$3,0,0,'Données projet'!$E$11+1,1))</f>
        <v>711.91538686535682</v>
      </c>
      <c r="BJ24" s="59">
        <f t="shared" si="38"/>
        <v>313.24593837351722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4.0942857142857143</v>
      </c>
      <c r="BY24" s="12">
        <f>IF('Données projet'!$A$114&gt;35,BY23+BX24-CG23,IF(A24&lt;'Données projet'!$A$114,$BV$205^A24,IF(A24='Données projet'!$A$114,'Données projet'!$B$114,BY23+BX24-CG23)))</f>
        <v>85.980000000000047</v>
      </c>
      <c r="BZ24" s="13">
        <f>BY24*VLOOKUP('Données projet'!$B$12,Paramètres!$A$1:$I$89,3,0)*VLOOKUP('Données projet'!$B$12,Paramètres!$A$1:$I$89,5,0)</f>
        <v>83.159856000000048</v>
      </c>
      <c r="CA24" s="13">
        <f t="shared" si="39"/>
        <v>22.908034868787531</v>
      </c>
      <c r="CB24" s="20">
        <f t="shared" si="10"/>
        <v>184.73490992980501</v>
      </c>
      <c r="CC24" s="59">
        <f t="shared" si="11"/>
        <v>403.59243830567937</v>
      </c>
      <c r="CD24" s="59">
        <f ca="1">AVERAGE(OFFSET($CC$3,0,0,'Données projet'!$E$12+1,1))-AVERAGE(OFFSET($H$3,0,0,'Données projet'!$E$12+1,1))</f>
        <v>722.05521609092671</v>
      </c>
      <c r="CE24" s="59">
        <f t="shared" si="40"/>
        <v>317.36319714884644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4.0942857142857143</v>
      </c>
      <c r="CT24" s="12">
        <f>IF('Données projet'!$A$140&gt;35,CT23+CS24-DB23,IF(A24&lt;'Données projet'!$A$140,$CQ$205^A24,IF(A24='Données projet'!$A$140,'Données projet'!$B$140,CT23+CS24-DB23)))</f>
        <v>85.980000000000047</v>
      </c>
      <c r="CU24" s="17">
        <f>CT24*VLOOKUP('Données projet'!$B$13,Paramètres!$A$1:$I$89,3,0)*VLOOKUP('Données projet'!$B$13,Paramètres!$A$1:$I$89,5,0)</f>
        <v>92.548872000000046</v>
      </c>
      <c r="CV24" s="13">
        <f t="shared" si="41"/>
        <v>25.17894882929097</v>
      </c>
      <c r="CW24" s="20">
        <f t="shared" si="13"/>
        <v>205.04262127768183</v>
      </c>
      <c r="CX24" s="59">
        <f t="shared" si="14"/>
        <v>423.90014965355624</v>
      </c>
      <c r="CY24" s="59">
        <f ca="1">AVERAGE(OFFSET($CX$3,0,0,'Données projet'!$E$13+1,1))-AVERAGE(OFFSET($H$3,0,0,'Données projet'!$E$13+1,1))</f>
        <v>792.94606354161886</v>
      </c>
      <c r="CZ24" s="59">
        <f t="shared" si="42"/>
        <v>346.14443498270919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5.1282051282051295</v>
      </c>
      <c r="DO24" s="12">
        <f>IF('Données projet'!$A$166&gt;35,DO23+DN24-DW23,IF(A24&lt;'Données projet'!$A$166,$DL$205^A24,IF(A24='Données projet'!$A$166,'Données projet'!$B$166,DO23+DN24-DW23)))</f>
        <v>42.307692307692292</v>
      </c>
      <c r="DP24" s="17">
        <f>DO24*VLOOKUP('Données projet'!$B$14,Paramètres!$A$1:$I$89,3,0)*VLOOKUP('Données projet'!$B$14,Paramètres!$A$1:$I$89,5,0)</f>
        <v>44.219999999999985</v>
      </c>
      <c r="DQ24" s="13">
        <f t="shared" si="43"/>
        <v>13.110546100999768</v>
      </c>
      <c r="DR24" s="20">
        <f t="shared" si="16"/>
        <v>99.850701125907904</v>
      </c>
      <c r="DS24" s="59">
        <f t="shared" si="17"/>
        <v>318.70822950178228</v>
      </c>
      <c r="DT24" s="59">
        <f ca="1">AVERAGE(OFFSET($DS$3,0,0,'Données projet'!$E$14+1,1))-AVERAGE(OFFSET($H$3,0,0,'Données projet'!$E$14+1,1))</f>
        <v>269.21114382490202</v>
      </c>
      <c r="DU24" s="59">
        <f t="shared" si="44"/>
        <v>233.07776944102309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4.474080696254239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4.474080696254239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4.0942857142857143</v>
      </c>
      <c r="FE24" s="12">
        <f>IF('Données projet'!$A$218&gt;35,FE23+FD24-FM23,IF(A24&lt;'Données projet'!$A$218,$FB$205^A24,IF(A24='Données projet'!$A$218,'Données projet'!$B$218,FE23+FD24-FM23)))</f>
        <v>85.980000000000047</v>
      </c>
      <c r="FF24" s="17">
        <f>FE24*VLOOKUP('Données projet'!$B$16,Paramètres!$A$1:$I$89,3,0)*VLOOKUP('Données projet'!$B$16,Paramètres!$A$1:$I$89,5,0)</f>
        <v>97.914024000000055</v>
      </c>
      <c r="FG24" s="13">
        <f t="shared" si="47"/>
        <v>26.464434473237247</v>
      </c>
      <c r="FH24" s="20">
        <f t="shared" si="22"/>
        <v>216.62581517422163</v>
      </c>
      <c r="FI24" s="59">
        <f t="shared" si="23"/>
        <v>435.48334355009604</v>
      </c>
      <c r="FJ24" s="59">
        <f ca="1">AVERAGE(OFFSET($FI$3,0,0,'Données projet'!$E$16+1,1))-AVERAGE(OFFSET($H$3,0,0,'Données projet'!$E$16+1,1))</f>
        <v>833.39050463936144</v>
      </c>
      <c r="FK24" s="59">
        <f t="shared" si="48"/>
        <v>362.56178526355507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402.3187169559705</v>
      </c>
      <c r="S25" s="59">
        <f ca="1">AVERAGE(OFFSET($R$3,0,0,'Données projet'!$E$9+1,1))-AVERAGE(OFFSET($H$3,0,0,'Données projet'!$E$9+1,1))</f>
        <v>681.47578137804555</v>
      </c>
      <c r="T25" s="59">
        <f t="shared" si="34"/>
        <v>300.88511065995885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91.335325714285773</v>
      </c>
      <c r="AK25" s="13">
        <f t="shared" si="35"/>
        <v>24.886996832891736</v>
      </c>
      <c r="AL25" s="20">
        <f t="shared" si="4"/>
        <v>202.42054510300082</v>
      </c>
      <c r="AM25" s="59">
        <f t="shared" si="5"/>
        <v>423.60145900646921</v>
      </c>
      <c r="AN25" s="59">
        <f ca="1">AVERAGE(OFFSET($AM$3,0,0,'Données projet'!$E$10+1,1))-AVERAGE(OFFSET($H$3,0,0,'Données projet'!$E$10+1,1))</f>
        <v>752.45542076695506</v>
      </c>
      <c r="AO25" s="59">
        <f t="shared" si="36"/>
        <v>329.70629768420724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85.71469028571434</v>
      </c>
      <c r="BF25" s="13">
        <f t="shared" si="37"/>
        <v>23.528795376876193</v>
      </c>
      <c r="BG25" s="20">
        <f t="shared" si="7"/>
        <v>190.26573752901183</v>
      </c>
      <c r="BH25" s="59">
        <f t="shared" si="8"/>
        <v>411.44665143248022</v>
      </c>
      <c r="BI25" s="59">
        <f ca="1">AVERAGE(OFFSET($BH$3,0,0,'Données projet'!$E$11+1,1))-AVERAGE(OFFSET($H$3,0,0,'Données projet'!$E$11+1,1))</f>
        <v>711.91538686535682</v>
      </c>
      <c r="BJ25" s="59">
        <f t="shared" si="38"/>
        <v>313.24593837351722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4.0942857142857143</v>
      </c>
      <c r="BY25" s="12">
        <f>IF('Données projet'!$A$114&gt;35,BY24+BX25-CG24,IF(A25&lt;'Données projet'!$A$114,$BV$205^A25,IF(A25='Données projet'!$A$114,'Données projet'!$B$114,BY24+BX25-CG24)))</f>
        <v>90.074285714285764</v>
      </c>
      <c r="BZ25" s="13">
        <f>BY25*VLOOKUP('Données projet'!$B$12,Paramètres!$A$1:$I$89,3,0)*VLOOKUP('Données projet'!$B$12,Paramètres!$A$1:$I$89,5,0)</f>
        <v>87.119849142857205</v>
      </c>
      <c r="CA25" s="13">
        <f t="shared" si="39"/>
        <v>23.86929255422686</v>
      </c>
      <c r="CB25" s="20">
        <f t="shared" si="10"/>
        <v>193.30608845575475</v>
      </c>
      <c r="CC25" s="59">
        <f t="shared" si="11"/>
        <v>414.48700235922314</v>
      </c>
      <c r="CD25" s="59">
        <f ca="1">AVERAGE(OFFSET($CC$3,0,0,'Données projet'!$E$12+1,1))-AVERAGE(OFFSET($H$3,0,0,'Données projet'!$E$12+1,1))</f>
        <v>722.05521609092671</v>
      </c>
      <c r="CE25" s="59">
        <f t="shared" si="40"/>
        <v>317.36319714884644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4.0942857142857143</v>
      </c>
      <c r="CT25" s="12">
        <f>IF('Données projet'!$A$140&gt;35,CT24+CS25-DB24,IF(A25&lt;'Données projet'!$A$140,$CQ$205^A25,IF(A25='Données projet'!$A$140,'Données projet'!$B$140,CT24+CS25-DB24)))</f>
        <v>90.074285714285764</v>
      </c>
      <c r="CU25" s="17">
        <f>CT25*VLOOKUP('Données projet'!$B$13,Paramètres!$A$1:$I$89,3,0)*VLOOKUP('Données projet'!$B$13,Paramètres!$A$1:$I$89,5,0)</f>
        <v>96.955961142857191</v>
      </c>
      <c r="CV25" s="13">
        <f t="shared" si="41"/>
        <v>26.235497687020231</v>
      </c>
      <c r="CW25" s="20">
        <f t="shared" si="13"/>
        <v>214.5584574620365</v>
      </c>
      <c r="CX25" s="59">
        <f t="shared" si="14"/>
        <v>435.73937136550489</v>
      </c>
      <c r="CY25" s="59">
        <f ca="1">AVERAGE(OFFSET($CX$3,0,0,'Données projet'!$E$13+1,1))-AVERAGE(OFFSET($H$3,0,0,'Données projet'!$E$13+1,1))</f>
        <v>792.94606354161886</v>
      </c>
      <c r="CZ25" s="59">
        <f t="shared" si="42"/>
        <v>346.14443498270919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5.1282051282051295</v>
      </c>
      <c r="DO25" s="12">
        <f>IF('Données projet'!$A$166&gt;35,DO24+DN25-DW24,IF(A25&lt;'Données projet'!$A$166,$DL$205^A25,IF(A25='Données projet'!$A$166,'Données projet'!$B$166,DO24+DN25-DW24)))</f>
        <v>47.435897435897424</v>
      </c>
      <c r="DP25" s="17">
        <f>DO25*VLOOKUP('Données projet'!$B$14,Paramètres!$A$1:$I$89,3,0)*VLOOKUP('Données projet'!$B$14,Paramètres!$A$1:$I$89,5,0)</f>
        <v>49.579999999999991</v>
      </c>
      <c r="DQ25" s="13">
        <f t="shared" si="43"/>
        <v>14.505239638165149</v>
      </c>
      <c r="DR25" s="20">
        <f t="shared" si="16"/>
        <v>111.61512570313761</v>
      </c>
      <c r="DS25" s="59">
        <f t="shared" si="17"/>
        <v>332.79603960660597</v>
      </c>
      <c r="DT25" s="59">
        <f ca="1">AVERAGE(OFFSET($DS$3,0,0,'Données projet'!$E$14+1,1))-AVERAGE(OFFSET($H$3,0,0,'Données projet'!$E$14+1,1))</f>
        <v>269.21114382490202</v>
      </c>
      <c r="DU25" s="59">
        <f t="shared" si="44"/>
        <v>233.07776944102309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4.351736724333489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4.351736724333489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4.0942857142857143</v>
      </c>
      <c r="FE25" s="12">
        <f>IF('Données projet'!$A$218&gt;35,FE24+FD25-FM24,IF(A25&lt;'Données projet'!$A$218,$FB$205^A25,IF(A25='Données projet'!$A$218,'Données projet'!$B$218,FE24+FD25-FM24)))</f>
        <v>90.074285714285764</v>
      </c>
      <c r="FF25" s="17">
        <f>FE25*VLOOKUP('Données projet'!$B$16,Paramètres!$A$1:$I$89,3,0)*VLOOKUP('Données projet'!$B$16,Paramètres!$A$1:$I$89,5,0)</f>
        <v>102.57659657142864</v>
      </c>
      <c r="FG25" s="13">
        <f t="shared" si="47"/>
        <v>27.574924359162182</v>
      </c>
      <c r="FH25" s="20">
        <f t="shared" si="22"/>
        <v>226.68056562077902</v>
      </c>
      <c r="FI25" s="59">
        <f t="shared" si="23"/>
        <v>447.86147952424744</v>
      </c>
      <c r="FJ25" s="59">
        <f ca="1">AVERAGE(OFFSET($FI$3,0,0,'Données projet'!$E$16+1,1))-AVERAGE(OFFSET($H$3,0,0,'Données projet'!$E$16+1,1))</f>
        <v>833.39050463936144</v>
      </c>
      <c r="FK25" s="59">
        <f t="shared" si="48"/>
        <v>362.56178526355507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412.64507232834274</v>
      </c>
      <c r="S26" s="59">
        <f ca="1">AVERAGE(OFFSET($R$3,0,0,'Données projet'!$E$9+1,1))-AVERAGE(OFFSET($H$3,0,0,'Données projet'!$E$9+1,1))</f>
        <v>681.47578137804555</v>
      </c>
      <c r="T26" s="59">
        <f t="shared" si="34"/>
        <v>300.88511065995885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95.486931428571495</v>
      </c>
      <c r="AK26" s="13">
        <f t="shared" si="35"/>
        <v>25.883948535791781</v>
      </c>
      <c r="AL26" s="20">
        <f t="shared" si="4"/>
        <v>211.38761593793268</v>
      </c>
      <c r="AM26" s="59">
        <f t="shared" si="5"/>
        <v>434.87281264747918</v>
      </c>
      <c r="AN26" s="59">
        <f ca="1">AVERAGE(OFFSET($AM$3,0,0,'Données projet'!$E$10+1,1))-AVERAGE(OFFSET($H$3,0,0,'Données projet'!$E$10+1,1))</f>
        <v>752.45542076695506</v>
      </c>
      <c r="AO26" s="59">
        <f t="shared" si="36"/>
        <v>329.70629768420724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89.610812571428625</v>
      </c>
      <c r="BF26" s="13">
        <f t="shared" si="37"/>
        <v>24.471338696814321</v>
      </c>
      <c r="BG26" s="20">
        <f t="shared" si="7"/>
        <v>198.69308012552312</v>
      </c>
      <c r="BH26" s="59">
        <f t="shared" si="8"/>
        <v>422.1782768350696</v>
      </c>
      <c r="BI26" s="59">
        <f ca="1">AVERAGE(OFFSET($BH$3,0,0,'Données projet'!$E$11+1,1))-AVERAGE(OFFSET($H$3,0,0,'Données projet'!$E$11+1,1))</f>
        <v>711.91538686535682</v>
      </c>
      <c r="BJ26" s="59">
        <f t="shared" si="38"/>
        <v>313.24593837351722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4.0942857142857143</v>
      </c>
      <c r="BY26" s="12">
        <f>IF('Données projet'!$A$114&gt;35,BY25+BX26-CG25,IF(A26&lt;'Données projet'!$A$114,$BV$205^A26,IF(A26='Données projet'!$A$114,'Données projet'!$B$114,BY25+BX26-CG25)))</f>
        <v>94.168571428571482</v>
      </c>
      <c r="BZ26" s="13">
        <f>BY26*VLOOKUP('Données projet'!$B$12,Paramètres!$A$1:$I$89,3,0)*VLOOKUP('Données projet'!$B$12,Paramètres!$A$1:$I$89,5,0)</f>
        <v>91.079842285714335</v>
      </c>
      <c r="CA26" s="13">
        <f t="shared" si="39"/>
        <v>24.825475898434359</v>
      </c>
      <c r="CB26" s="20">
        <f t="shared" si="10"/>
        <v>201.86842917072565</v>
      </c>
      <c r="CC26" s="59">
        <f t="shared" si="11"/>
        <v>425.35362588027215</v>
      </c>
      <c r="CD26" s="59">
        <f ca="1">AVERAGE(OFFSET($CC$3,0,0,'Données projet'!$E$12+1,1))-AVERAGE(OFFSET($H$3,0,0,'Données projet'!$E$12+1,1))</f>
        <v>722.05521609092671</v>
      </c>
      <c r="CE26" s="59">
        <f t="shared" si="40"/>
        <v>317.36319714884644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4.0942857142857143</v>
      </c>
      <c r="CT26" s="12">
        <f>IF('Données projet'!$A$140&gt;35,CT25+CS26-DB25,IF(A26&lt;'Données projet'!$A$140,$CQ$205^A26,IF(A26='Données projet'!$A$140,'Données projet'!$B$140,CT25+CS26-DB25)))</f>
        <v>94.168571428571482</v>
      </c>
      <c r="CU26" s="17">
        <f>CT26*VLOOKUP('Données projet'!$B$13,Paramètres!$A$1:$I$89,3,0)*VLOOKUP('Données projet'!$B$13,Paramètres!$A$1:$I$89,5,0)</f>
        <v>101.36305028571435</v>
      </c>
      <c r="CV26" s="13">
        <f t="shared" si="41"/>
        <v>27.286469175108234</v>
      </c>
      <c r="CW26" s="20">
        <f t="shared" si="13"/>
        <v>224.06457972759929</v>
      </c>
      <c r="CX26" s="59">
        <f t="shared" si="14"/>
        <v>447.54977643714579</v>
      </c>
      <c r="CY26" s="59">
        <f ca="1">AVERAGE(OFFSET($CX$3,0,0,'Données projet'!$E$13+1,1))-AVERAGE(OFFSET($H$3,0,0,'Données projet'!$E$13+1,1))</f>
        <v>792.94606354161886</v>
      </c>
      <c r="CZ26" s="59">
        <f t="shared" si="42"/>
        <v>346.14443498270919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5.1282051282051295</v>
      </c>
      <c r="DO26" s="12">
        <f>IF('Données projet'!$A$166&gt;35,DO25+DN26-DW25,IF(A26&lt;'Données projet'!$A$166,$DL$205^A26,IF(A26='Données projet'!$A$166,'Données projet'!$B$166,DO25+DN26-DW25)))</f>
        <v>52.564102564102555</v>
      </c>
      <c r="DP26" s="17">
        <f>DO26*VLOOKUP('Données projet'!$B$14,Paramètres!$A$1:$I$89,3,0)*VLOOKUP('Données projet'!$B$14,Paramètres!$A$1:$I$89,5,0)</f>
        <v>54.94</v>
      </c>
      <c r="DQ26" s="13">
        <f t="shared" si="43"/>
        <v>15.88245671832347</v>
      </c>
      <c r="DR26" s="20">
        <f t="shared" si="16"/>
        <v>123.3491121177467</v>
      </c>
      <c r="DS26" s="59">
        <f t="shared" si="17"/>
        <v>346.83430882729317</v>
      </c>
      <c r="DT26" s="59">
        <f ca="1">AVERAGE(OFFSET($DS$3,0,0,'Données projet'!$E$14+1,1))-AVERAGE(OFFSET($H$3,0,0,'Données projet'!$E$14+1,1))</f>
        <v>269.21114382490202</v>
      </c>
      <c r="DU26" s="59">
        <f t="shared" si="44"/>
        <v>233.07776944102309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4.2327382547587016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4.2327382547587016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4.0942857142857143</v>
      </c>
      <c r="FE26" s="12">
        <f>IF('Données projet'!$A$218&gt;35,FE25+FD26-FM25,IF(A26&lt;'Données projet'!$A$218,$FB$205^A26,IF(A26='Données projet'!$A$218,'Données projet'!$B$218,FE25+FD26-FM25)))</f>
        <v>94.168571428571482</v>
      </c>
      <c r="FF26" s="17">
        <f>FE26*VLOOKUP('Données projet'!$B$16,Paramètres!$A$1:$I$89,3,0)*VLOOKUP('Données projet'!$B$16,Paramètres!$A$1:$I$89,5,0)</f>
        <v>107.23916914285721</v>
      </c>
      <c r="FG26" s="13">
        <f t="shared" si="47"/>
        <v>28.679552128506916</v>
      </c>
      <c r="FH26" s="20">
        <f t="shared" si="22"/>
        <v>236.72510621429251</v>
      </c>
      <c r="FI26" s="59">
        <f t="shared" si="23"/>
        <v>460.21030292383898</v>
      </c>
      <c r="FJ26" s="59">
        <f ca="1">AVERAGE(OFFSET($FI$3,0,0,'Données projet'!$E$16+1,1))-AVERAGE(OFFSET($H$3,0,0,'Données projet'!$E$16+1,1))</f>
        <v>833.39050463936144</v>
      </c>
      <c r="FK26" s="59">
        <f t="shared" si="48"/>
        <v>362.56178526355507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422.94472797765172</v>
      </c>
      <c r="S27" s="59">
        <f ca="1">AVERAGE(OFFSET($R$3,0,0,'Données projet'!$E$9+1,1))-AVERAGE(OFFSET($H$3,0,0,'Données projet'!$E$9+1,1))</f>
        <v>681.47578137804555</v>
      </c>
      <c r="T27" s="59">
        <f t="shared" si="34"/>
        <v>300.88511065995885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99.638537142857203</v>
      </c>
      <c r="AK27" s="13">
        <f t="shared" si="35"/>
        <v>26.875865866848134</v>
      </c>
      <c r="AL27" s="20">
        <f t="shared" si="4"/>
        <v>220.34591857523677</v>
      </c>
      <c r="AM27" s="59">
        <f t="shared" si="5"/>
        <v>446.11662675885657</v>
      </c>
      <c r="AN27" s="59">
        <f ca="1">AVERAGE(OFFSET($AM$3,0,0,'Données projet'!$E$10+1,1))-AVERAGE(OFFSET($H$3,0,0,'Données projet'!$E$10+1,1))</f>
        <v>752.45542076695506</v>
      </c>
      <c r="AO27" s="59">
        <f t="shared" si="36"/>
        <v>329.70629768420724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93.506934857142909</v>
      </c>
      <c r="BF27" s="13">
        <f t="shared" si="37"/>
        <v>25.409122394458233</v>
      </c>
      <c r="BG27" s="20">
        <f t="shared" si="7"/>
        <v>207.11213304653862</v>
      </c>
      <c r="BH27" s="59">
        <f t="shared" si="8"/>
        <v>432.88284123015842</v>
      </c>
      <c r="BI27" s="59">
        <f ca="1">AVERAGE(OFFSET($BH$3,0,0,'Données projet'!$E$11+1,1))-AVERAGE(OFFSET($H$3,0,0,'Données projet'!$E$11+1,1))</f>
        <v>711.91538686535682</v>
      </c>
      <c r="BJ27" s="59">
        <f t="shared" si="38"/>
        <v>313.24593837351722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4.0942857142857143</v>
      </c>
      <c r="BY27" s="12">
        <f>IF('Données projet'!$A$114&gt;35,BY26+BX27-CG26,IF(A27&lt;'Données projet'!$A$114,$BV$205^A27,IF(A27='Données projet'!$A$114,'Données projet'!$B$114,BY26+BX27-CG26)))</f>
        <v>98.2628571428572</v>
      </c>
      <c r="BZ27" s="13">
        <f>BY27*VLOOKUP('Données projet'!$B$12,Paramètres!$A$1:$I$89,3,0)*VLOOKUP('Données projet'!$B$12,Paramètres!$A$1:$I$89,5,0)</f>
        <v>95.039835428571493</v>
      </c>
      <c r="CA27" s="13">
        <f t="shared" si="39"/>
        <v>25.776830741430107</v>
      </c>
      <c r="CB27" s="20">
        <f t="shared" si="10"/>
        <v>210.4223602460861</v>
      </c>
      <c r="CC27" s="59">
        <f t="shared" si="11"/>
        <v>436.19306842970593</v>
      </c>
      <c r="CD27" s="59">
        <f ca="1">AVERAGE(OFFSET($CC$3,0,0,'Données projet'!$E$12+1,1))-AVERAGE(OFFSET($H$3,0,0,'Données projet'!$E$12+1,1))</f>
        <v>722.05521609092671</v>
      </c>
      <c r="CE27" s="59">
        <f t="shared" si="40"/>
        <v>317.36319714884644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4.0942857142857143</v>
      </c>
      <c r="CT27" s="12">
        <f>IF('Données projet'!$A$140&gt;35,CT26+CS27-DB26,IF(A27&lt;'Données projet'!$A$140,$CQ$205^A27,IF(A27='Données projet'!$A$140,'Données projet'!$B$140,CT26+CS27-DB26)))</f>
        <v>98.2628571428572</v>
      </c>
      <c r="CU27" s="17">
        <f>CT27*VLOOKUP('Données projet'!$B$13,Paramètres!$A$1:$I$89,3,0)*VLOOKUP('Données projet'!$B$13,Paramètres!$A$1:$I$89,5,0)</f>
        <v>105.77013942857148</v>
      </c>
      <c r="CV27" s="13">
        <f t="shared" si="41"/>
        <v>28.332133504130443</v>
      </c>
      <c r="CW27" s="20">
        <f t="shared" si="13"/>
        <v>233.56145869112254</v>
      </c>
      <c r="CX27" s="59">
        <f t="shared" si="14"/>
        <v>459.33216687474237</v>
      </c>
      <c r="CY27" s="59">
        <f ca="1">AVERAGE(OFFSET($CX$3,0,0,'Données projet'!$E$13+1,1))-AVERAGE(OFFSET($H$3,0,0,'Données projet'!$E$13+1,1))</f>
        <v>792.94606354161886</v>
      </c>
      <c r="CZ27" s="59">
        <f t="shared" si="42"/>
        <v>346.14443498270919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5.1282051282051295</v>
      </c>
      <c r="DO27" s="12">
        <f>IF('Données projet'!$A$166&gt;35,DO26+DN27-DW26,IF(A27&lt;'Données projet'!$A$166,$DL$205^A27,IF(A27='Données projet'!$A$166,'Données projet'!$B$166,DO26+DN27-DW26)))</f>
        <v>57.692307692307686</v>
      </c>
      <c r="DP27" s="17">
        <f>DO27*VLOOKUP('Données projet'!$B$14,Paramètres!$A$1:$I$89,3,0)*VLOOKUP('Données projet'!$B$14,Paramètres!$A$1:$I$89,5,0)</f>
        <v>60.300000000000004</v>
      </c>
      <c r="DQ27" s="13">
        <f t="shared" si="43"/>
        <v>17.24409639377615</v>
      </c>
      <c r="DR27" s="20">
        <f t="shared" si="16"/>
        <v>135.05596788582679</v>
      </c>
      <c r="DS27" s="59">
        <f t="shared" si="17"/>
        <v>360.82667606944659</v>
      </c>
      <c r="DT27" s="59">
        <f ca="1">AVERAGE(OFFSET($DS$3,0,0,'Données projet'!$E$14+1,1))-AVERAGE(OFFSET($H$3,0,0,'Données projet'!$E$14+1,1))</f>
        <v>269.21114382490202</v>
      </c>
      <c r="DU27" s="59">
        <f t="shared" si="44"/>
        <v>233.07776944102309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4.116993804592294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4.116993804592294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4.0942857142857143</v>
      </c>
      <c r="FE27" s="12">
        <f>IF('Données projet'!$A$218&gt;35,FE26+FD27-FM26,IF(A27&lt;'Données projet'!$A$218,$FB$205^A27,IF(A27='Données projet'!$A$218,'Données projet'!$B$218,FE26+FD27-FM26)))</f>
        <v>98.2628571428572</v>
      </c>
      <c r="FF27" s="17">
        <f>FE27*VLOOKUP('Données projet'!$B$16,Paramètres!$A$1:$I$89,3,0)*VLOOKUP('Données projet'!$B$16,Paramètres!$A$1:$I$89,5,0)</f>
        <v>111.90174171428578</v>
      </c>
      <c r="FG27" s="13">
        <f t="shared" si="47"/>
        <v>29.778601787173269</v>
      </c>
      <c r="FH27" s="20">
        <f t="shared" si="22"/>
        <v>246.75993159837446</v>
      </c>
      <c r="FI27" s="59">
        <f t="shared" si="23"/>
        <v>472.5306397819943</v>
      </c>
      <c r="FJ27" s="59">
        <f ca="1">AVERAGE(OFFSET($FI$3,0,0,'Données projet'!$E$16+1,1))-AVERAGE(OFFSET($H$3,0,0,'Données projet'!$E$16+1,1))</f>
        <v>833.39050463936144</v>
      </c>
      <c r="FK27" s="59">
        <f t="shared" si="48"/>
        <v>362.56178526355507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433.21837767121258</v>
      </c>
      <c r="S28" s="59">
        <f ca="1">AVERAGE(OFFSET($R$3,0,0,'Données projet'!$E$9+1,1))-AVERAGE(OFFSET($H$3,0,0,'Données projet'!$E$9+1,1))</f>
        <v>681.47578137804555</v>
      </c>
      <c r="T28" s="59">
        <f t="shared" si="34"/>
        <v>300.88511065995885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103.79014285714292</v>
      </c>
      <c r="AK28" s="13">
        <f t="shared" si="35"/>
        <v>27.862982579231517</v>
      </c>
      <c r="AL28" s="20">
        <f t="shared" si="4"/>
        <v>229.29586013501878</v>
      </c>
      <c r="AM28" s="59">
        <f t="shared" si="5"/>
        <v>457.33363410135087</v>
      </c>
      <c r="AN28" s="59">
        <f ca="1">AVERAGE(OFFSET($AM$3,0,0,'Données projet'!$E$10+1,1))-AVERAGE(OFFSET($H$3,0,0,'Données projet'!$E$10+1,1))</f>
        <v>752.45542076695506</v>
      </c>
      <c r="AO28" s="59">
        <f t="shared" si="36"/>
        <v>329.70629768420724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97.403057142857193</v>
      </c>
      <c r="BF28" s="13">
        <f t="shared" si="37"/>
        <v>26.342367465959477</v>
      </c>
      <c r="BG28" s="20">
        <f t="shared" si="7"/>
        <v>215.52328119368903</v>
      </c>
      <c r="BH28" s="59">
        <f t="shared" si="8"/>
        <v>443.56105516002117</v>
      </c>
      <c r="BI28" s="59">
        <f ca="1">AVERAGE(OFFSET($BH$3,0,0,'Données projet'!$E$11+1,1))-AVERAGE(OFFSET($H$3,0,0,'Données projet'!$E$11+1,1))</f>
        <v>711.91538686535682</v>
      </c>
      <c r="BJ28" s="59">
        <f t="shared" si="38"/>
        <v>313.24593837351722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4.0942857142857143</v>
      </c>
      <c r="BY28" s="12">
        <f>IF('Données projet'!$A$114&gt;35,BY27+BX28-CG27,IF(A28&lt;'Données projet'!$A$114,$BV$205^A28,IF(A28='Données projet'!$A$114,'Données projet'!$B$114,BY27+BX28-CG27)))</f>
        <v>102.35714285714292</v>
      </c>
      <c r="BZ28" s="13">
        <f>BY28*VLOOKUP('Données projet'!$B$12,Paramètres!$A$1:$I$89,3,0)*VLOOKUP('Données projet'!$B$12,Paramètres!$A$1:$I$89,5,0)</f>
        <v>98.999828571428623</v>
      </c>
      <c r="CA28" s="13">
        <f t="shared" si="39"/>
        <v>26.723581277513482</v>
      </c>
      <c r="CB28" s="20">
        <f t="shared" si="10"/>
        <v>218.96827215357416</v>
      </c>
      <c r="CC28" s="59">
        <f t="shared" si="11"/>
        <v>447.00604611990627</v>
      </c>
      <c r="CD28" s="59">
        <f ca="1">AVERAGE(OFFSET($CC$3,0,0,'Données projet'!$E$12+1,1))-AVERAGE(OFFSET($H$3,0,0,'Données projet'!$E$12+1,1))</f>
        <v>722.05521609092671</v>
      </c>
      <c r="CE28" s="59">
        <f t="shared" si="40"/>
        <v>317.36319714884644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4.0942857142857143</v>
      </c>
      <c r="CT28" s="12">
        <f>IF('Données projet'!$A$140&gt;35,CT27+CS28-DB27,IF(A28&lt;'Données projet'!$A$140,$CQ$205^A28,IF(A28='Données projet'!$A$140,'Données projet'!$B$140,CT27+CS28-DB27)))</f>
        <v>102.35714285714292</v>
      </c>
      <c r="CU28" s="17">
        <f>CT28*VLOOKUP('Données projet'!$B$13,Paramètres!$A$1:$I$89,3,0)*VLOOKUP('Données projet'!$B$13,Paramètres!$A$1:$I$89,5,0)</f>
        <v>110.17722857142863</v>
      </c>
      <c r="CV28" s="13">
        <f t="shared" si="41"/>
        <v>29.37273709316317</v>
      </c>
      <c r="CW28" s="20">
        <f t="shared" si="13"/>
        <v>243.04952353249737</v>
      </c>
      <c r="CX28" s="59">
        <f t="shared" si="14"/>
        <v>471.08729749882946</v>
      </c>
      <c r="CY28" s="59">
        <f ca="1">AVERAGE(OFFSET($CX$3,0,0,'Données projet'!$E$13+1,1))-AVERAGE(OFFSET($H$3,0,0,'Données projet'!$E$13+1,1))</f>
        <v>792.94606354161886</v>
      </c>
      <c r="CZ28" s="59">
        <f t="shared" si="42"/>
        <v>346.14443498270919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62.820512820512818</v>
      </c>
      <c r="DM28" s="12">
        <f>VLOOKUP(A28,'Données projet'!$A$165:$I$185,9,0)</f>
        <v>5.1282051282051295</v>
      </c>
      <c r="DN28" s="12">
        <f t="array" ref="DN28">INDEX(DM:DM,MIN(IF(ISNUMBER(DM28:DM224),ROW(DM28:DM224),"")))</f>
        <v>5.1282051282051295</v>
      </c>
      <c r="DO28" s="12">
        <f>IF('Données projet'!$A$166&gt;35,DO27+DN28-DW27,IF(A28&lt;'Données projet'!$A$166,$DL$205^A28,IF(A28='Données projet'!$A$166,'Données projet'!$B$166,DO27+DN28-DW27)))</f>
        <v>62.820512820512818</v>
      </c>
      <c r="DP28" s="17">
        <f>DO28*VLOOKUP('Données projet'!$B$14,Paramètres!$A$1:$I$89,3,0)*VLOOKUP('Données projet'!$B$14,Paramètres!$A$1:$I$89,5,0)</f>
        <v>65.660000000000011</v>
      </c>
      <c r="DQ28" s="13">
        <f t="shared" si="43"/>
        <v>18.591700776040714</v>
      </c>
      <c r="DR28" s="20">
        <f t="shared" si="16"/>
        <v>146.73837885160424</v>
      </c>
      <c r="DS28" s="59">
        <f t="shared" si="17"/>
        <v>374.77615281793635</v>
      </c>
      <c r="DT28" s="59">
        <f ca="1">AVERAGE(OFFSET($DS$3,0,0,'Données projet'!$E$14+1,1))-AVERAGE(OFFSET($H$3,0,0,'Données projet'!$E$14+1,1))</f>
        <v>269.21114382490202</v>
      </c>
      <c r="DU28" s="59">
        <f t="shared" si="44"/>
        <v>233.07776944102309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12.179487179487179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0.215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7.0181185401743438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7.0181185401743438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4.0942857142857143</v>
      </c>
      <c r="FE28" s="12">
        <f>IF('Données projet'!$A$218&gt;35,FE27+FD28-FM27,IF(A28&lt;'Données projet'!$A$218,$FB$205^A28,IF(A28='Données projet'!$A$218,'Données projet'!$B$218,FE27+FD28-FM27)))</f>
        <v>102.35714285714292</v>
      </c>
      <c r="FF28" s="17">
        <f>FE28*VLOOKUP('Données projet'!$B$16,Paramètres!$A$1:$I$89,3,0)*VLOOKUP('Données projet'!$B$16,Paramètres!$A$1:$I$89,5,0)</f>
        <v>116.56431428571435</v>
      </c>
      <c r="FG28" s="13">
        <f t="shared" si="47"/>
        <v>30.872332334913064</v>
      </c>
      <c r="FH28" s="20">
        <f t="shared" si="22"/>
        <v>256.78549286425937</v>
      </c>
      <c r="FI28" s="59">
        <f t="shared" si="23"/>
        <v>484.82326683059148</v>
      </c>
      <c r="FJ28" s="59">
        <f ca="1">AVERAGE(OFFSET($FI$3,0,0,'Données projet'!$E$16+1,1))-AVERAGE(OFFSET($H$3,0,0,'Données projet'!$E$16+1,1))</f>
        <v>833.39050463936144</v>
      </c>
      <c r="FK28" s="59">
        <f t="shared" si="48"/>
        <v>362.56178526355507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443.46667841009798</v>
      </c>
      <c r="S29" s="59">
        <f ca="1">AVERAGE(OFFSET($R$3,0,0,'Données projet'!$E$9+1,1))-AVERAGE(OFFSET($H$3,0,0,'Données projet'!$E$9+1,1))</f>
        <v>681.47578137804555</v>
      </c>
      <c r="T29" s="59">
        <f t="shared" si="34"/>
        <v>300.88511065995885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107.94174857142863</v>
      </c>
      <c r="AK29" s="13">
        <f t="shared" si="35"/>
        <v>28.845512667364968</v>
      </c>
      <c r="AL29" s="20">
        <f t="shared" si="4"/>
        <v>238.23781332423221</v>
      </c>
      <c r="AM29" s="59">
        <f t="shared" si="5"/>
        <v>468.52452737342242</v>
      </c>
      <c r="AN29" s="59">
        <f ca="1">AVERAGE(OFFSET($AM$3,0,0,'Données projet'!$E$10+1,1))-AVERAGE(OFFSET($H$3,0,0,'Données projet'!$E$10+1,1))</f>
        <v>752.45542076695506</v>
      </c>
      <c r="AO29" s="59">
        <f t="shared" si="36"/>
        <v>329.70629768420724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101.29917942857151</v>
      </c>
      <c r="BF29" s="13">
        <f t="shared" si="37"/>
        <v>27.271276227050439</v>
      </c>
      <c r="BG29" s="20">
        <f t="shared" si="7"/>
        <v>223.92687693354154</v>
      </c>
      <c r="BH29" s="59">
        <f t="shared" si="8"/>
        <v>454.21359098273172</v>
      </c>
      <c r="BI29" s="59">
        <f ca="1">AVERAGE(OFFSET($BH$3,0,0,'Données projet'!$E$11+1,1))-AVERAGE(OFFSET($H$3,0,0,'Données projet'!$E$11+1,1))</f>
        <v>711.91538686535682</v>
      </c>
      <c r="BJ29" s="59">
        <f t="shared" si="38"/>
        <v>313.24593837351722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4.0942857142857143</v>
      </c>
      <c r="BY29" s="12">
        <f>IF('Données projet'!$A$114&gt;35,BY28+BX29-CG28,IF(A29&lt;'Données projet'!$A$114,$BV$205^A29,IF(A29='Données projet'!$A$114,'Données projet'!$B$114,BY28+BX29-CG28)))</f>
        <v>106.45142857142864</v>
      </c>
      <c r="BZ29" s="13">
        <f>BY29*VLOOKUP('Données projet'!$B$12,Paramètres!$A$1:$I$89,3,0)*VLOOKUP('Données projet'!$B$12,Paramètres!$A$1:$I$89,5,0)</f>
        <v>102.95982171428578</v>
      </c>
      <c r="CA29" s="13">
        <f t="shared" si="39"/>
        <v>27.665932750230837</v>
      </c>
      <c r="CB29" s="20">
        <f t="shared" si="10"/>
        <v>227.50652235903308</v>
      </c>
      <c r="CC29" s="59">
        <f t="shared" si="11"/>
        <v>457.79323640822327</v>
      </c>
      <c r="CD29" s="59">
        <f ca="1">AVERAGE(OFFSET($CC$3,0,0,'Données projet'!$E$12+1,1))-AVERAGE(OFFSET($H$3,0,0,'Données projet'!$E$12+1,1))</f>
        <v>722.05521609092671</v>
      </c>
      <c r="CE29" s="59">
        <f t="shared" si="40"/>
        <v>317.36319714884644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4.0942857142857143</v>
      </c>
      <c r="CT29" s="12">
        <f>IF('Données projet'!$A$140&gt;35,CT28+CS29-DB28,IF(A29&lt;'Données projet'!$A$140,$CQ$205^A29,IF(A29='Données projet'!$A$140,'Données projet'!$B$140,CT28+CS29-DB28)))</f>
        <v>106.45142857142864</v>
      </c>
      <c r="CU29" s="17">
        <f>CT29*VLOOKUP('Données projet'!$B$13,Paramètres!$A$1:$I$89,3,0)*VLOOKUP('Données projet'!$B$13,Paramètres!$A$1:$I$89,5,0)</f>
        <v>114.58431771428577</v>
      </c>
      <c r="CV29" s="13">
        <f t="shared" si="41"/>
        <v>30.408505531908048</v>
      </c>
      <c r="CW29" s="20">
        <f t="shared" si="13"/>
        <v>252.5291671537876</v>
      </c>
      <c r="CX29" s="59">
        <f t="shared" si="14"/>
        <v>482.81588120297778</v>
      </c>
      <c r="CY29" s="59">
        <f ca="1">AVERAGE(OFFSET($CX$3,0,0,'Données projet'!$E$13+1,1))-AVERAGE(OFFSET($H$3,0,0,'Données projet'!$E$13+1,1))</f>
        <v>792.94606354161886</v>
      </c>
      <c r="CZ29" s="59">
        <f t="shared" si="42"/>
        <v>346.14443498270919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5.1282051282051295</v>
      </c>
      <c r="DO29" s="12">
        <f>IF('Données projet'!$A$166&gt;35,DO28+DN29-DW28,IF(A29&lt;'Données projet'!$A$166,$DL$205^A29,IF(A29='Données projet'!$A$166,'Données projet'!$B$166,DO28+DN29-DW28)))</f>
        <v>55.769230769230759</v>
      </c>
      <c r="DP29" s="17">
        <f>DO29*VLOOKUP('Données projet'!$B$14,Paramètres!$A$1:$I$89,3,0)*VLOOKUP('Données projet'!$B$14,Paramètres!$A$1:$I$89,5,0)</f>
        <v>58.29</v>
      </c>
      <c r="DQ29" s="13">
        <f t="shared" si="43"/>
        <v>16.735202513714196</v>
      </c>
      <c r="DR29" s="20">
        <f t="shared" si="16"/>
        <v>130.66889437805222</v>
      </c>
      <c r="DS29" s="59">
        <f t="shared" si="17"/>
        <v>360.9556084272424</v>
      </c>
      <c r="DT29" s="59">
        <f ca="1">AVERAGE(OFFSET($DS$3,0,0,'Données projet'!$E$14+1,1))-AVERAGE(OFFSET($H$3,0,0,'Données projet'!$E$14+1,1))</f>
        <v>269.21114382490202</v>
      </c>
      <c r="DU29" s="59">
        <f t="shared" si="44"/>
        <v>233.07776944102309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6.8262077196264626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6.8262077196264626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4.0942857142857143</v>
      </c>
      <c r="FE29" s="12">
        <f>IF('Données projet'!$A$218&gt;35,FE28+FD29-FM28,IF(A29&lt;'Données projet'!$A$218,$FB$205^A29,IF(A29='Données projet'!$A$218,'Données projet'!$B$218,FE28+FD29-FM28)))</f>
        <v>106.45142857142864</v>
      </c>
      <c r="FF29" s="17">
        <f>FE29*VLOOKUP('Données projet'!$B$16,Paramètres!$A$1:$I$89,3,0)*VLOOKUP('Données projet'!$B$16,Paramètres!$A$1:$I$89,5,0)</f>
        <v>121.22688685714294</v>
      </c>
      <c r="FG29" s="13">
        <f t="shared" si="47"/>
        <v>31.960980878680843</v>
      </c>
      <c r="FH29" s="20">
        <f t="shared" si="22"/>
        <v>266.80220297322637</v>
      </c>
      <c r="FI29" s="59">
        <f t="shared" si="23"/>
        <v>497.08891702241658</v>
      </c>
      <c r="FJ29" s="59">
        <f ca="1">AVERAGE(OFFSET($FI$3,0,0,'Données projet'!$E$16+1,1))-AVERAGE(OFFSET($H$3,0,0,'Données projet'!$E$16+1,1))</f>
        <v>833.39050463936144</v>
      </c>
      <c r="FK29" s="59">
        <f t="shared" si="48"/>
        <v>362.56178526355507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453.69025425233235</v>
      </c>
      <c r="S30" s="59">
        <f ca="1">AVERAGE(OFFSET($R$3,0,0,'Données projet'!$E$9+1,1))-AVERAGE(OFFSET($H$3,0,0,'Données projet'!$E$9+1,1))</f>
        <v>681.47578137804555</v>
      </c>
      <c r="T30" s="59">
        <f t="shared" si="34"/>
        <v>300.88511065995885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112.09335428571437</v>
      </c>
      <c r="AK30" s="13">
        <f t="shared" si="35"/>
        <v>29.823652732348606</v>
      </c>
      <c r="AL30" s="20">
        <f t="shared" si="4"/>
        <v>247.17212055645965</v>
      </c>
      <c r="AM30" s="59">
        <f t="shared" si="5"/>
        <v>479.68996342902312</v>
      </c>
      <c r="AN30" s="59">
        <f ca="1">AVERAGE(OFFSET($AM$3,0,0,'Données projet'!$E$10+1,1))-AVERAGE(OFFSET($H$3,0,0,'Données projet'!$E$10+1,1))</f>
        <v>752.45542076695506</v>
      </c>
      <c r="AO30" s="59">
        <f t="shared" si="36"/>
        <v>329.70629768420724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105.19530171428579</v>
      </c>
      <c r="BF30" s="13">
        <f t="shared" si="37"/>
        <v>28.196034549376744</v>
      </c>
      <c r="BG30" s="20">
        <f t="shared" si="7"/>
        <v>232.32324399254557</v>
      </c>
      <c r="BH30" s="59">
        <f t="shared" si="8"/>
        <v>464.84108686510911</v>
      </c>
      <c r="BI30" s="59">
        <f ca="1">AVERAGE(OFFSET($BH$3,0,0,'Données projet'!$E$11+1,1))-AVERAGE(OFFSET($H$3,0,0,'Données projet'!$E$11+1,1))</f>
        <v>711.91538686535682</v>
      </c>
      <c r="BJ30" s="59">
        <f t="shared" si="38"/>
        <v>313.24593837351722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4.0942857142857143</v>
      </c>
      <c r="BY30" s="12">
        <f>IF('Données projet'!$A$114&gt;35,BY29+BX30-CG29,IF(A30&lt;'Données projet'!$A$114,$BV$205^A30,IF(A30='Données projet'!$A$114,'Données projet'!$B$114,BY29+BX30-CG29)))</f>
        <v>110.54571428571435</v>
      </c>
      <c r="BZ30" s="13">
        <f>BY30*VLOOKUP('Données projet'!$B$12,Paramètres!$A$1:$I$89,3,0)*VLOOKUP('Données projet'!$B$12,Paramètres!$A$1:$I$89,5,0)</f>
        <v>106.91981485714292</v>
      </c>
      <c r="CA30" s="13">
        <f t="shared" si="39"/>
        <v>28.604073721071018</v>
      </c>
      <c r="CB30" s="20">
        <f t="shared" si="10"/>
        <v>236.03743927372258</v>
      </c>
      <c r="CC30" s="59">
        <f t="shared" si="11"/>
        <v>468.55528214628612</v>
      </c>
      <c r="CD30" s="59">
        <f ca="1">AVERAGE(OFFSET($CC$3,0,0,'Données projet'!$E$12+1,1))-AVERAGE(OFFSET($H$3,0,0,'Données projet'!$E$12+1,1))</f>
        <v>722.05521609092671</v>
      </c>
      <c r="CE30" s="59">
        <f t="shared" si="40"/>
        <v>317.36319714884644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4.0942857142857143</v>
      </c>
      <c r="CT30" s="12">
        <f>IF('Données projet'!$A$140&gt;35,CT29+CS30-DB29,IF(A30&lt;'Données projet'!$A$140,$CQ$205^A30,IF(A30='Données projet'!$A$140,'Données projet'!$B$140,CT29+CS30-DB29)))</f>
        <v>110.54571428571435</v>
      </c>
      <c r="CU30" s="17">
        <f>CT30*VLOOKUP('Données projet'!$B$13,Paramètres!$A$1:$I$89,3,0)*VLOOKUP('Données projet'!$B$13,Paramètres!$A$1:$I$89,5,0)</f>
        <v>118.99140685714293</v>
      </c>
      <c r="CV30" s="13">
        <f t="shared" si="41"/>
        <v>31.439646074287381</v>
      </c>
      <c r="CW30" s="20">
        <f t="shared" si="13"/>
        <v>262.00075052224111</v>
      </c>
      <c r="CX30" s="59">
        <f t="shared" si="14"/>
        <v>494.51859339480461</v>
      </c>
      <c r="CY30" s="59">
        <f ca="1">AVERAGE(OFFSET($CX$3,0,0,'Données projet'!$E$13+1,1))-AVERAGE(OFFSET($H$3,0,0,'Données projet'!$E$13+1,1))</f>
        <v>792.94606354161886</v>
      </c>
      <c r="CZ30" s="59">
        <f t="shared" si="42"/>
        <v>346.14443498270919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5.1282051282051295</v>
      </c>
      <c r="DO30" s="12">
        <f>IF('Données projet'!$A$166&gt;35,DO29+DN30-DW29,IF(A30&lt;'Données projet'!$A$166,$DL$205^A30,IF(A30='Données projet'!$A$166,'Données projet'!$B$166,DO29+DN30-DW29)))</f>
        <v>60.897435897435891</v>
      </c>
      <c r="DP30" s="17">
        <f>DO30*VLOOKUP('Données projet'!$B$14,Paramètres!$A$1:$I$89,3,0)*VLOOKUP('Données projet'!$B$14,Paramètres!$A$1:$I$89,5,0)</f>
        <v>63.65</v>
      </c>
      <c r="DQ30" s="13">
        <f t="shared" si="43"/>
        <v>18.0879079069433</v>
      </c>
      <c r="DR30" s="20">
        <f t="shared" si="16"/>
        <v>142.36018960459288</v>
      </c>
      <c r="DS30" s="59">
        <f t="shared" si="17"/>
        <v>374.87803247715635</v>
      </c>
      <c r="DT30" s="59">
        <f ca="1">AVERAGE(OFFSET($DS$3,0,0,'Données projet'!$E$14+1,1))-AVERAGE(OFFSET($H$3,0,0,'Données projet'!$E$14+1,1))</f>
        <v>269.21114382490202</v>
      </c>
      <c r="DU30" s="59">
        <f t="shared" si="44"/>
        <v>233.07776944102309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6.6395447105586145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6.6395447105586145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4.0942857142857143</v>
      </c>
      <c r="FE30" s="12">
        <f>IF('Données projet'!$A$218&gt;35,FE29+FD30-FM29,IF(A30&lt;'Données projet'!$A$218,$FB$205^A30,IF(A30='Données projet'!$A$218,'Données projet'!$B$218,FE29+FD30-FM29)))</f>
        <v>110.54571428571435</v>
      </c>
      <c r="FF30" s="17">
        <f>FE30*VLOOKUP('Données projet'!$B$16,Paramètres!$A$1:$I$89,3,0)*VLOOKUP('Données projet'!$B$16,Paramètres!$A$1:$I$89,5,0)</f>
        <v>125.88945942857151</v>
      </c>
      <c r="FG30" s="13">
        <f t="shared" si="47"/>
        <v>33.044765253537285</v>
      </c>
      <c r="FH30" s="20">
        <f t="shared" si="22"/>
        <v>276.81044132133951</v>
      </c>
      <c r="FI30" s="59">
        <f t="shared" si="23"/>
        <v>509.32828419390302</v>
      </c>
      <c r="FJ30" s="59">
        <f ca="1">AVERAGE(OFFSET($FI$3,0,0,'Données projet'!$E$16+1,1))-AVERAGE(OFFSET($H$3,0,0,'Données projet'!$E$16+1,1))</f>
        <v>833.39050463936144</v>
      </c>
      <c r="FK30" s="59">
        <f t="shared" si="48"/>
        <v>362.56178526355507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463.88969956699088</v>
      </c>
      <c r="S31" s="59">
        <f ca="1">AVERAGE(OFFSET($R$3,0,0,'Données projet'!$E$9+1,1))-AVERAGE(OFFSET($H$3,0,0,'Données projet'!$E$9+1,1))</f>
        <v>681.47578137804555</v>
      </c>
      <c r="T31" s="59">
        <f t="shared" si="34"/>
        <v>300.88511065995885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116.24496000000008</v>
      </c>
      <c r="AK31" s="13">
        <f t="shared" si="35"/>
        <v>30.797583987099902</v>
      </c>
      <c r="AL31" s="20">
        <f t="shared" si="4"/>
        <v>256.09909744419912</v>
      </c>
      <c r="AM31" s="59">
        <f t="shared" si="5"/>
        <v>490.83056686618318</v>
      </c>
      <c r="AN31" s="59">
        <f ca="1">AVERAGE(OFFSET($AM$3,0,0,'Données projet'!$E$10+1,1))-AVERAGE(OFFSET($H$3,0,0,'Données projet'!$E$10+1,1))</f>
        <v>752.45542076695506</v>
      </c>
      <c r="AO31" s="59">
        <f t="shared" si="36"/>
        <v>329.70629768420724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109.09142400000007</v>
      </c>
      <c r="BF31" s="13">
        <f t="shared" si="37"/>
        <v>29.116813756207414</v>
      </c>
      <c r="BG31" s="20">
        <f t="shared" si="7"/>
        <v>240.71268075872808</v>
      </c>
      <c r="BH31" s="59">
        <f t="shared" si="8"/>
        <v>475.4441501807122</v>
      </c>
      <c r="BI31" s="59">
        <f ca="1">AVERAGE(OFFSET($BH$3,0,0,'Données projet'!$E$11+1,1))-AVERAGE(OFFSET($H$3,0,0,'Données projet'!$E$11+1,1))</f>
        <v>711.91538686535682</v>
      </c>
      <c r="BJ31" s="59">
        <f t="shared" si="38"/>
        <v>313.24593837351722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4.0942857142857143</v>
      </c>
      <c r="BY31" s="12">
        <f>IF('Données projet'!$A$114&gt;35,BY30+BX31-CG30,IF(A31&lt;'Données projet'!$A$114,$BV$205^A31,IF(A31='Données projet'!$A$114,'Données projet'!$B$114,BY30+BX31-CG30)))</f>
        <v>114.64000000000007</v>
      </c>
      <c r="BZ31" s="13">
        <f>BY31*VLOOKUP('Données projet'!$B$12,Paramètres!$A$1:$I$89,3,0)*VLOOKUP('Données projet'!$B$12,Paramètres!$A$1:$I$89,5,0)</f>
        <v>110.87980800000008</v>
      </c>
      <c r="CA31" s="13">
        <f t="shared" si="39"/>
        <v>29.538177992609299</v>
      </c>
      <c r="CB31" s="20">
        <f t="shared" si="10"/>
        <v>244.56132560379464</v>
      </c>
      <c r="CC31" s="59">
        <f t="shared" si="11"/>
        <v>479.29279502577873</v>
      </c>
      <c r="CD31" s="59">
        <f ca="1">AVERAGE(OFFSET($CC$3,0,0,'Données projet'!$E$12+1,1))-AVERAGE(OFFSET($H$3,0,0,'Données projet'!$E$12+1,1))</f>
        <v>722.05521609092671</v>
      </c>
      <c r="CE31" s="59">
        <f t="shared" si="40"/>
        <v>317.36319714884644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4.0942857142857143</v>
      </c>
      <c r="CT31" s="12">
        <f>IF('Données projet'!$A$140&gt;35,CT30+CS31-DB30,IF(A31&lt;'Données projet'!$A$140,$CQ$205^A31,IF(A31='Données projet'!$A$140,'Données projet'!$B$140,CT30+CS31-DB30)))</f>
        <v>114.64000000000007</v>
      </c>
      <c r="CU31" s="17">
        <f>CT31*VLOOKUP('Données projet'!$B$13,Paramètres!$A$1:$I$89,3,0)*VLOOKUP('Données projet'!$B$13,Paramètres!$A$1:$I$89,5,0)</f>
        <v>123.39849600000008</v>
      </c>
      <c r="CV31" s="13">
        <f t="shared" si="41"/>
        <v>32.466349752232674</v>
      </c>
      <c r="CW31" s="20">
        <f t="shared" si="13"/>
        <v>271.4646063518054</v>
      </c>
      <c r="CX31" s="59">
        <f t="shared" si="14"/>
        <v>506.19607577378952</v>
      </c>
      <c r="CY31" s="59">
        <f ca="1">AVERAGE(OFFSET($CX$3,0,0,'Données projet'!$E$13+1,1))-AVERAGE(OFFSET($H$3,0,0,'Données projet'!$E$13+1,1))</f>
        <v>792.94606354161886</v>
      </c>
      <c r="CZ31" s="59">
        <f t="shared" si="42"/>
        <v>346.14443498270919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5.1282051282051295</v>
      </c>
      <c r="DO31" s="12">
        <f>IF('Données projet'!$A$166&gt;35,DO30+DN31-DW30,IF(A31&lt;'Données projet'!$A$166,$DL$205^A31,IF(A31='Données projet'!$A$166,'Données projet'!$B$166,DO30+DN31-DW30)))</f>
        <v>66.025641025641022</v>
      </c>
      <c r="DP31" s="17">
        <f>DO31*VLOOKUP('Données projet'!$B$14,Paramètres!$A$1:$I$89,3,0)*VLOOKUP('Données projet'!$B$14,Paramètres!$A$1:$I$89,5,0)</f>
        <v>69.010000000000005</v>
      </c>
      <c r="DQ31" s="13">
        <f t="shared" si="43"/>
        <v>19.427402242100008</v>
      </c>
      <c r="DR31" s="20">
        <f t="shared" si="16"/>
        <v>154.02847557165751</v>
      </c>
      <c r="DS31" s="59">
        <f t="shared" si="17"/>
        <v>388.75994499364162</v>
      </c>
      <c r="DT31" s="59">
        <f ca="1">AVERAGE(OFFSET($DS$3,0,0,'Données projet'!$E$14+1,1))-AVERAGE(OFFSET($H$3,0,0,'Données projet'!$E$14+1,1))</f>
        <v>269.21114382490202</v>
      </c>
      <c r="DU31" s="59">
        <f t="shared" si="44"/>
        <v>233.07776944102309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6.4579860112899077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6.4579860112899077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4.0942857142857143</v>
      </c>
      <c r="FE31" s="12">
        <f>IF('Données projet'!$A$218&gt;35,FE30+FD31-FM30,IF(A31&lt;'Données projet'!$A$218,$FB$205^A31,IF(A31='Données projet'!$A$218,'Données projet'!$B$218,FE30+FD31-FM30)))</f>
        <v>114.64000000000007</v>
      </c>
      <c r="FF31" s="17">
        <f>FE31*VLOOKUP('Données projet'!$B$16,Paramètres!$A$1:$I$89,3,0)*VLOOKUP('Données projet'!$B$16,Paramètres!$A$1:$I$89,5,0)</f>
        <v>130.55203200000008</v>
      </c>
      <c r="FG31" s="13">
        <f t="shared" si="47"/>
        <v>34.123886244355134</v>
      </c>
      <c r="FH31" s="20">
        <f t="shared" si="22"/>
        <v>286.81055760891866</v>
      </c>
      <c r="FI31" s="59">
        <f t="shared" si="23"/>
        <v>521.54202703090277</v>
      </c>
      <c r="FJ31" s="59">
        <f ca="1">AVERAGE(OFFSET($FI$3,0,0,'Données projet'!$E$16+1,1))-AVERAGE(OFFSET($H$3,0,0,'Données projet'!$E$16+1,1))</f>
        <v>833.39050463936144</v>
      </c>
      <c r="FK31" s="59">
        <f t="shared" si="48"/>
        <v>362.56178526355507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474.0655818228372</v>
      </c>
      <c r="S32" s="59">
        <f ca="1">AVERAGE(OFFSET($R$3,0,0,'Données projet'!$E$9+1,1))-AVERAGE(OFFSET($H$3,0,0,'Données projet'!$E$9+1,1))</f>
        <v>681.47578137804555</v>
      </c>
      <c r="T32" s="59">
        <f t="shared" si="34"/>
        <v>300.88511065995885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120.39656571428579</v>
      </c>
      <c r="AK32" s="13">
        <f t="shared" si="35"/>
        <v>31.767473966995706</v>
      </c>
      <c r="AL32" s="20">
        <f t="shared" si="4"/>
        <v>265.01903577823191</v>
      </c>
      <c r="AM32" s="59">
        <f t="shared" si="5"/>
        <v>501.94693310100774</v>
      </c>
      <c r="AN32" s="59">
        <f ca="1">AVERAGE(OFFSET($AM$3,0,0,'Données projet'!$E$10+1,1))-AVERAGE(OFFSET($H$3,0,0,'Données projet'!$E$10+1,1))</f>
        <v>752.45542076695506</v>
      </c>
      <c r="AO32" s="59">
        <f t="shared" si="36"/>
        <v>329.70629768420724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112.98754628571437</v>
      </c>
      <c r="BF32" s="13">
        <f t="shared" si="37"/>
        <v>30.03377223971917</v>
      </c>
      <c r="BG32" s="20">
        <f t="shared" si="7"/>
        <v>249.0954630984634</v>
      </c>
      <c r="BH32" s="59">
        <f t="shared" si="8"/>
        <v>486.0233604212392</v>
      </c>
      <c r="BI32" s="59">
        <f ca="1">AVERAGE(OFFSET($BH$3,0,0,'Données projet'!$E$11+1,1))-AVERAGE(OFFSET($H$3,0,0,'Données projet'!$E$11+1,1))</f>
        <v>711.91538686535682</v>
      </c>
      <c r="BJ32" s="59">
        <f t="shared" si="38"/>
        <v>313.24593837351722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4.0942857142857143</v>
      </c>
      <c r="BY32" s="12">
        <f>IF('Données projet'!$A$114&gt;35,BY31+BX32-CG31,IF(A32&lt;'Données projet'!$A$114,$BV$205^A32,IF(A32='Données projet'!$A$114,'Données projet'!$B$114,BY31+BX32-CG31)))</f>
        <v>118.73428571428579</v>
      </c>
      <c r="BZ32" s="13">
        <f>BY32*VLOOKUP('Données projet'!$B$12,Paramètres!$A$1:$I$89,3,0)*VLOOKUP('Données projet'!$B$12,Paramètres!$A$1:$I$89,5,0)</f>
        <v>114.83980114285721</v>
      </c>
      <c r="CA32" s="13">
        <f t="shared" si="39"/>
        <v>30.468406249196239</v>
      </c>
      <c r="CB32" s="20">
        <f t="shared" si="10"/>
        <v>253.07846120782642</v>
      </c>
      <c r="CC32" s="59">
        <f t="shared" si="11"/>
        <v>490.00635853060226</v>
      </c>
      <c r="CD32" s="59">
        <f ca="1">AVERAGE(OFFSET($CC$3,0,0,'Données projet'!$E$12+1,1))-AVERAGE(OFFSET($H$3,0,0,'Données projet'!$E$12+1,1))</f>
        <v>722.05521609092671</v>
      </c>
      <c r="CE32" s="59">
        <f t="shared" si="40"/>
        <v>317.36319714884644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4.0942857142857143</v>
      </c>
      <c r="CT32" s="12">
        <f>IF('Données projet'!$A$140&gt;35,CT31+CS32-DB31,IF(A32&lt;'Données projet'!$A$140,$CQ$205^A32,IF(A32='Données projet'!$A$140,'Données projet'!$B$140,CT31+CS32-DB31)))</f>
        <v>118.73428571428579</v>
      </c>
      <c r="CU32" s="17">
        <f>CT32*VLOOKUP('Données projet'!$B$13,Paramètres!$A$1:$I$89,3,0)*VLOOKUP('Données projet'!$B$13,Paramètres!$A$1:$I$89,5,0)</f>
        <v>127.80558514285723</v>
      </c>
      <c r="CV32" s="13">
        <f t="shared" si="41"/>
        <v>33.48879317901816</v>
      </c>
      <c r="CW32" s="20">
        <f t="shared" si="13"/>
        <v>280.92104224393296</v>
      </c>
      <c r="CX32" s="59">
        <f t="shared" si="14"/>
        <v>517.84893956670885</v>
      </c>
      <c r="CY32" s="59">
        <f ca="1">AVERAGE(OFFSET($CX$3,0,0,'Données projet'!$E$13+1,1))-AVERAGE(OFFSET($H$3,0,0,'Données projet'!$E$13+1,1))</f>
        <v>792.94606354161886</v>
      </c>
      <c r="CZ32" s="59">
        <f t="shared" si="42"/>
        <v>346.14443498270919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5.1282051282051295</v>
      </c>
      <c r="DO32" s="12">
        <f>IF('Données projet'!$A$166&gt;35,DO31+DN32-DW31,IF(A32&lt;'Données projet'!$A$166,$DL$205^A32,IF(A32='Données projet'!$A$166,'Données projet'!$B$166,DO31+DN32-DW31)))</f>
        <v>71.153846153846146</v>
      </c>
      <c r="DP32" s="17">
        <f>DO32*VLOOKUP('Données projet'!$B$14,Paramètres!$A$1:$I$89,3,0)*VLOOKUP('Données projet'!$B$14,Paramètres!$A$1:$I$89,5,0)</f>
        <v>74.36999999999999</v>
      </c>
      <c r="DQ32" s="13">
        <f t="shared" si="43"/>
        <v>20.754828284827131</v>
      </c>
      <c r="DR32" s="20">
        <f t="shared" si="16"/>
        <v>165.67574259607389</v>
      </c>
      <c r="DS32" s="59">
        <f t="shared" si="17"/>
        <v>402.60363991884969</v>
      </c>
      <c r="DT32" s="59">
        <f ca="1">AVERAGE(OFFSET($DS$3,0,0,'Données projet'!$E$14+1,1))-AVERAGE(OFFSET($H$3,0,0,'Données projet'!$E$14+1,1))</f>
        <v>269.21114382490202</v>
      </c>
      <c r="DU32" s="59">
        <f t="shared" si="44"/>
        <v>233.07776944102309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6.2813920442004605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6.2813920442004605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4.0942857142857143</v>
      </c>
      <c r="FE32" s="12">
        <f>IF('Données projet'!$A$218&gt;35,FE31+FD32-FM31,IF(A32&lt;'Données projet'!$A$218,$FB$205^A32,IF(A32='Données projet'!$A$218,'Données projet'!$B$218,FE31+FD32-FM31)))</f>
        <v>118.73428571428579</v>
      </c>
      <c r="FF32" s="17">
        <f>FE32*VLOOKUP('Données projet'!$B$16,Paramètres!$A$1:$I$89,3,0)*VLOOKUP('Données projet'!$B$16,Paramètres!$A$1:$I$89,5,0)</f>
        <v>135.21460457142868</v>
      </c>
      <c r="FG32" s="13">
        <f t="shared" si="47"/>
        <v>35.198529481219673</v>
      </c>
      <c r="FH32" s="20">
        <f t="shared" si="22"/>
        <v>296.80287514169589</v>
      </c>
      <c r="FI32" s="59">
        <f t="shared" si="23"/>
        <v>533.73077246447178</v>
      </c>
      <c r="FJ32" s="59">
        <f ca="1">AVERAGE(OFFSET($FI$3,0,0,'Données projet'!$E$16+1,1))-AVERAGE(OFFSET($H$3,0,0,'Données projet'!$E$16+1,1))</f>
        <v>833.39050463936144</v>
      </c>
      <c r="FK32" s="59">
        <f t="shared" si="48"/>
        <v>362.56178526355507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484.21844399329223</v>
      </c>
      <c r="S33" s="59">
        <f ca="1">AVERAGE(OFFSET($R$3,0,0,'Données projet'!$E$9+1,1))-AVERAGE(OFFSET($H$3,0,0,'Données projet'!$E$9+1,1))</f>
        <v>681.47578137804555</v>
      </c>
      <c r="T33" s="59">
        <f t="shared" si="34"/>
        <v>300.88511065995885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124.54817142857152</v>
      </c>
      <c r="AK33" s="13">
        <f t="shared" si="35"/>
        <v>32.733477997934884</v>
      </c>
      <c r="AL33" s="20">
        <f t="shared" si="4"/>
        <v>273.93220608449866</v>
      </c>
      <c r="AM33" s="59">
        <f t="shared" si="5"/>
        <v>513.03963101754061</v>
      </c>
      <c r="AN33" s="59">
        <f ca="1">AVERAGE(OFFSET($AM$3,0,0,'Données projet'!$E$10+1,1))-AVERAGE(OFFSET($H$3,0,0,'Données projet'!$E$10+1,1))</f>
        <v>752.45542076695506</v>
      </c>
      <c r="AO33" s="59">
        <f t="shared" si="36"/>
        <v>329.70629768420724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116.88366857142864</v>
      </c>
      <c r="BF33" s="13">
        <f t="shared" si="37"/>
        <v>30.947056848939916</v>
      </c>
      <c r="BG33" s="20">
        <f t="shared" si="7"/>
        <v>257.47184677380858</v>
      </c>
      <c r="BH33" s="59">
        <f t="shared" si="8"/>
        <v>496.57927170685059</v>
      </c>
      <c r="BI33" s="59">
        <f ca="1">AVERAGE(OFFSET($BH$3,0,0,'Données projet'!$E$11+1,1))-AVERAGE(OFFSET($H$3,0,0,'Données projet'!$E$11+1,1))</f>
        <v>711.91538686535682</v>
      </c>
      <c r="BJ33" s="59">
        <f t="shared" si="38"/>
        <v>313.24593837351722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4.0942857142857143</v>
      </c>
      <c r="BY33" s="12">
        <f>IF('Données projet'!$A$114&gt;35,BY32+BX33-CG32,IF(A33&lt;'Données projet'!$A$114,$BV$205^A33,IF(A33='Données projet'!$A$114,'Données projet'!$B$114,BY32+BX33-CG32)))</f>
        <v>122.82857142857151</v>
      </c>
      <c r="BZ33" s="13">
        <f>BY33*VLOOKUP('Données projet'!$B$12,Paramètres!$A$1:$I$89,3,0)*VLOOKUP('Données projet'!$B$12,Paramètres!$A$1:$I$89,5,0)</f>
        <v>118.79979428571436</v>
      </c>
      <c r="CA33" s="13">
        <f t="shared" si="39"/>
        <v>31.394907464986783</v>
      </c>
      <c r="CB33" s="20">
        <f t="shared" si="10"/>
        <v>261.5891055491378</v>
      </c>
      <c r="CC33" s="59">
        <f t="shared" si="11"/>
        <v>500.69653048217981</v>
      </c>
      <c r="CD33" s="59">
        <f ca="1">AVERAGE(OFFSET($CC$3,0,0,'Données projet'!$E$12+1,1))-AVERAGE(OFFSET($H$3,0,0,'Données projet'!$E$12+1,1))</f>
        <v>722.05521609092671</v>
      </c>
      <c r="CE33" s="59">
        <f t="shared" si="40"/>
        <v>317.36319714884644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4.0942857142857143</v>
      </c>
      <c r="CT33" s="12">
        <f>IF('Données projet'!$A$140&gt;35,CT32+CS33-DB32,IF(A33&lt;'Données projet'!$A$140,$CQ$205^A33,IF(A33='Données projet'!$A$140,'Données projet'!$B$140,CT32+CS33-DB32)))</f>
        <v>122.82857142857151</v>
      </c>
      <c r="CU33" s="17">
        <f>CT33*VLOOKUP('Données projet'!$B$13,Paramètres!$A$1:$I$89,3,0)*VLOOKUP('Données projet'!$B$13,Paramètres!$A$1:$I$89,5,0)</f>
        <v>132.21267428571434</v>
      </c>
      <c r="CV33" s="13">
        <f t="shared" si="41"/>
        <v>34.507140096869726</v>
      </c>
      <c r="CW33" s="20">
        <f t="shared" si="13"/>
        <v>290.3703433830006</v>
      </c>
      <c r="CX33" s="59">
        <f t="shared" si="14"/>
        <v>529.47776831604256</v>
      </c>
      <c r="CY33" s="59">
        <f ca="1">AVERAGE(OFFSET($CX$3,0,0,'Données projet'!$E$13+1,1))-AVERAGE(OFFSET($H$3,0,0,'Données projet'!$E$13+1,1))</f>
        <v>792.94606354161886</v>
      </c>
      <c r="CZ33" s="59">
        <f t="shared" si="42"/>
        <v>346.14443498270919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76.282051282051285</v>
      </c>
      <c r="DM33" s="12">
        <f>VLOOKUP(A33,'Données projet'!$A$165:$I$185,9,0)</f>
        <v>5.1282051282051295</v>
      </c>
      <c r="DN33" s="12">
        <f t="array" ref="DN33">INDEX(DM:DM,MIN(IF(ISNUMBER(DM33:DM229),ROW(DM33:DM229),"")))</f>
        <v>5.1282051282051295</v>
      </c>
      <c r="DO33" s="12">
        <f>IF('Données projet'!$A$166&gt;35,DO32+DN33-DW32,IF(A33&lt;'Données projet'!$A$166,$DL$205^A33,IF(A33='Données projet'!$A$166,'Données projet'!$B$166,DO32+DN33-DW32)))</f>
        <v>76.28205128205127</v>
      </c>
      <c r="DP33" s="17">
        <f>DO33*VLOOKUP('Données projet'!$B$14,Paramètres!$A$1:$I$89,3,0)*VLOOKUP('Données projet'!$B$14,Paramètres!$A$1:$I$89,5,0)</f>
        <v>79.73</v>
      </c>
      <c r="DQ33" s="13">
        <f t="shared" si="43"/>
        <v>22.071154741424582</v>
      </c>
      <c r="DR33" s="20">
        <f t="shared" si="16"/>
        <v>177.30367784131445</v>
      </c>
      <c r="DS33" s="59">
        <f t="shared" si="17"/>
        <v>416.41110277435644</v>
      </c>
      <c r="DT33" s="59">
        <f ca="1">AVERAGE(OFFSET($DS$3,0,0,'Données projet'!$E$14+1,1))-AVERAGE(OFFSET($H$3,0,0,'Données projet'!$E$14+1,1))</f>
        <v>269.21114382490202</v>
      </c>
      <c r="DU33" s="59">
        <f t="shared" si="44"/>
        <v>233.07776944102309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12.820512820512819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0.215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9.2819472038718747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9.2819472038718747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4.0942857142857143</v>
      </c>
      <c r="FE33" s="12">
        <f>IF('Données projet'!$A$218&gt;35,FE32+FD33-FM32,IF(A33&lt;'Données projet'!$A$218,$FB$205^A33,IF(A33='Données projet'!$A$218,'Données projet'!$B$218,FE32+FD33-FM32)))</f>
        <v>122.82857142857151</v>
      </c>
      <c r="FF33" s="17">
        <f>FE33*VLOOKUP('Données projet'!$B$16,Paramètres!$A$1:$I$89,3,0)*VLOOKUP('Données projet'!$B$16,Paramètres!$A$1:$I$89,5,0)</f>
        <v>139.87717714285725</v>
      </c>
      <c r="FG33" s="13">
        <f t="shared" si="47"/>
        <v>36.268867066049843</v>
      </c>
      <c r="FH33" s="20">
        <f t="shared" si="22"/>
        <v>306.78769366384648</v>
      </c>
      <c r="FI33" s="59">
        <f t="shared" si="23"/>
        <v>545.89511859688844</v>
      </c>
      <c r="FJ33" s="59">
        <f ca="1">AVERAGE(OFFSET($FI$3,0,0,'Données projet'!$E$16+1,1))-AVERAGE(OFFSET($H$3,0,0,'Données projet'!$E$16+1,1))</f>
        <v>833.39050463936144</v>
      </c>
      <c r="FK33" s="59">
        <f t="shared" si="48"/>
        <v>362.56178526355507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493.12658442064401</v>
      </c>
      <c r="S34" s="59">
        <f ca="1">AVERAGE(OFFSET($R$3,0,0,'Données projet'!$E$9+1,1))-AVERAGE(OFFSET($H$3,0,0,'Données projet'!$E$9+1,1))</f>
        <v>681.47578137804555</v>
      </c>
      <c r="T34" s="59">
        <f t="shared" si="34"/>
        <v>300.88511065995885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128.69977714285722</v>
      </c>
      <c r="AK34" s="13">
        <f t="shared" si="35"/>
        <v>33.69574046316044</v>
      </c>
      <c r="AL34" s="20">
        <f t="shared" si="4"/>
        <v>282.83885983048071</v>
      </c>
      <c r="AM34" s="59">
        <f t="shared" si="5"/>
        <v>522.8869830432983</v>
      </c>
      <c r="AN34" s="59">
        <f ca="1">AVERAGE(OFFSET($AM$3,0,0,'Données projet'!$E$10+1,1))-AVERAGE(OFFSET($H$3,0,0,'Données projet'!$E$10+1,1))</f>
        <v>752.45542076695506</v>
      </c>
      <c r="AO34" s="59">
        <f t="shared" si="36"/>
        <v>329.70629768420724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120.77979085714293</v>
      </c>
      <c r="BF34" s="13">
        <f t="shared" si="37"/>
        <v>31.856804087434281</v>
      </c>
      <c r="BG34" s="20">
        <f t="shared" si="7"/>
        <v>265.842069528472</v>
      </c>
      <c r="BH34" s="59">
        <f t="shared" si="8"/>
        <v>505.89019274128952</v>
      </c>
      <c r="BI34" s="59">
        <f ca="1">AVERAGE(OFFSET($BH$3,0,0,'Données projet'!$E$11+1,1))-AVERAGE(OFFSET($H$3,0,0,'Données projet'!$E$11+1,1))</f>
        <v>711.91538686535682</v>
      </c>
      <c r="BJ34" s="59">
        <f t="shared" si="38"/>
        <v>313.24593837351722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4.0942857142857143</v>
      </c>
      <c r="BY34" s="12">
        <f>IF('Données projet'!$A$114&gt;35,BY33+BX34-CG33,IF(A34&lt;'Données projet'!$A$114,$BV$205^A34,IF(A34='Données projet'!$A$114,'Données projet'!$B$114,BY33+BX34-CG33)))</f>
        <v>126.92285714285723</v>
      </c>
      <c r="BZ34" s="13">
        <f>BY34*VLOOKUP('Données projet'!$B$12,Paramètres!$A$1:$I$89,3,0)*VLOOKUP('Données projet'!$B$12,Paramètres!$A$1:$I$89,5,0)</f>
        <v>122.75978742857151</v>
      </c>
      <c r="CA34" s="13">
        <f t="shared" si="39"/>
        <v>32.317820118958174</v>
      </c>
      <c r="CB34" s="20">
        <f t="shared" si="10"/>
        <v>270.09349981194748</v>
      </c>
      <c r="CC34" s="59">
        <f t="shared" si="11"/>
        <v>510.14162302476507</v>
      </c>
      <c r="CD34" s="59">
        <f ca="1">AVERAGE(OFFSET($CC$3,0,0,'Données projet'!$E$12+1,1))-AVERAGE(OFFSET($H$3,0,0,'Données projet'!$E$12+1,1))</f>
        <v>722.05521609092671</v>
      </c>
      <c r="CE34" s="59">
        <f t="shared" si="40"/>
        <v>317.36319714884644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4.0942857142857143</v>
      </c>
      <c r="CT34" s="12">
        <f>IF('Données projet'!$A$140&gt;35,CT33+CS34-DB33,IF(A34&lt;'Données projet'!$A$140,$CQ$205^A34,IF(A34='Données projet'!$A$140,'Données projet'!$B$140,CT33+CS34-DB33)))</f>
        <v>126.92285714285723</v>
      </c>
      <c r="CU34" s="17">
        <f>CT34*VLOOKUP('Données projet'!$B$13,Paramètres!$A$1:$I$89,3,0)*VLOOKUP('Données projet'!$B$13,Paramètres!$A$1:$I$89,5,0)</f>
        <v>136.6197634285715</v>
      </c>
      <c r="CV34" s="13">
        <f t="shared" si="41"/>
        <v>35.521542712430268</v>
      </c>
      <c r="CW34" s="20">
        <f t="shared" si="13"/>
        <v>299.81277486224468</v>
      </c>
      <c r="CX34" s="59">
        <f t="shared" si="14"/>
        <v>539.86089807506221</v>
      </c>
      <c r="CY34" s="59">
        <f ca="1">AVERAGE(OFFSET($CX$3,0,0,'Données projet'!$E$13+1,1))-AVERAGE(OFFSET($H$3,0,0,'Données projet'!$E$13+1,1))</f>
        <v>792.94606354161886</v>
      </c>
      <c r="CZ34" s="59">
        <f t="shared" si="42"/>
        <v>346.14443498270919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4.6153846153846132</v>
      </c>
      <c r="DO34" s="12">
        <f>IF('Données projet'!$A$166&gt;35,DO33+DN34-DW33,IF(A34&lt;'Données projet'!$A$166,$DL$205^A34,IF(A34='Données projet'!$A$166,'Données projet'!$B$166,DO33+DN34-DW33)))</f>
        <v>68.076923076923066</v>
      </c>
      <c r="DP34" s="17">
        <f>DO34*VLOOKUP('Données projet'!$B$14,Paramètres!$A$1:$I$89,3,0)*VLOOKUP('Données projet'!$B$14,Paramètres!$A$1:$I$89,5,0)</f>
        <v>71.153999999999996</v>
      </c>
      <c r="DQ34" s="13">
        <f t="shared" si="43"/>
        <v>19.959763152334045</v>
      </c>
      <c r="DR34" s="20">
        <f t="shared" si="16"/>
        <v>158.68980415698181</v>
      </c>
      <c r="DS34" s="59">
        <f t="shared" si="17"/>
        <v>398.73792736979937</v>
      </c>
      <c r="DT34" s="59">
        <f ca="1">AVERAGE(OFFSET($DS$3,0,0,'Données projet'!$E$14+1,1))-AVERAGE(OFFSET($H$3,0,0,'Données projet'!$E$14+1,1))</f>
        <v>269.21114382490202</v>
      </c>
      <c r="DU34" s="59">
        <f t="shared" si="44"/>
        <v>233.07776944102309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9.028131869465609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9.028131869465609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4.0942857142857143</v>
      </c>
      <c r="FE34" s="12">
        <f>IF('Données projet'!$A$218&gt;35,FE33+FD34-FM33,IF(A34&lt;'Données projet'!$A$218,$FB$205^A34,IF(A34='Données projet'!$A$218,'Données projet'!$B$218,FE33+FD34-FM33)))</f>
        <v>126.92285714285723</v>
      </c>
      <c r="FF34" s="17">
        <f>FE34*VLOOKUP('Données projet'!$B$16,Paramètres!$A$1:$I$89,3,0)*VLOOKUP('Données projet'!$B$16,Paramètres!$A$1:$I$89,5,0)</f>
        <v>144.53974971428582</v>
      </c>
      <c r="FG34" s="13">
        <f t="shared" si="47"/>
        <v>37.335058976243957</v>
      </c>
      <c r="FH34" s="20">
        <f t="shared" si="22"/>
        <v>316.76529180267272</v>
      </c>
      <c r="FI34" s="59">
        <f t="shared" si="23"/>
        <v>556.81341501549025</v>
      </c>
      <c r="FJ34" s="59">
        <f ca="1">AVERAGE(OFFSET($FI$3,0,0,'Données projet'!$E$16+1,1))-AVERAGE(OFFSET($H$3,0,0,'Données projet'!$E$16+1,1))</f>
        <v>833.39050463936144</v>
      </c>
      <c r="FK34" s="59">
        <f t="shared" si="48"/>
        <v>362.56178526355507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502.0127253029035</v>
      </c>
      <c r="S35" s="59">
        <f ca="1">AVERAGE(OFFSET($R$3,0,0,'Données projet'!$E$9+1,1))-AVERAGE(OFFSET($H$3,0,0,'Données projet'!$E$9+1,1))</f>
        <v>681.47578137804555</v>
      </c>
      <c r="T35" s="59">
        <f t="shared" si="34"/>
        <v>300.88511065995885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132.85138285714297</v>
      </c>
      <c r="AK35" s="13">
        <f t="shared" si="35"/>
        <v>34.654395902029187</v>
      </c>
      <c r="AL35" s="20">
        <f t="shared" si="4"/>
        <v>291.73923133889144</v>
      </c>
      <c r="AM35" s="59">
        <f t="shared" si="5"/>
        <v>532.71173381941674</v>
      </c>
      <c r="AN35" s="59">
        <f ca="1">AVERAGE(OFFSET($AM$3,0,0,'Données projet'!$E$10+1,1))-AVERAGE(OFFSET($H$3,0,0,'Données projet'!$E$10+1,1))</f>
        <v>752.45542076695506</v>
      </c>
      <c r="AO35" s="59">
        <f t="shared" si="36"/>
        <v>329.70629768420724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124.67591314285721</v>
      </c>
      <c r="BF35" s="13">
        <f t="shared" si="37"/>
        <v>32.763141152108169</v>
      </c>
      <c r="BG35" s="20">
        <f t="shared" si="7"/>
        <v>274.20635289706468</v>
      </c>
      <c r="BH35" s="59">
        <f t="shared" si="8"/>
        <v>515.17885537759003</v>
      </c>
      <c r="BI35" s="59">
        <f ca="1">AVERAGE(OFFSET($BH$3,0,0,'Données projet'!$E$11+1,1))-AVERAGE(OFFSET($H$3,0,0,'Données projet'!$E$11+1,1))</f>
        <v>711.91538686535682</v>
      </c>
      <c r="BJ35" s="59">
        <f t="shared" si="38"/>
        <v>313.24593837351722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4.0942857142857143</v>
      </c>
      <c r="BY35" s="12">
        <f>IF('Données projet'!$A$114&gt;35,BY34+BX35-CG34,IF(A35&lt;'Données projet'!$A$114,$BV$205^A35,IF(A35='Données projet'!$A$114,'Données projet'!$B$114,BY34+BX35-CG34)))</f>
        <v>131.01714285714294</v>
      </c>
      <c r="BZ35" s="13">
        <f>BY35*VLOOKUP('Données projet'!$B$12,Paramètres!$A$1:$I$89,3,0)*VLOOKUP('Données projet'!$B$12,Paramètres!$A$1:$I$89,5,0)</f>
        <v>126.71978057142866</v>
      </c>
      <c r="CA35" s="13">
        <f t="shared" si="39"/>
        <v>33.237273248747421</v>
      </c>
      <c r="CB35" s="20">
        <f t="shared" si="10"/>
        <v>278.59186873680665</v>
      </c>
      <c r="CC35" s="59">
        <f t="shared" si="11"/>
        <v>519.564371217332</v>
      </c>
      <c r="CD35" s="59">
        <f ca="1">AVERAGE(OFFSET($CC$3,0,0,'Données projet'!$E$12+1,1))-AVERAGE(OFFSET($H$3,0,0,'Données projet'!$E$12+1,1))</f>
        <v>722.05521609092671</v>
      </c>
      <c r="CE35" s="59">
        <f t="shared" si="40"/>
        <v>317.36319714884644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4.0942857142857143</v>
      </c>
      <c r="CT35" s="12">
        <f>IF('Données projet'!$A$140&gt;35,CT34+CS35-DB34,IF(A35&lt;'Données projet'!$A$140,$CQ$205^A35,IF(A35='Données projet'!$A$140,'Données projet'!$B$140,CT34+CS35-DB34)))</f>
        <v>131.01714285714294</v>
      </c>
      <c r="CU35" s="17">
        <f>CT35*VLOOKUP('Données projet'!$B$13,Paramètres!$A$1:$I$89,3,0)*VLOOKUP('Données projet'!$B$13,Paramètres!$A$1:$I$89,5,0)</f>
        <v>141.02685257142866</v>
      </c>
      <c r="CV35" s="13">
        <f t="shared" si="41"/>
        <v>36.532142855065764</v>
      </c>
      <c r="CW35" s="20">
        <f t="shared" si="13"/>
        <v>309.24858370114447</v>
      </c>
      <c r="CX35" s="59">
        <f t="shared" si="14"/>
        <v>550.22108618166976</v>
      </c>
      <c r="CY35" s="59">
        <f ca="1">AVERAGE(OFFSET($CX$3,0,0,'Données projet'!$E$13+1,1))-AVERAGE(OFFSET($H$3,0,0,'Données projet'!$E$13+1,1))</f>
        <v>792.94606354161886</v>
      </c>
      <c r="CZ35" s="59">
        <f t="shared" si="42"/>
        <v>346.14443498270919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4.6153846153846132</v>
      </c>
      <c r="DO35" s="12">
        <f>IF('Données projet'!$A$166&gt;35,DO34+DN35-DW34,IF(A35&lt;'Données projet'!$A$166,$DL$205^A35,IF(A35='Données projet'!$A$166,'Données projet'!$B$166,DO34+DN35-DW34)))</f>
        <v>72.692307692307679</v>
      </c>
      <c r="DP35" s="17">
        <f>DO35*VLOOKUP('Données projet'!$B$14,Paramètres!$A$1:$I$89,3,0)*VLOOKUP('Données projet'!$B$14,Paramètres!$A$1:$I$89,5,0)</f>
        <v>75.977999999999994</v>
      </c>
      <c r="DQ35" s="13">
        <f t="shared" si="43"/>
        <v>21.150851474041477</v>
      </c>
      <c r="DR35" s="20">
        <f t="shared" si="16"/>
        <v>169.16608298395553</v>
      </c>
      <c r="DS35" s="59">
        <f t="shared" si="17"/>
        <v>410.13858546448085</v>
      </c>
      <c r="DT35" s="59">
        <f ca="1">AVERAGE(OFFSET($DS$3,0,0,'Données projet'!$E$14+1,1))-AVERAGE(OFFSET($H$3,0,0,'Données projet'!$E$14+1,1))</f>
        <v>269.21114382490202</v>
      </c>
      <c r="DU35" s="59">
        <f t="shared" si="44"/>
        <v>233.07776944102309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8.7812571287262511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8.7812571287262511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4.0942857142857143</v>
      </c>
      <c r="FE35" s="12">
        <f>IF('Données projet'!$A$218&gt;35,FE34+FD35-FM34,IF(A35&lt;'Données projet'!$A$218,$FB$205^A35,IF(A35='Données projet'!$A$218,'Données projet'!$B$218,FE34+FD35-FM34)))</f>
        <v>131.01714285714294</v>
      </c>
      <c r="FF35" s="17">
        <f>FE35*VLOOKUP('Données projet'!$B$16,Paramètres!$A$1:$I$89,3,0)*VLOOKUP('Données projet'!$B$16,Paramètres!$A$1:$I$89,5,0)</f>
        <v>149.20232228571439</v>
      </c>
      <c r="FG35" s="13">
        <f t="shared" si="47"/>
        <v>38.397254282122233</v>
      </c>
      <c r="FH35" s="20">
        <f t="shared" si="22"/>
        <v>326.73592918898208</v>
      </c>
      <c r="FI35" s="59">
        <f t="shared" si="23"/>
        <v>567.70843166950738</v>
      </c>
      <c r="FJ35" s="59">
        <f ca="1">AVERAGE(OFFSET($FI$3,0,0,'Données projet'!$E$16+1,1))-AVERAGE(OFFSET($H$3,0,0,'Données projet'!$E$16+1,1))</f>
        <v>833.39050463936144</v>
      </c>
      <c r="FK35" s="59">
        <f t="shared" si="48"/>
        <v>362.56178526355507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510.87734762339267</v>
      </c>
      <c r="S36" s="59">
        <f ca="1">AVERAGE(OFFSET($R$3,0,0,'Données projet'!$E$9+1,1))-AVERAGE(OFFSET($H$3,0,0,'Données projet'!$E$9+1,1))</f>
        <v>681.47578137804555</v>
      </c>
      <c r="T36" s="59">
        <f t="shared" si="34"/>
        <v>300.88511065995885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137.00298857142866</v>
      </c>
      <c r="AK36" s="13">
        <f t="shared" si="35"/>
        <v>35.609569967576427</v>
      </c>
      <c r="AL36" s="20">
        <f t="shared" si="4"/>
        <v>300.63353945543383</v>
      </c>
      <c r="AM36" s="59">
        <f t="shared" si="5"/>
        <v>542.5143852899746</v>
      </c>
      <c r="AN36" s="59">
        <f ca="1">AVERAGE(OFFSET($AM$3,0,0,'Données projet'!$E$10+1,1))-AVERAGE(OFFSET($H$3,0,0,'Données projet'!$E$10+1,1))</f>
        <v>752.45542076695506</v>
      </c>
      <c r="AO36" s="59">
        <f t="shared" si="36"/>
        <v>329.70629768420724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128.5720354285715</v>
      </c>
      <c r="BF36" s="13">
        <f t="shared" si="37"/>
        <v>33.666186838514868</v>
      </c>
      <c r="BG36" s="20">
        <f t="shared" si="7"/>
        <v>282.56490378184208</v>
      </c>
      <c r="BH36" s="59">
        <f t="shared" si="8"/>
        <v>524.44574961638284</v>
      </c>
      <c r="BI36" s="59">
        <f ca="1">AVERAGE(OFFSET($BH$3,0,0,'Données projet'!$E$11+1,1))-AVERAGE(OFFSET($H$3,0,0,'Données projet'!$E$11+1,1))</f>
        <v>711.91538686535682</v>
      </c>
      <c r="BJ36" s="59">
        <f t="shared" si="38"/>
        <v>313.24593837351722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4.0942857142857143</v>
      </c>
      <c r="BY36" s="12">
        <f>IF('Données projet'!$A$114&gt;35,BY35+BX36-CG35,IF(A36&lt;'Données projet'!$A$114,$BV$205^A36,IF(A36='Données projet'!$A$114,'Données projet'!$B$114,BY35+BX36-CG35)))</f>
        <v>135.11142857142866</v>
      </c>
      <c r="BZ36" s="13">
        <f>BY36*VLOOKUP('Données projet'!$B$12,Paramètres!$A$1:$I$89,3,0)*VLOOKUP('Données projet'!$B$12,Paramètres!$A$1:$I$89,5,0)</f>
        <v>130.6797737142858</v>
      </c>
      <c r="CA36" s="13">
        <f t="shared" si="39"/>
        <v>34.153387369058827</v>
      </c>
      <c r="CB36" s="20">
        <f t="shared" si="10"/>
        <v>287.08442222015856</v>
      </c>
      <c r="CC36" s="59">
        <f t="shared" si="11"/>
        <v>528.96526805469932</v>
      </c>
      <c r="CD36" s="59">
        <f ca="1">AVERAGE(OFFSET($CC$3,0,0,'Données projet'!$E$12+1,1))-AVERAGE(OFFSET($H$3,0,0,'Données projet'!$E$12+1,1))</f>
        <v>722.05521609092671</v>
      </c>
      <c r="CE36" s="59">
        <f t="shared" si="40"/>
        <v>317.36319714884644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4.0942857142857143</v>
      </c>
      <c r="CT36" s="12">
        <f>IF('Données projet'!$A$140&gt;35,CT35+CS36-DB35,IF(A36&lt;'Données projet'!$A$140,$CQ$205^A36,IF(A36='Données projet'!$A$140,'Données projet'!$B$140,CT35+CS36-DB35)))</f>
        <v>135.11142857142866</v>
      </c>
      <c r="CU36" s="17">
        <f>CT36*VLOOKUP('Données projet'!$B$13,Paramètres!$A$1:$I$89,3,0)*VLOOKUP('Données projet'!$B$13,Paramètres!$A$1:$I$89,5,0)</f>
        <v>145.43394171428579</v>
      </c>
      <c r="CV36" s="13">
        <f t="shared" si="41"/>
        <v>37.539072986315936</v>
      </c>
      <c r="CW36" s="20">
        <f t="shared" si="13"/>
        <v>318.67800060354801</v>
      </c>
      <c r="CX36" s="59">
        <f t="shared" si="14"/>
        <v>560.55884643808872</v>
      </c>
      <c r="CY36" s="59">
        <f ca="1">AVERAGE(OFFSET($CX$3,0,0,'Données projet'!$E$13+1,1))-AVERAGE(OFFSET($H$3,0,0,'Données projet'!$E$13+1,1))</f>
        <v>792.94606354161886</v>
      </c>
      <c r="CZ36" s="59">
        <f t="shared" si="42"/>
        <v>346.14443498270919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4.6153846153846132</v>
      </c>
      <c r="DO36" s="12">
        <f>IF('Données projet'!$A$166&gt;35,DO35+DN36-DW35,IF(A36&lt;'Données projet'!$A$166,$DL$205^A36,IF(A36='Données projet'!$A$166,'Données projet'!$B$166,DO35+DN36-DW35)))</f>
        <v>77.307692307692292</v>
      </c>
      <c r="DP36" s="17">
        <f>DO36*VLOOKUP('Données projet'!$B$14,Paramètres!$A$1:$I$89,3,0)*VLOOKUP('Données projet'!$B$14,Paramètres!$A$1:$I$89,5,0)</f>
        <v>80.801999999999992</v>
      </c>
      <c r="DQ36" s="13">
        <f t="shared" si="43"/>
        <v>22.333163311057419</v>
      </c>
      <c r="DR36" s="20">
        <f t="shared" si="16"/>
        <v>179.62707610009167</v>
      </c>
      <c r="DS36" s="59">
        <f t="shared" si="17"/>
        <v>421.50792193463241</v>
      </c>
      <c r="DT36" s="59">
        <f ca="1">AVERAGE(OFFSET($DS$3,0,0,'Données projet'!$E$14+1,1))-AVERAGE(OFFSET($H$3,0,0,'Données projet'!$E$14+1,1))</f>
        <v>269.21114382490202</v>
      </c>
      <c r="DU36" s="59">
        <f t="shared" si="44"/>
        <v>233.07776944102309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8.541133190754989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8.541133190754989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4.0942857142857143</v>
      </c>
      <c r="FE36" s="12">
        <f>IF('Données projet'!$A$218&gt;35,FE35+FD36-FM35,IF(A36&lt;'Données projet'!$A$218,$FB$205^A36,IF(A36='Données projet'!$A$218,'Données projet'!$B$218,FE35+FD36-FM35)))</f>
        <v>135.11142857142866</v>
      </c>
      <c r="FF36" s="17">
        <f>FE36*VLOOKUP('Données projet'!$B$16,Paramètres!$A$1:$I$89,3,0)*VLOOKUP('Données projet'!$B$16,Paramètres!$A$1:$I$89,5,0)</f>
        <v>153.86489485714296</v>
      </c>
      <c r="FG36" s="13">
        <f t="shared" si="47"/>
        <v>39.455592207913583</v>
      </c>
      <c r="FH36" s="20">
        <f t="shared" si="22"/>
        <v>336.6998483049735</v>
      </c>
      <c r="FI36" s="59">
        <f t="shared" si="23"/>
        <v>578.58069413951421</v>
      </c>
      <c r="FJ36" s="59">
        <f ca="1">AVERAGE(OFFSET($FI$3,0,0,'Données projet'!$E$16+1,1))-AVERAGE(OFFSET($H$3,0,0,'Données projet'!$E$16+1,1))</f>
        <v>833.39050463936144</v>
      </c>
      <c r="FK36" s="59">
        <f t="shared" si="48"/>
        <v>362.56178526355507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519.72091477976437</v>
      </c>
      <c r="S37" s="59">
        <f ca="1">AVERAGE(OFFSET($R$3,0,0,'Données projet'!$E$9+1,1))-AVERAGE(OFFSET($H$3,0,0,'Données projet'!$E$9+1,1))</f>
        <v>681.47578137804555</v>
      </c>
      <c r="T37" s="59">
        <f t="shared" si="34"/>
        <v>300.88511065995885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141.15459428571441</v>
      </c>
      <c r="AK37" s="13">
        <f t="shared" si="35"/>
        <v>36.561380264751591</v>
      </c>
      <c r="AL37" s="20">
        <f t="shared" si="4"/>
        <v>309.52198900872827</v>
      </c>
      <c r="AM37" s="59">
        <f t="shared" si="5"/>
        <v>552.29542047084385</v>
      </c>
      <c r="AN37" s="59">
        <f ca="1">AVERAGE(OFFSET($AM$3,0,0,'Données projet'!$E$10+1,1))-AVERAGE(OFFSET($H$3,0,0,'Données projet'!$E$10+1,1))</f>
        <v>752.45542076695506</v>
      </c>
      <c r="AO37" s="59">
        <f t="shared" si="36"/>
        <v>329.70629768420724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132.46815771428581</v>
      </c>
      <c r="BF37" s="13">
        <f t="shared" si="37"/>
        <v>34.566052333343904</v>
      </c>
      <c r="BG37" s="20">
        <f t="shared" si="7"/>
        <v>290.91791583295509</v>
      </c>
      <c r="BH37" s="59">
        <f t="shared" si="8"/>
        <v>533.69134729507073</v>
      </c>
      <c r="BI37" s="59">
        <f ca="1">AVERAGE(OFFSET($BH$3,0,0,'Données projet'!$E$11+1,1))-AVERAGE(OFFSET($H$3,0,0,'Données projet'!$E$11+1,1))</f>
        <v>711.91538686535682</v>
      </c>
      <c r="BJ37" s="59">
        <f t="shared" si="38"/>
        <v>313.24593837351722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4.0942857142857143</v>
      </c>
      <c r="BY37" s="12">
        <f>IF('Données projet'!$A$114&gt;35,BY36+BX37-CG36,IF(A37&lt;'Données projet'!$A$114,$BV$205^A37,IF(A37='Données projet'!$A$114,'Données projet'!$B$114,BY36+BX37-CG36)))</f>
        <v>139.20571428571438</v>
      </c>
      <c r="BZ37" s="13">
        <f>BY37*VLOOKUP('Données projet'!$B$12,Paramètres!$A$1:$I$89,3,0)*VLOOKUP('Données projet'!$B$12,Paramètres!$A$1:$I$89,5,0)</f>
        <v>134.63976685714297</v>
      </c>
      <c r="CA37" s="13">
        <f t="shared" si="39"/>
        <v>35.066275275621095</v>
      </c>
      <c r="CB37" s="20">
        <f t="shared" si="10"/>
        <v>295.5713567145641</v>
      </c>
      <c r="CC37" s="59">
        <f t="shared" si="11"/>
        <v>538.34478817667969</v>
      </c>
      <c r="CD37" s="59">
        <f ca="1">AVERAGE(OFFSET($CC$3,0,0,'Données projet'!$E$12+1,1))-AVERAGE(OFFSET($H$3,0,0,'Données projet'!$E$12+1,1))</f>
        <v>722.05521609092671</v>
      </c>
      <c r="CE37" s="59">
        <f t="shared" si="40"/>
        <v>317.36319714884644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4.0942857142857143</v>
      </c>
      <c r="CT37" s="12">
        <f>IF('Données projet'!$A$140&gt;35,CT36+CS37-DB36,IF(A37&lt;'Données projet'!$A$140,$CQ$205^A37,IF(A37='Données projet'!$A$140,'Données projet'!$B$140,CT36+CS37-DB36)))</f>
        <v>139.20571428571438</v>
      </c>
      <c r="CU37" s="17">
        <f>CT37*VLOOKUP('Données projet'!$B$13,Paramètres!$A$1:$I$89,3,0)*VLOOKUP('Données projet'!$B$13,Paramètres!$A$1:$I$89,5,0)</f>
        <v>149.84103085714295</v>
      </c>
      <c r="CV37" s="13">
        <f t="shared" si="41"/>
        <v>38.542457083549316</v>
      </c>
      <c r="CW37" s="20">
        <f t="shared" si="13"/>
        <v>328.10124149670571</v>
      </c>
      <c r="CX37" s="59">
        <f t="shared" si="14"/>
        <v>570.87467295882129</v>
      </c>
      <c r="CY37" s="59">
        <f ca="1">AVERAGE(OFFSET($CX$3,0,0,'Données projet'!$E$13+1,1))-AVERAGE(OFFSET($H$3,0,0,'Données projet'!$E$13+1,1))</f>
        <v>792.94606354161886</v>
      </c>
      <c r="CZ37" s="59">
        <f t="shared" si="42"/>
        <v>346.14443498270919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4.6153846153846132</v>
      </c>
      <c r="DO37" s="12">
        <f>IF('Données projet'!$A$166&gt;35,DO36+DN37-DW36,IF(A37&lt;'Données projet'!$A$166,$DL$205^A37,IF(A37='Données projet'!$A$166,'Données projet'!$B$166,DO36+DN37-DW36)))</f>
        <v>81.923076923076906</v>
      </c>
      <c r="DP37" s="17">
        <f>DO37*VLOOKUP('Données projet'!$B$14,Paramètres!$A$1:$I$89,3,0)*VLOOKUP('Données projet'!$B$14,Paramètres!$A$1:$I$89,5,0)</f>
        <v>85.625999999999991</v>
      </c>
      <c r="DQ37" s="13">
        <f t="shared" si="43"/>
        <v>23.507282308556064</v>
      </c>
      <c r="DR37" s="20">
        <f t="shared" si="16"/>
        <v>190.07380002073512</v>
      </c>
      <c r="DS37" s="59">
        <f t="shared" si="17"/>
        <v>432.8472314828507</v>
      </c>
      <c r="DT37" s="59">
        <f ca="1">AVERAGE(OFFSET($DS$3,0,0,'Données projet'!$E$14+1,1))-AVERAGE(OFFSET($H$3,0,0,'Données projet'!$E$14+1,1))</f>
        <v>269.21114382490202</v>
      </c>
      <c r="DU37" s="59">
        <f t="shared" si="44"/>
        <v>233.07776944102309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8.3075754544951206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8.3075754544951206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4.0942857142857143</v>
      </c>
      <c r="FE37" s="12">
        <f>IF('Données projet'!$A$218&gt;35,FE36+FD37-FM36,IF(A37&lt;'Données projet'!$A$218,$FB$205^A37,IF(A37='Données projet'!$A$218,'Données projet'!$B$218,FE36+FD37-FM36)))</f>
        <v>139.20571428571438</v>
      </c>
      <c r="FF37" s="17">
        <f>FE37*VLOOKUP('Données projet'!$B$16,Paramètres!$A$1:$I$89,3,0)*VLOOKUP('Données projet'!$B$16,Paramètres!$A$1:$I$89,5,0)</f>
        <v>158.52746742857153</v>
      </c>
      <c r="FG37" s="13">
        <f t="shared" si="47"/>
        <v>40.510203060525129</v>
      </c>
      <c r="FH37" s="20">
        <f t="shared" si="22"/>
        <v>346.65727610184331</v>
      </c>
      <c r="FI37" s="59">
        <f t="shared" si="23"/>
        <v>589.43070756395889</v>
      </c>
      <c r="FJ37" s="59">
        <f ca="1">AVERAGE(OFFSET($FI$3,0,0,'Données projet'!$E$16+1,1))-AVERAGE(OFFSET($H$3,0,0,'Données projet'!$E$16+1,1))</f>
        <v>833.39050463936144</v>
      </c>
      <c r="FK37" s="59">
        <f t="shared" si="48"/>
        <v>362.56178526355507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528.54387382962682</v>
      </c>
      <c r="S38" s="59">
        <f ca="1">AVERAGE(OFFSET($R$3,0,0,'Données projet'!$E$9+1,1))-AVERAGE(OFFSET($H$3,0,0,'Données projet'!$E$9+1,1))</f>
        <v>681.47578137804555</v>
      </c>
      <c r="T38" s="59">
        <f t="shared" si="34"/>
        <v>300.88511065995885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145.3062000000001</v>
      </c>
      <c r="AK38" s="13">
        <f t="shared" si="35"/>
        <v>37.509937087266451</v>
      </c>
      <c r="AL38" s="20">
        <f t="shared" si="4"/>
        <v>318.40477209365588</v>
      </c>
      <c r="AM38" s="59">
        <f t="shared" si="5"/>
        <v>562.05530481823041</v>
      </c>
      <c r="AN38" s="59">
        <f ca="1">AVERAGE(OFFSET($AM$3,0,0,'Données projet'!$E$10+1,1))-AVERAGE(OFFSET($H$3,0,0,'Données projet'!$E$10+1,1))</f>
        <v>752.45542076695506</v>
      </c>
      <c r="AO38" s="59">
        <f t="shared" si="36"/>
        <v>329.70629768420724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136.36428000000009</v>
      </c>
      <c r="BF38" s="13">
        <f t="shared" si="37"/>
        <v>35.462841911056067</v>
      </c>
      <c r="BG38" s="20">
        <f t="shared" si="7"/>
        <v>299.26557066175616</v>
      </c>
      <c r="BH38" s="59">
        <f t="shared" si="8"/>
        <v>542.91610338633063</v>
      </c>
      <c r="BI38" s="59">
        <f ca="1">AVERAGE(OFFSET($BH$3,0,0,'Données projet'!$E$11+1,1))-AVERAGE(OFFSET($H$3,0,0,'Données projet'!$E$11+1,1))</f>
        <v>711.91538686535682</v>
      </c>
      <c r="BJ38" s="59">
        <f t="shared" si="38"/>
        <v>313.24593837351722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4.0942857142857143</v>
      </c>
      <c r="BY38" s="12">
        <f>IF('Données projet'!$A$114&gt;35,BY37+BX38-CG37,IF(A38&lt;'Données projet'!$A$114,$BV$205^A38,IF(A38='Données projet'!$A$114,'Données projet'!$B$114,BY37+BX38-CG37)))</f>
        <v>143.3000000000001</v>
      </c>
      <c r="BZ38" s="13">
        <f>BY38*VLOOKUP('Données projet'!$B$12,Paramètres!$A$1:$I$89,3,0)*VLOOKUP('Données projet'!$B$12,Paramètres!$A$1:$I$89,5,0)</f>
        <v>138.59976000000009</v>
      </c>
      <c r="CA38" s="13">
        <f t="shared" si="39"/>
        <v>35.976042751903812</v>
      </c>
      <c r="CB38" s="20">
        <f t="shared" si="10"/>
        <v>304.05285645956593</v>
      </c>
      <c r="CC38" s="59">
        <f t="shared" si="11"/>
        <v>547.70338918414041</v>
      </c>
      <c r="CD38" s="59">
        <f ca="1">AVERAGE(OFFSET($CC$3,0,0,'Données projet'!$E$12+1,1))-AVERAGE(OFFSET($H$3,0,0,'Données projet'!$E$12+1,1))</f>
        <v>722.05521609092671</v>
      </c>
      <c r="CE38" s="59">
        <f t="shared" si="40"/>
        <v>317.36319714884644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4.0942857142857143</v>
      </c>
      <c r="CT38" s="12">
        <f>IF('Données projet'!$A$140&gt;35,CT37+CS38-DB37,IF(A38&lt;'Données projet'!$A$140,$CQ$205^A38,IF(A38='Données projet'!$A$140,'Données projet'!$B$140,CT37+CS38-DB37)))</f>
        <v>143.3000000000001</v>
      </c>
      <c r="CU38" s="17">
        <f>CT38*VLOOKUP('Données projet'!$B$13,Paramètres!$A$1:$I$89,3,0)*VLOOKUP('Données projet'!$B$13,Paramètres!$A$1:$I$89,5,0)</f>
        <v>154.24812000000009</v>
      </c>
      <c r="CV38" s="13">
        <f t="shared" si="41"/>
        <v>39.542411416737707</v>
      </c>
      <c r="CW38" s="20">
        <f t="shared" si="13"/>
        <v>337.51850888415163</v>
      </c>
      <c r="CX38" s="59">
        <f t="shared" si="14"/>
        <v>581.16904160872616</v>
      </c>
      <c r="CY38" s="59">
        <f ca="1">AVERAGE(OFFSET($CX$3,0,0,'Données projet'!$E$13+1,1))-AVERAGE(OFFSET($H$3,0,0,'Données projet'!$E$13+1,1))</f>
        <v>792.94606354161886</v>
      </c>
      <c r="CZ38" s="59">
        <f t="shared" si="42"/>
        <v>346.14443498270919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86.538461538461533</v>
      </c>
      <c r="DM38" s="12">
        <f>VLOOKUP(A38,'Données projet'!$A$165:$I$185,9,0)</f>
        <v>4.6153846153846132</v>
      </c>
      <c r="DN38" s="12">
        <f t="array" ref="DN38">INDEX(DM:DM,MIN(IF(ISNUMBER(DM38:DM234),ROW(DM38:DM234),"")))</f>
        <v>4.6153846153846132</v>
      </c>
      <c r="DO38" s="12">
        <f>IF('Données projet'!$A$166&gt;35,DO37+DN38-DW37,IF(A38&lt;'Données projet'!$A$166,$DL$205^A38,IF(A38='Données projet'!$A$166,'Données projet'!$B$166,DO37+DN38-DW37)))</f>
        <v>86.538461538461519</v>
      </c>
      <c r="DP38" s="17">
        <f>DO38*VLOOKUP('Données projet'!$B$14,Paramètres!$A$1:$I$89,3,0)*VLOOKUP('Données projet'!$B$14,Paramètres!$A$1:$I$89,5,0)</f>
        <v>90.449999999999989</v>
      </c>
      <c r="DQ38" s="13">
        <f t="shared" si="43"/>
        <v>24.673722634554377</v>
      </c>
      <c r="DR38" s="20">
        <f t="shared" si="16"/>
        <v>200.50715025518218</v>
      </c>
      <c r="DS38" s="59">
        <f t="shared" si="17"/>
        <v>444.15768297975671</v>
      </c>
      <c r="DT38" s="59">
        <f ca="1">AVERAGE(OFFSET($DS$3,0,0,'Données projet'!$E$14+1,1))-AVERAGE(OFFSET($H$3,0,0,'Données projet'!$E$14+1,1))</f>
        <v>269.21114382490202</v>
      </c>
      <c r="DU38" s="59">
        <f t="shared" si="44"/>
        <v>233.07776944102309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12.820512820512819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0.215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11.252724522259671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11.252724522259671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4.0942857142857143</v>
      </c>
      <c r="FE38" s="12">
        <f>IF('Données projet'!$A$218&gt;35,FE37+FD38-FM37,IF(A38&lt;'Données projet'!$A$218,$FB$205^A38,IF(A38='Données projet'!$A$218,'Données projet'!$B$218,FE37+FD38-FM37)))</f>
        <v>143.3000000000001</v>
      </c>
      <c r="FF38" s="17">
        <f>FE38*VLOOKUP('Données projet'!$B$16,Paramètres!$A$1:$I$89,3,0)*VLOOKUP('Données projet'!$B$16,Paramètres!$A$1:$I$89,5,0)</f>
        <v>163.1900400000001</v>
      </c>
      <c r="FG38" s="13">
        <f t="shared" si="47"/>
        <v>41.561209045973968</v>
      </c>
      <c r="FH38" s="20">
        <f t="shared" si="22"/>
        <v>356.60842542173822</v>
      </c>
      <c r="FI38" s="59">
        <f t="shared" si="23"/>
        <v>600.25895814631269</v>
      </c>
      <c r="FJ38" s="59">
        <f ca="1">AVERAGE(OFFSET($FI$3,0,0,'Données projet'!$E$16+1,1))-AVERAGE(OFFSET($H$3,0,0,'Données projet'!$E$16+1,1))</f>
        <v>833.39050463936144</v>
      </c>
      <c r="FK38" s="59">
        <f t="shared" si="48"/>
        <v>362.56178526355507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537.3466565983415</v>
      </c>
      <c r="S39" s="59">
        <f ca="1">AVERAGE(OFFSET($R$3,0,0,'Données projet'!$E$9+1,1))-AVERAGE(OFFSET($H$3,0,0,'Données projet'!$E$9+1,1))</f>
        <v>681.47578137804555</v>
      </c>
      <c r="T39" s="59">
        <f t="shared" si="34"/>
        <v>300.88511065995885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149.45780571428583</v>
      </c>
      <c r="AK39" s="13">
        <f t="shared" si="35"/>
        <v>38.455344067865383</v>
      </c>
      <c r="AL39" s="20">
        <f t="shared" si="4"/>
        <v>327.2820692039133</v>
      </c>
      <c r="AM39" s="59">
        <f t="shared" si="5"/>
        <v>571.79448744494766</v>
      </c>
      <c r="AN39" s="59">
        <f ca="1">AVERAGE(OFFSET($AM$3,0,0,'Données projet'!$E$10+1,1))-AVERAGE(OFFSET($H$3,0,0,'Données projet'!$E$10+1,1))</f>
        <v>752.45542076695506</v>
      </c>
      <c r="AO39" s="59">
        <f t="shared" si="36"/>
        <v>329.70629768420724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140.26040228571438</v>
      </c>
      <c r="BF39" s="13">
        <f t="shared" si="37"/>
        <v>36.356653548665221</v>
      </c>
      <c r="BG39" s="20">
        <f t="shared" si="7"/>
        <v>307.60803891154438</v>
      </c>
      <c r="BH39" s="59">
        <f t="shared" si="8"/>
        <v>552.12045715257887</v>
      </c>
      <c r="BI39" s="59">
        <f ca="1">AVERAGE(OFFSET($BH$3,0,0,'Données projet'!$E$11+1,1))-AVERAGE(OFFSET($H$3,0,0,'Données projet'!$E$11+1,1))</f>
        <v>711.91538686535682</v>
      </c>
      <c r="BJ39" s="59">
        <f t="shared" si="38"/>
        <v>313.24593837351722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4.0942857142857143</v>
      </c>
      <c r="BY39" s="12">
        <f>IF('Données projet'!$A$114&gt;35,BY38+BX39-CG38,IF(A39&lt;'Données projet'!$A$114,$BV$205^A39,IF(A39='Données projet'!$A$114,'Données projet'!$B$114,BY38+BX39-CG38)))</f>
        <v>147.39428571428581</v>
      </c>
      <c r="BZ39" s="13">
        <f>BY39*VLOOKUP('Données projet'!$B$12,Paramètres!$A$1:$I$89,3,0)*VLOOKUP('Données projet'!$B$12,Paramètres!$A$1:$I$89,5,0)</f>
        <v>142.55975314285723</v>
      </c>
      <c r="CA39" s="13">
        <f t="shared" si="39"/>
        <v>36.88278919279611</v>
      </c>
      <c r="CB39" s="20">
        <f t="shared" si="10"/>
        <v>312.52909456792958</v>
      </c>
      <c r="CC39" s="59">
        <f t="shared" si="11"/>
        <v>557.04151280896394</v>
      </c>
      <c r="CD39" s="59">
        <f ca="1">AVERAGE(OFFSET($CC$3,0,0,'Données projet'!$E$12+1,1))-AVERAGE(OFFSET($H$3,0,0,'Données projet'!$E$12+1,1))</f>
        <v>722.05521609092671</v>
      </c>
      <c r="CE39" s="59">
        <f t="shared" si="40"/>
        <v>317.36319714884644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4.0942857142857143</v>
      </c>
      <c r="CT39" s="12">
        <f>IF('Données projet'!$A$140&gt;35,CT38+CS39-DB38,IF(A39&lt;'Données projet'!$A$140,$CQ$205^A39,IF(A39='Données projet'!$A$140,'Données projet'!$B$140,CT38+CS39-DB38)))</f>
        <v>147.39428571428581</v>
      </c>
      <c r="CU39" s="17">
        <f>CT39*VLOOKUP('Données projet'!$B$13,Paramètres!$A$1:$I$89,3,0)*VLOOKUP('Données projet'!$B$13,Paramètres!$A$1:$I$89,5,0)</f>
        <v>158.65520914285725</v>
      </c>
      <c r="CV39" s="13">
        <f t="shared" si="41"/>
        <v>40.539045233961282</v>
      </c>
      <c r="CW39" s="20">
        <f t="shared" si="13"/>
        <v>346.92999303962557</v>
      </c>
      <c r="CX39" s="59">
        <f t="shared" si="14"/>
        <v>591.44241128066005</v>
      </c>
      <c r="CY39" s="59">
        <f ca="1">AVERAGE(OFFSET($CX$3,0,0,'Données projet'!$E$13+1,1))-AVERAGE(OFFSET($H$3,0,0,'Données projet'!$E$13+1,1))</f>
        <v>792.94606354161886</v>
      </c>
      <c r="CZ39" s="59">
        <f t="shared" si="42"/>
        <v>346.14443498270919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4.4871794871794863</v>
      </c>
      <c r="DO39" s="12">
        <f>IF('Données projet'!$A$166&gt;35,DO38+DN39-DW38,IF(A39&lt;'Données projet'!$A$166,$DL$205^A39,IF(A39='Données projet'!$A$166,'Données projet'!$B$166,DO38+DN39-DW38)))</f>
        <v>78.20512820512819</v>
      </c>
      <c r="DP39" s="17">
        <f>DO39*VLOOKUP('Données projet'!$B$14,Paramètres!$A$1:$I$89,3,0)*VLOOKUP('Données projet'!$B$14,Paramètres!$A$1:$I$89,5,0)</f>
        <v>81.739999999999995</v>
      </c>
      <c r="DQ39" s="13">
        <f t="shared" si="43"/>
        <v>22.56208894179845</v>
      </c>
      <c r="DR39" s="20">
        <f t="shared" si="16"/>
        <v>181.65947157363226</v>
      </c>
      <c r="DS39" s="59">
        <f t="shared" si="17"/>
        <v>426.17188981466666</v>
      </c>
      <c r="DT39" s="59">
        <f ca="1">AVERAGE(OFFSET($DS$3,0,0,'Données projet'!$E$14+1,1))-AVERAGE(OFFSET($H$3,0,0,'Données projet'!$E$14+1,1))</f>
        <v>269.21114382490202</v>
      </c>
      <c r="DU39" s="59">
        <f t="shared" si="44"/>
        <v>233.07776944102309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10.945018178443416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10.945018178443416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4.0942857142857143</v>
      </c>
      <c r="FE39" s="12">
        <f>IF('Données projet'!$A$218&gt;35,FE38+FD39-FM38,IF(A39&lt;'Données projet'!$A$218,$FB$205^A39,IF(A39='Données projet'!$A$218,'Données projet'!$B$218,FE38+FD39-FM38)))</f>
        <v>147.39428571428581</v>
      </c>
      <c r="FF39" s="17">
        <f>FE39*VLOOKUP('Données projet'!$B$16,Paramètres!$A$1:$I$89,3,0)*VLOOKUP('Données projet'!$B$16,Paramètres!$A$1:$I$89,5,0)</f>
        <v>167.85261257142866</v>
      </c>
      <c r="FG39" s="13">
        <f t="shared" si="47"/>
        <v>42.608724989889822</v>
      </c>
      <c r="FH39" s="20">
        <f t="shared" si="22"/>
        <v>366.55349625262966</v>
      </c>
      <c r="FI39" s="59">
        <f t="shared" si="23"/>
        <v>611.06591449366408</v>
      </c>
      <c r="FJ39" s="59">
        <f ca="1">AVERAGE(OFFSET($FI$3,0,0,'Données projet'!$E$16+1,1))-AVERAGE(OFFSET($H$3,0,0,'Données projet'!$E$16+1,1))</f>
        <v>833.39050463936144</v>
      </c>
      <c r="FK39" s="59">
        <f t="shared" si="48"/>
        <v>362.56178526355507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546.12968066838414</v>
      </c>
      <c r="S40" s="59">
        <f ca="1">AVERAGE(OFFSET($R$3,0,0,'Données projet'!$E$9+1,1))-AVERAGE(OFFSET($H$3,0,0,'Données projet'!$E$9+1,1))</f>
        <v>681.47578137804555</v>
      </c>
      <c r="T40" s="59">
        <f t="shared" si="34"/>
        <v>300.88511065995885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153.60941142857155</v>
      </c>
      <c r="AK40" s="13">
        <f t="shared" si="35"/>
        <v>39.397698754311712</v>
      </c>
      <c r="AL40" s="20">
        <f t="shared" si="4"/>
        <v>336.15405023518832</v>
      </c>
      <c r="AM40" s="59">
        <f t="shared" si="5"/>
        <v>581.51340220585939</v>
      </c>
      <c r="AN40" s="59">
        <f ca="1">AVERAGE(OFFSET($AM$3,0,0,'Données projet'!$E$10+1,1))-AVERAGE(OFFSET($H$3,0,0,'Données projet'!$E$10+1,1))</f>
        <v>752.45542076695506</v>
      </c>
      <c r="AO40" s="59">
        <f t="shared" si="36"/>
        <v>329.70629768420724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144.15652457142866</v>
      </c>
      <c r="BF40" s="13">
        <f t="shared" si="37"/>
        <v>37.247579470290766</v>
      </c>
      <c r="BG40" s="20">
        <f t="shared" si="7"/>
        <v>315.94548120599461</v>
      </c>
      <c r="BH40" s="59">
        <f t="shared" si="8"/>
        <v>561.30483317666574</v>
      </c>
      <c r="BI40" s="59">
        <f ca="1">AVERAGE(OFFSET($BH$3,0,0,'Données projet'!$E$11+1,1))-AVERAGE(OFFSET($H$3,0,0,'Données projet'!$E$11+1,1))</f>
        <v>711.91538686535682</v>
      </c>
      <c r="BJ40" s="59">
        <f t="shared" si="38"/>
        <v>313.24593837351722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4.0942857142857143</v>
      </c>
      <c r="BY40" s="12">
        <f>IF('Données projet'!$A$114&gt;35,BY39+BX40-CG39,IF(A40&lt;'Données projet'!$A$114,$BV$205^A40,IF(A40='Données projet'!$A$114,'Données projet'!$B$114,BY39+BX40-CG39)))</f>
        <v>151.48857142857153</v>
      </c>
      <c r="BZ40" s="13">
        <f>BY40*VLOOKUP('Données projet'!$B$12,Paramètres!$A$1:$I$89,3,0)*VLOOKUP('Données projet'!$B$12,Paramètres!$A$1:$I$89,5,0)</f>
        <v>146.5197462857144</v>
      </c>
      <c r="CA40" s="13">
        <f t="shared" si="39"/>
        <v>37.786608157039595</v>
      </c>
      <c r="CB40" s="20">
        <f t="shared" si="10"/>
        <v>321.00023398779655</v>
      </c>
      <c r="CC40" s="59">
        <f t="shared" si="11"/>
        <v>566.35958595846762</v>
      </c>
      <c r="CD40" s="59">
        <f ca="1">AVERAGE(OFFSET($CC$3,0,0,'Données projet'!$E$12+1,1))-AVERAGE(OFFSET($H$3,0,0,'Données projet'!$E$12+1,1))</f>
        <v>722.05521609092671</v>
      </c>
      <c r="CE40" s="59">
        <f t="shared" si="40"/>
        <v>317.36319714884644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4.0942857142857143</v>
      </c>
      <c r="CT40" s="12">
        <f>IF('Données projet'!$A$140&gt;35,CT39+CS40-DB39,IF(A40&lt;'Données projet'!$A$140,$CQ$205^A40,IF(A40='Données projet'!$A$140,'Données projet'!$B$140,CT39+CS40-DB39)))</f>
        <v>151.48857142857153</v>
      </c>
      <c r="CU40" s="17">
        <f>CT40*VLOOKUP('Données projet'!$B$13,Paramètres!$A$1:$I$89,3,0)*VLOOKUP('Données projet'!$B$13,Paramètres!$A$1:$I$89,5,0)</f>
        <v>163.06229828571438</v>
      </c>
      <c r="CV40" s="13">
        <f t="shared" si="41"/>
        <v>41.53246136860475</v>
      </c>
      <c r="CW40" s="20">
        <f t="shared" si="13"/>
        <v>356.33587306460578</v>
      </c>
      <c r="CX40" s="59">
        <f t="shared" si="14"/>
        <v>601.69522503527685</v>
      </c>
      <c r="CY40" s="59">
        <f ca="1">AVERAGE(OFFSET($CX$3,0,0,'Données projet'!$E$13+1,1))-AVERAGE(OFFSET($H$3,0,0,'Données projet'!$E$13+1,1))</f>
        <v>792.94606354161886</v>
      </c>
      <c r="CZ40" s="59">
        <f t="shared" si="42"/>
        <v>346.14443498270919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4.4871794871794863</v>
      </c>
      <c r="DO40" s="12">
        <f>IF('Données projet'!$A$166&gt;35,DO39+DN40-DW39,IF(A40&lt;'Données projet'!$A$166,$DL$205^A40,IF(A40='Données projet'!$A$166,'Données projet'!$B$166,DO39+DN40-DW39)))</f>
        <v>82.692307692307679</v>
      </c>
      <c r="DP40" s="17">
        <f>DO40*VLOOKUP('Données projet'!$B$14,Paramètres!$A$1:$I$89,3,0)*VLOOKUP('Données projet'!$B$14,Paramètres!$A$1:$I$89,5,0)</f>
        <v>86.429999999999993</v>
      </c>
      <c r="DQ40" s="13">
        <f t="shared" si="43"/>
        <v>23.702209286798929</v>
      </c>
      <c r="DR40" s="20">
        <f t="shared" si="16"/>
        <v>191.81359784117478</v>
      </c>
      <c r="DS40" s="59">
        <f t="shared" si="17"/>
        <v>437.17294981184591</v>
      </c>
      <c r="DT40" s="59">
        <f ca="1">AVERAGE(OFFSET($DS$3,0,0,'Données projet'!$E$14+1,1))-AVERAGE(OFFSET($H$3,0,0,'Données projet'!$E$14+1,1))</f>
        <v>269.21114382490202</v>
      </c>
      <c r="DU40" s="59">
        <f t="shared" si="44"/>
        <v>233.07776944102309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10.64572608078039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10.64572608078039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4.0942857142857143</v>
      </c>
      <c r="FE40" s="12">
        <f>IF('Données projet'!$A$218&gt;35,FE39+FD40-FM39,IF(A40&lt;'Données projet'!$A$218,$FB$205^A40,IF(A40='Données projet'!$A$218,'Données projet'!$B$218,FE39+FD40-FM39)))</f>
        <v>151.48857142857153</v>
      </c>
      <c r="FF40" s="17">
        <f>FE40*VLOOKUP('Données projet'!$B$16,Paramètres!$A$1:$I$89,3,0)*VLOOKUP('Données projet'!$B$16,Paramètres!$A$1:$I$89,5,0)</f>
        <v>172.51518514285726</v>
      </c>
      <c r="FG40" s="13">
        <f t="shared" si="47"/>
        <v>43.652858975711574</v>
      </c>
      <c r="FH40" s="20">
        <f t="shared" si="22"/>
        <v>376.49267683984073</v>
      </c>
      <c r="FI40" s="59">
        <f t="shared" si="23"/>
        <v>621.8520288105118</v>
      </c>
      <c r="FJ40" s="59">
        <f ca="1">AVERAGE(OFFSET($FI$3,0,0,'Données projet'!$E$16+1,1))-AVERAGE(OFFSET($H$3,0,0,'Données projet'!$E$16+1,1))</f>
        <v>833.39050463936144</v>
      </c>
      <c r="FK40" s="59">
        <f t="shared" si="48"/>
        <v>362.56178526355507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554.89335026645574</v>
      </c>
      <c r="S41" s="59">
        <f ca="1">AVERAGE(OFFSET($R$3,0,0,'Données projet'!$E$9+1,1))-AVERAGE(OFFSET($H$3,0,0,'Données projet'!$E$9+1,1))</f>
        <v>681.47578137804555</v>
      </c>
      <c r="T41" s="59">
        <f t="shared" si="34"/>
        <v>300.88511065995885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157.76101714285727</v>
      </c>
      <c r="AK41" s="13">
        <f t="shared" si="35"/>
        <v>40.337093121354812</v>
      </c>
      <c r="AL41" s="20">
        <f t="shared" si="4"/>
        <v>345.02087537683605</v>
      </c>
      <c r="AM41" s="59">
        <f t="shared" si="5"/>
        <v>591.21246867039474</v>
      </c>
      <c r="AN41" s="59">
        <f ca="1">AVERAGE(OFFSET($AM$3,0,0,'Données projet'!$E$10+1,1))-AVERAGE(OFFSET($H$3,0,0,'Données projet'!$E$10+1,1))</f>
        <v>752.45542076695506</v>
      </c>
      <c r="AO41" s="59">
        <f t="shared" si="36"/>
        <v>329.70629768420724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148.05264685714295</v>
      </c>
      <c r="BF41" s="13">
        <f t="shared" si="37"/>
        <v>38.135706631183687</v>
      </c>
      <c r="BG41" s="20">
        <f t="shared" si="7"/>
        <v>324.27804899216886</v>
      </c>
      <c r="BH41" s="59">
        <f t="shared" si="8"/>
        <v>570.46964228572756</v>
      </c>
      <c r="BI41" s="59">
        <f ca="1">AVERAGE(OFFSET($BH$3,0,0,'Données projet'!$E$11+1,1))-AVERAGE(OFFSET($H$3,0,0,'Données projet'!$E$11+1,1))</f>
        <v>711.91538686535682</v>
      </c>
      <c r="BJ41" s="59">
        <f t="shared" si="38"/>
        <v>313.24593837351722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4.0942857142857143</v>
      </c>
      <c r="BY41" s="12">
        <f>IF('Données projet'!$A$114&gt;35,BY40+BX41-CG40,IF(A41&lt;'Données projet'!$A$114,$BV$205^A41,IF(A41='Données projet'!$A$114,'Données projet'!$B$114,BY40+BX41-CG40)))</f>
        <v>155.58285714285725</v>
      </c>
      <c r="BZ41" s="13">
        <f>BY41*VLOOKUP('Données projet'!$B$12,Paramètres!$A$1:$I$89,3,0)*VLOOKUP('Données projet'!$B$12,Paramètres!$A$1:$I$89,5,0)</f>
        <v>150.47973942857155</v>
      </c>
      <c r="CA41" s="13">
        <f t="shared" si="39"/>
        <v>38.687587858258858</v>
      </c>
      <c r="CB41" s="20">
        <f t="shared" si="10"/>
        <v>329.46642835789629</v>
      </c>
      <c r="CC41" s="59">
        <f t="shared" si="11"/>
        <v>575.65802165145499</v>
      </c>
      <c r="CD41" s="59">
        <f ca="1">AVERAGE(OFFSET($CC$3,0,0,'Données projet'!$E$12+1,1))-AVERAGE(OFFSET($H$3,0,0,'Données projet'!$E$12+1,1))</f>
        <v>722.05521609092671</v>
      </c>
      <c r="CE41" s="59">
        <f t="shared" si="40"/>
        <v>317.36319714884644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4.0942857142857143</v>
      </c>
      <c r="CT41" s="12">
        <f>IF('Données projet'!$A$140&gt;35,CT40+CS41-DB40,IF(A41&lt;'Données projet'!$A$140,$CQ$205^A41,IF(A41='Données projet'!$A$140,'Données projet'!$B$140,CT40+CS41-DB40)))</f>
        <v>155.58285714285725</v>
      </c>
      <c r="CU41" s="17">
        <f>CT41*VLOOKUP('Données projet'!$B$13,Paramètres!$A$1:$I$89,3,0)*VLOOKUP('Données projet'!$B$13,Paramètres!$A$1:$I$89,5,0)</f>
        <v>167.46938742857154</v>
      </c>
      <c r="CV41" s="13">
        <f t="shared" si="41"/>
        <v>42.522756779065304</v>
      </c>
      <c r="CW41" s="20">
        <f t="shared" si="13"/>
        <v>365.7363178283008</v>
      </c>
      <c r="CX41" s="59">
        <f t="shared" si="14"/>
        <v>611.92791112185955</v>
      </c>
      <c r="CY41" s="59">
        <f ca="1">AVERAGE(OFFSET($CX$3,0,0,'Données projet'!$E$13+1,1))-AVERAGE(OFFSET($H$3,0,0,'Données projet'!$E$13+1,1))</f>
        <v>792.94606354161886</v>
      </c>
      <c r="CZ41" s="59">
        <f t="shared" si="42"/>
        <v>346.14443498270919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4.4871794871794863</v>
      </c>
      <c r="DO41" s="12">
        <f>IF('Données projet'!$A$166&gt;35,DO40+DN41-DW40,IF(A41&lt;'Données projet'!$A$166,$DL$205^A41,IF(A41='Données projet'!$A$166,'Données projet'!$B$166,DO40+DN41-DW40)))</f>
        <v>87.179487179487168</v>
      </c>
      <c r="DP41" s="17">
        <f>DO41*VLOOKUP('Données projet'!$B$14,Paramètres!$A$1:$I$89,3,0)*VLOOKUP('Données projet'!$B$14,Paramètres!$A$1:$I$89,5,0)</f>
        <v>91.12</v>
      </c>
      <c r="DQ41" s="13">
        <f t="shared" si="43"/>
        <v>24.835147287678563</v>
      </c>
      <c r="DR41" s="20">
        <f t="shared" si="16"/>
        <v>201.95521485937351</v>
      </c>
      <c r="DS41" s="59">
        <f t="shared" si="17"/>
        <v>448.14680815293224</v>
      </c>
      <c r="DT41" s="59">
        <f ca="1">AVERAGE(OFFSET($DS$3,0,0,'Données projet'!$E$14+1,1))-AVERAGE(OFFSET($H$3,0,0,'Données projet'!$E$14+1,1))</f>
        <v>269.21114382490202</v>
      </c>
      <c r="DU41" s="59">
        <f t="shared" si="44"/>
        <v>233.07776944102309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10.354618141267046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10.354618141267046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4.0942857142857143</v>
      </c>
      <c r="FE41" s="12">
        <f>IF('Données projet'!$A$218&gt;35,FE40+FD41-FM40,IF(A41&lt;'Données projet'!$A$218,$FB$205^A41,IF(A41='Données projet'!$A$218,'Données projet'!$B$218,FE40+FD41-FM40)))</f>
        <v>155.58285714285725</v>
      </c>
      <c r="FF41" s="17">
        <f>FE41*VLOOKUP('Données projet'!$B$16,Paramètres!$A$1:$I$89,3,0)*VLOOKUP('Données projet'!$B$16,Paramètres!$A$1:$I$89,5,0)</f>
        <v>177.17775771428583</v>
      </c>
      <c r="FG41" s="13">
        <f t="shared" si="47"/>
        <v>44.693712911948673</v>
      </c>
      <c r="FH41" s="20">
        <f t="shared" si="22"/>
        <v>386.42614467402501</v>
      </c>
      <c r="FI41" s="59">
        <f t="shared" si="23"/>
        <v>632.61773796758371</v>
      </c>
      <c r="FJ41" s="59">
        <f ca="1">AVERAGE(OFFSET($FI$3,0,0,'Données projet'!$E$16+1,1))-AVERAGE(OFFSET($H$3,0,0,'Données projet'!$E$16+1,1))</f>
        <v>833.39050463936144</v>
      </c>
      <c r="FK41" s="59">
        <f t="shared" si="48"/>
        <v>362.56178526355507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563.63805706193386</v>
      </c>
      <c r="S42" s="59">
        <f ca="1">AVERAGE(OFFSET($R$3,0,0,'Données projet'!$E$9+1,1))-AVERAGE(OFFSET($H$3,0,0,'Données projet'!$E$9+1,1))</f>
        <v>681.47578137804555</v>
      </c>
      <c r="T42" s="59">
        <f t="shared" si="34"/>
        <v>300.88511065995885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161.91262285714299</v>
      </c>
      <c r="AK42" s="13">
        <f t="shared" si="35"/>
        <v>41.273614027289312</v>
      </c>
      <c r="AL42" s="20">
        <f t="shared" si="4"/>
        <v>353.88269590705289</v>
      </c>
      <c r="AM42" s="59">
        <f t="shared" si="5"/>
        <v>600.89209299716003</v>
      </c>
      <c r="AN42" s="59">
        <f ca="1">AVERAGE(OFFSET($AM$3,0,0,'Données projet'!$E$10+1,1))-AVERAGE(OFFSET($H$3,0,0,'Données projet'!$E$10+1,1))</f>
        <v>752.45542076695506</v>
      </c>
      <c r="AO42" s="59">
        <f t="shared" si="36"/>
        <v>329.70629768420724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151.94876914285726</v>
      </c>
      <c r="BF42" s="13">
        <f t="shared" si="37"/>
        <v>39.021117149369502</v>
      </c>
      <c r="BG42" s="20">
        <f t="shared" si="7"/>
        <v>332.60588529229494</v>
      </c>
      <c r="BH42" s="59">
        <f t="shared" si="8"/>
        <v>579.61528238240203</v>
      </c>
      <c r="BI42" s="59">
        <f ca="1">AVERAGE(OFFSET($BH$3,0,0,'Données projet'!$E$11+1,1))-AVERAGE(OFFSET($H$3,0,0,'Données projet'!$E$11+1,1))</f>
        <v>711.91538686535682</v>
      </c>
      <c r="BJ42" s="59">
        <f t="shared" si="38"/>
        <v>313.24593837351722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4.0942857142857143</v>
      </c>
      <c r="BY42" s="12">
        <f>IF('Données projet'!$A$114&gt;35,BY41+BX42-CG41,IF(A42&lt;'Données projet'!$A$114,$BV$205^A42,IF(A42='Données projet'!$A$114,'Données projet'!$B$114,BY41+BX42-CG41)))</f>
        <v>159.67714285714297</v>
      </c>
      <c r="BZ42" s="13">
        <f>BY42*VLOOKUP('Données projet'!$B$12,Paramètres!$A$1:$I$89,3,0)*VLOOKUP('Données projet'!$B$12,Paramètres!$A$1:$I$89,5,0)</f>
        <v>154.43973257142869</v>
      </c>
      <c r="CA42" s="13">
        <f t="shared" si="39"/>
        <v>39.585811602851294</v>
      </c>
      <c r="CB42" s="20">
        <f t="shared" si="10"/>
        <v>337.92782277020427</v>
      </c>
      <c r="CC42" s="59">
        <f t="shared" si="11"/>
        <v>584.93721986031142</v>
      </c>
      <c r="CD42" s="59">
        <f ca="1">AVERAGE(OFFSET($CC$3,0,0,'Données projet'!$E$12+1,1))-AVERAGE(OFFSET($H$3,0,0,'Données projet'!$E$12+1,1))</f>
        <v>722.05521609092671</v>
      </c>
      <c r="CE42" s="59">
        <f t="shared" si="40"/>
        <v>317.36319714884644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4.0942857142857143</v>
      </c>
      <c r="CT42" s="12">
        <f>IF('Données projet'!$A$140&gt;35,CT41+CS42-DB41,IF(A42&lt;'Données projet'!$A$140,$CQ$205^A42,IF(A42='Données projet'!$A$140,'Données projet'!$B$140,CT41+CS42-DB41)))</f>
        <v>159.67714285714297</v>
      </c>
      <c r="CU42" s="17">
        <f>CT42*VLOOKUP('Données projet'!$B$13,Paramètres!$A$1:$I$89,3,0)*VLOOKUP('Données projet'!$B$13,Paramètres!$A$1:$I$89,5,0)</f>
        <v>171.8764765714287</v>
      </c>
      <c r="CV42" s="13">
        <f t="shared" si="41"/>
        <v>43.510023030050547</v>
      </c>
      <c r="CW42" s="20">
        <f t="shared" si="13"/>
        <v>375.13148680590967</v>
      </c>
      <c r="CX42" s="59">
        <f t="shared" si="14"/>
        <v>622.14088389601682</v>
      </c>
      <c r="CY42" s="59">
        <f ca="1">AVERAGE(OFFSET($CX$3,0,0,'Données projet'!$E$13+1,1))-AVERAGE(OFFSET($H$3,0,0,'Données projet'!$E$13+1,1))</f>
        <v>792.94606354161886</v>
      </c>
      <c r="CZ42" s="59">
        <f t="shared" si="42"/>
        <v>346.14443498270919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4.4871794871794863</v>
      </c>
      <c r="DO42" s="12">
        <f>IF('Données projet'!$A$166&gt;35,DO41+DN42-DW41,IF(A42&lt;'Données projet'!$A$166,$DL$205^A42,IF(A42='Données projet'!$A$166,'Données projet'!$B$166,DO41+DN42-DW41)))</f>
        <v>91.666666666666657</v>
      </c>
      <c r="DP42" s="17">
        <f>DO42*VLOOKUP('Données projet'!$B$14,Paramètres!$A$1:$I$89,3,0)*VLOOKUP('Données projet'!$B$14,Paramètres!$A$1:$I$89,5,0)</f>
        <v>95.81</v>
      </c>
      <c r="DQ42" s="13">
        <f t="shared" si="43"/>
        <v>25.961314793499493</v>
      </c>
      <c r="DR42" s="20">
        <f t="shared" si="16"/>
        <v>212.08503993201165</v>
      </c>
      <c r="DS42" s="59">
        <f t="shared" si="17"/>
        <v>459.09443702211877</v>
      </c>
      <c r="DT42" s="59">
        <f ca="1">AVERAGE(OFFSET($DS$3,0,0,'Données projet'!$E$14+1,1))-AVERAGE(OFFSET($H$3,0,0,'Données projet'!$E$14+1,1))</f>
        <v>269.21114382490202</v>
      </c>
      <c r="DU42" s="59">
        <f t="shared" si="44"/>
        <v>233.07776944102309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10.071470563668397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10.071470563668397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4.0942857142857143</v>
      </c>
      <c r="FE42" s="12">
        <f>IF('Données projet'!$A$218&gt;35,FE41+FD42-FM41,IF(A42&lt;'Données projet'!$A$218,$FB$205^A42,IF(A42='Données projet'!$A$218,'Données projet'!$B$218,FE41+FD42-FM41)))</f>
        <v>159.67714285714297</v>
      </c>
      <c r="FF42" s="17">
        <f>FE42*VLOOKUP('Données projet'!$B$16,Paramètres!$A$1:$I$89,3,0)*VLOOKUP('Données projet'!$B$16,Paramètres!$A$1:$I$89,5,0)</f>
        <v>181.8403302857144</v>
      </c>
      <c r="FG42" s="13">
        <f t="shared" si="47"/>
        <v>45.731383038051916</v>
      </c>
      <c r="FH42" s="20">
        <f t="shared" si="22"/>
        <v>396.35406737222633</v>
      </c>
      <c r="FI42" s="59">
        <f t="shared" si="23"/>
        <v>643.36346446233347</v>
      </c>
      <c r="FJ42" s="59">
        <f ca="1">AVERAGE(OFFSET($FI$3,0,0,'Données projet'!$E$16+1,1))-AVERAGE(OFFSET($H$3,0,0,'Données projet'!$E$16+1,1))</f>
        <v>833.39050463936144</v>
      </c>
      <c r="FK42" s="59">
        <f t="shared" si="48"/>
        <v>362.56178526355507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572.36418088812457</v>
      </c>
      <c r="S43" s="59">
        <f ca="1">AVERAGE(OFFSET($R$3,0,0,'Données projet'!$E$9+1,1))-AVERAGE(OFFSET($H$3,0,0,'Données projet'!$E$9+1,1))</f>
        <v>681.47578137804555</v>
      </c>
      <c r="T43" s="59">
        <f t="shared" si="34"/>
        <v>300.88511065995885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166.06422857142869</v>
      </c>
      <c r="AK43" s="13">
        <f t="shared" si="35"/>
        <v>42.20734362237048</v>
      </c>
      <c r="AL43" s="20">
        <f t="shared" si="4"/>
        <v>362.73965490420022</v>
      </c>
      <c r="AM43" s="59">
        <f t="shared" si="5"/>
        <v>610.55266872332106</v>
      </c>
      <c r="AN43" s="59">
        <f ca="1">AVERAGE(OFFSET($AM$3,0,0,'Données projet'!$E$10+1,1))-AVERAGE(OFFSET($H$3,0,0,'Données projet'!$E$10+1,1))</f>
        <v>752.45542076695506</v>
      </c>
      <c r="AO43" s="59">
        <f t="shared" si="36"/>
        <v>329.70629768420724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155.84489142857154</v>
      </c>
      <c r="BF43" s="13">
        <f t="shared" si="37"/>
        <v>39.903888691774469</v>
      </c>
      <c r="BG43" s="20">
        <f t="shared" si="7"/>
        <v>340.92912537626927</v>
      </c>
      <c r="BH43" s="59">
        <f t="shared" si="8"/>
        <v>588.74213919539011</v>
      </c>
      <c r="BI43" s="59">
        <f ca="1">AVERAGE(OFFSET($BH$3,0,0,'Données projet'!$E$11+1,1))-AVERAGE(OFFSET($H$3,0,0,'Données projet'!$E$11+1,1))</f>
        <v>711.91538686535682</v>
      </c>
      <c r="BJ43" s="59">
        <f t="shared" si="38"/>
        <v>313.24593837351722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4.0942857142857143</v>
      </c>
      <c r="BY43" s="12">
        <f>IF('Données projet'!$A$114&gt;35,BY42+BX43-CG42,IF(A43&lt;'Données projet'!$A$114,$BV$205^A43,IF(A43='Données projet'!$A$114,'Données projet'!$B$114,BY42+BX43-CG42)))</f>
        <v>163.77142857142869</v>
      </c>
      <c r="BZ43" s="13">
        <f>BY43*VLOOKUP('Données projet'!$B$12,Paramètres!$A$1:$I$89,3,0)*VLOOKUP('Données projet'!$B$12,Paramètres!$A$1:$I$89,5,0)</f>
        <v>158.39972571428584</v>
      </c>
      <c r="CA43" s="13">
        <f t="shared" si="39"/>
        <v>40.481358181700742</v>
      </c>
      <c r="CB43" s="20">
        <f t="shared" si="10"/>
        <v>346.38455445217664</v>
      </c>
      <c r="CC43" s="59">
        <f t="shared" si="11"/>
        <v>594.19756827129743</v>
      </c>
      <c r="CD43" s="59">
        <f ca="1">AVERAGE(OFFSET($CC$3,0,0,'Données projet'!$E$12+1,1))-AVERAGE(OFFSET($H$3,0,0,'Données projet'!$E$12+1,1))</f>
        <v>722.05521609092671</v>
      </c>
      <c r="CE43" s="59">
        <f t="shared" si="40"/>
        <v>317.36319714884644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4.0942857142857143</v>
      </c>
      <c r="CT43" s="12">
        <f>IF('Données projet'!$A$140&gt;35,CT42+CS43-DB42,IF(A43&lt;'Données projet'!$A$140,$CQ$205^A43,IF(A43='Données projet'!$A$140,'Données projet'!$B$140,CT42+CS43-DB42)))</f>
        <v>163.77142857142869</v>
      </c>
      <c r="CU43" s="17">
        <f>CT43*VLOOKUP('Données projet'!$B$13,Paramètres!$A$1:$I$89,3,0)*VLOOKUP('Données projet'!$B$13,Paramètres!$A$1:$I$89,5,0)</f>
        <v>176.28356571428583</v>
      </c>
      <c r="CV43" s="13">
        <f t="shared" si="41"/>
        <v>44.494346723123805</v>
      </c>
      <c r="CW43" s="20">
        <f t="shared" si="13"/>
        <v>384.52153082848844</v>
      </c>
      <c r="CX43" s="59">
        <f t="shared" si="14"/>
        <v>632.33454464760928</v>
      </c>
      <c r="CY43" s="59">
        <f ca="1">AVERAGE(OFFSET($CX$3,0,0,'Données projet'!$E$13+1,1))-AVERAGE(OFFSET($H$3,0,0,'Données projet'!$E$13+1,1))</f>
        <v>792.94606354161886</v>
      </c>
      <c r="CZ43" s="59">
        <f t="shared" si="42"/>
        <v>346.14443498270919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96.153846153846146</v>
      </c>
      <c r="DM43" s="12">
        <f>VLOOKUP(A43,'Données projet'!$A$165:$I$185,9,0)</f>
        <v>4.4871794871794863</v>
      </c>
      <c r="DN43" s="12">
        <f t="array" ref="DN43">INDEX(DM:DM,MIN(IF(ISNUMBER(DM43:DM239),ROW(DM43:DM239),"")))</f>
        <v>4.4871794871794863</v>
      </c>
      <c r="DO43" s="12">
        <f>IF('Données projet'!$A$166&gt;35,DO42+DN43-DW42,IF(A43&lt;'Données projet'!$A$166,$DL$205^A43,IF(A43='Données projet'!$A$166,'Données projet'!$B$166,DO42+DN43-DW42)))</f>
        <v>96.153846153846146</v>
      </c>
      <c r="DP43" s="17">
        <f>DO43*VLOOKUP('Données projet'!$B$14,Paramètres!$A$1:$I$89,3,0)*VLOOKUP('Données projet'!$B$14,Paramètres!$A$1:$I$89,5,0)</f>
        <v>100.5</v>
      </c>
      <c r="DQ43" s="13">
        <f t="shared" si="43"/>
        <v>27.081081054477867</v>
      </c>
      <c r="DR43" s="20">
        <f t="shared" si="16"/>
        <v>222.20371616988226</v>
      </c>
      <c r="DS43" s="59">
        <f t="shared" si="17"/>
        <v>470.01672998900307</v>
      </c>
      <c r="DT43" s="59">
        <f ca="1">AVERAGE(OFFSET($DS$3,0,0,'Données projet'!$E$14+1,1))-AVERAGE(OFFSET($H$3,0,0,'Données projet'!$E$14+1,1))</f>
        <v>269.21114382490202</v>
      </c>
      <c r="DU43" s="59">
        <f t="shared" si="44"/>
        <v>233.07776944102309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12.820512820512819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12.968385826913392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12.968385826913392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4.0942857142857143</v>
      </c>
      <c r="FE43" s="12">
        <f>IF('Données projet'!$A$218&gt;35,FE42+FD43-FM42,IF(A43&lt;'Données projet'!$A$218,$FB$205^A43,IF(A43='Données projet'!$A$218,'Données projet'!$B$218,FE42+FD43-FM42)))</f>
        <v>163.77142857142869</v>
      </c>
      <c r="FF43" s="17">
        <f>FE43*VLOOKUP('Données projet'!$B$16,Paramètres!$A$1:$I$89,3,0)*VLOOKUP('Données projet'!$B$16,Paramètres!$A$1:$I$89,5,0)</f>
        <v>186.502902857143</v>
      </c>
      <c r="FG43" s="13">
        <f t="shared" si="47"/>
        <v>46.765960376939439</v>
      </c>
      <c r="FH43" s="20">
        <f t="shared" si="22"/>
        <v>406.27660346602693</v>
      </c>
      <c r="FI43" s="59">
        <f t="shared" si="23"/>
        <v>654.08961728514771</v>
      </c>
      <c r="FJ43" s="59">
        <f ca="1">AVERAGE(OFFSET($FI$3,0,0,'Données projet'!$E$16+1,1))-AVERAGE(OFFSET($H$3,0,0,'Données projet'!$E$16+1,1))</f>
        <v>833.39050463936144</v>
      </c>
      <c r="FK43" s="59">
        <f t="shared" si="48"/>
        <v>362.56178526355507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581.07209039603197</v>
      </c>
      <c r="S44" s="59">
        <f ca="1">AVERAGE(OFFSET($R$3,0,0,'Données projet'!$E$9+1,1))-AVERAGE(OFFSET($H$3,0,0,'Données projet'!$E$9+1,1))</f>
        <v>681.47578137804555</v>
      </c>
      <c r="T44" s="59">
        <f t="shared" si="34"/>
        <v>300.88511065995885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170.21583428571441</v>
      </c>
      <c r="AK44" s="13">
        <f t="shared" si="35"/>
        <v>43.138359715238352</v>
      </c>
      <c r="AL44" s="20">
        <f t="shared" si="4"/>
        <v>371.59188788499273</v>
      </c>
      <c r="AM44" s="59">
        <f t="shared" si="5"/>
        <v>620.19457747949673</v>
      </c>
      <c r="AN44" s="59">
        <f ca="1">AVERAGE(OFFSET($AM$3,0,0,'Données projet'!$E$10+1,1))-AVERAGE(OFFSET($H$3,0,0,'Données projet'!$E$10+1,1))</f>
        <v>752.45542076695506</v>
      </c>
      <c r="AO44" s="59">
        <f t="shared" si="36"/>
        <v>329.70629768420724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159.74101371428583</v>
      </c>
      <c r="BF44" s="13">
        <f t="shared" si="37"/>
        <v>40.784094820651994</v>
      </c>
      <c r="BG44" s="20">
        <f t="shared" si="7"/>
        <v>349.24789736501674</v>
      </c>
      <c r="BH44" s="59">
        <f t="shared" si="8"/>
        <v>597.85058695952068</v>
      </c>
      <c r="BI44" s="59">
        <f ca="1">AVERAGE(OFFSET($BH$3,0,0,'Données projet'!$E$11+1,1))-AVERAGE(OFFSET($H$3,0,0,'Données projet'!$E$11+1,1))</f>
        <v>711.91538686535682</v>
      </c>
      <c r="BJ44" s="59">
        <f t="shared" si="38"/>
        <v>313.24593837351722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4.0942857142857143</v>
      </c>
      <c r="BY44" s="12">
        <f>IF('Données projet'!$A$114&gt;35,BY43+BX44-CG43,IF(A44&lt;'Données projet'!$A$114,$BV$205^A44,IF(A44='Données projet'!$A$114,'Données projet'!$B$114,BY43+BX44-CG43)))</f>
        <v>167.8657142857144</v>
      </c>
      <c r="BZ44" s="13">
        <f>BY44*VLOOKUP('Données projet'!$B$12,Paramètres!$A$1:$I$89,3,0)*VLOOKUP('Données projet'!$B$12,Paramètres!$A$1:$I$89,5,0)</f>
        <v>162.35971885714298</v>
      </c>
      <c r="CA44" s="13">
        <f t="shared" si="39"/>
        <v>41.374302221617441</v>
      </c>
      <c r="CB44" s="20">
        <f t="shared" si="10"/>
        <v>354.83675337884102</v>
      </c>
      <c r="CC44" s="59">
        <f t="shared" si="11"/>
        <v>603.43944297334497</v>
      </c>
      <c r="CD44" s="59">
        <f ca="1">AVERAGE(OFFSET($CC$3,0,0,'Données projet'!$E$12+1,1))-AVERAGE(OFFSET($H$3,0,0,'Données projet'!$E$12+1,1))</f>
        <v>722.05521609092671</v>
      </c>
      <c r="CE44" s="59">
        <f t="shared" si="40"/>
        <v>317.36319714884644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4.0942857142857143</v>
      </c>
      <c r="CT44" s="12">
        <f>IF('Données projet'!$A$140&gt;35,CT43+CS44-DB43,IF(A44&lt;'Données projet'!$A$140,$CQ$205^A44,IF(A44='Données projet'!$A$140,'Données projet'!$B$140,CT43+CS44-DB43)))</f>
        <v>167.8657142857144</v>
      </c>
      <c r="CU44" s="17">
        <f>CT44*VLOOKUP('Données projet'!$B$13,Paramètres!$A$1:$I$89,3,0)*VLOOKUP('Données projet'!$B$13,Paramètres!$A$1:$I$89,5,0)</f>
        <v>180.69065485714296</v>
      </c>
      <c r="CV44" s="13">
        <f t="shared" si="41"/>
        <v>45.475809882982915</v>
      </c>
      <c r="CW44" s="20">
        <f t="shared" si="13"/>
        <v>393.9065927557192</v>
      </c>
      <c r="CX44" s="59">
        <f t="shared" si="14"/>
        <v>642.5092823502232</v>
      </c>
      <c r="CY44" s="59">
        <f ca="1">AVERAGE(OFFSET($CX$3,0,0,'Données projet'!$E$13+1,1))-AVERAGE(OFFSET($H$3,0,0,'Données projet'!$E$13+1,1))</f>
        <v>792.94606354161886</v>
      </c>
      <c r="CZ44" s="59">
        <f t="shared" si="42"/>
        <v>346.14443498270919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4.1025641025641022</v>
      </c>
      <c r="DO44" s="12">
        <f>IF('Données projet'!$A$166&gt;35,DO43+DN44-DW43,IF(A44&lt;'Données projet'!$A$166,$DL$205^A44,IF(A44='Données projet'!$A$166,'Données projet'!$B$166,DO43+DN44-DW43)))</f>
        <v>87.435897435897431</v>
      </c>
      <c r="DP44" s="17">
        <f>DO44*VLOOKUP('Données projet'!$B$14,Paramètres!$A$1:$I$89,3,0)*VLOOKUP('Données projet'!$B$14,Paramètres!$A$1:$I$89,5,0)</f>
        <v>91.388000000000005</v>
      </c>
      <c r="DQ44" s="13">
        <f t="shared" si="43"/>
        <v>24.899678416779619</v>
      </c>
      <c r="DR44" s="20">
        <f t="shared" si="16"/>
        <v>202.53437324255785</v>
      </c>
      <c r="DS44" s="59">
        <f t="shared" si="17"/>
        <v>451.13706283706182</v>
      </c>
      <c r="DT44" s="59">
        <f ca="1">AVERAGE(OFFSET($DS$3,0,0,'Données projet'!$E$14+1,1))-AVERAGE(OFFSET($H$3,0,0,'Données projet'!$E$14+1,1))</f>
        <v>269.21114382490202</v>
      </c>
      <c r="DU44" s="59">
        <f t="shared" si="44"/>
        <v>233.07776944102309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12.613764634498676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12.613764634498676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4.0942857142857143</v>
      </c>
      <c r="FE44" s="12">
        <f>IF('Données projet'!$A$218&gt;35,FE43+FD44-FM43,IF(A44&lt;'Données projet'!$A$218,$FB$205^A44,IF(A44='Données projet'!$A$218,'Données projet'!$B$218,FE43+FD44-FM43)))</f>
        <v>167.8657142857144</v>
      </c>
      <c r="FF44" s="17">
        <f>FE44*VLOOKUP('Données projet'!$B$16,Paramètres!$A$1:$I$89,3,0)*VLOOKUP('Données projet'!$B$16,Paramètres!$A$1:$I$89,5,0)</f>
        <v>191.16547542857157</v>
      </c>
      <c r="FG44" s="13">
        <f t="shared" si="47"/>
        <v>47.797531140996604</v>
      </c>
      <c r="FH44" s="20">
        <f t="shared" si="22"/>
        <v>416.19390310866453</v>
      </c>
      <c r="FI44" s="59">
        <f t="shared" si="23"/>
        <v>664.79659270316847</v>
      </c>
      <c r="FJ44" s="59">
        <f ca="1">AVERAGE(OFFSET($FI$3,0,0,'Données projet'!$E$16+1,1))-AVERAGE(OFFSET($H$3,0,0,'Données projet'!$E$16+1,1))</f>
        <v>833.39050463936144</v>
      </c>
      <c r="FK44" s="59">
        <f t="shared" si="48"/>
        <v>362.56178526355507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589.762143648912</v>
      </c>
      <c r="S45" s="59">
        <f ca="1">AVERAGE(OFFSET($R$3,0,0,'Données projet'!$E$9+1,1))-AVERAGE(OFFSET($H$3,0,0,'Données projet'!$E$9+1,1))</f>
        <v>681.47578137804555</v>
      </c>
      <c r="T45" s="59">
        <f t="shared" si="34"/>
        <v>300.88511065995885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174.36744000000013</v>
      </c>
      <c r="AK45" s="13">
        <f t="shared" si="35"/>
        <v>44.066736102586425</v>
      </c>
      <c r="AL45" s="20">
        <f t="shared" si="4"/>
        <v>380.43952337867154</v>
      </c>
      <c r="AM45" s="59">
        <f t="shared" si="5"/>
        <v>629.8181896393063</v>
      </c>
      <c r="AN45" s="59">
        <f ca="1">AVERAGE(OFFSET($AM$3,0,0,'Données projet'!$E$10+1,1))-AVERAGE(OFFSET($H$3,0,0,'Données projet'!$E$10+1,1))</f>
        <v>752.45542076695506</v>
      </c>
      <c r="AO45" s="59">
        <f t="shared" si="36"/>
        <v>329.70629768420724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17.095733695579888</v>
      </c>
      <c r="AW45" s="21">
        <f>EXP(-LN(2)/2)*AW44+(1-EXP(-LN(2)/2))/(LN(2)/2)*AQ45*AT45*VLOOKUP('Données projet'!$B$10,Paramètres!$A$1:$I$89,3,0)*0.475*44/12</f>
        <v>8.5168664661306082</v>
      </c>
      <c r="AX45" s="21">
        <f t="shared" si="6"/>
        <v>25.612600161710496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163.63713600000011</v>
      </c>
      <c r="BF45" s="13">
        <f t="shared" si="37"/>
        <v>41.661805305260039</v>
      </c>
      <c r="BG45" s="20">
        <f t="shared" si="7"/>
        <v>357.56232277332811</v>
      </c>
      <c r="BH45" s="59">
        <f t="shared" si="8"/>
        <v>606.94098903396286</v>
      </c>
      <c r="BI45" s="59">
        <f ca="1">AVERAGE(OFFSET($BH$3,0,0,'Données projet'!$E$11+1,1))-AVERAGE(OFFSET($H$3,0,0,'Données projet'!$E$11+1,1))</f>
        <v>711.91538686535682</v>
      </c>
      <c r="BJ45" s="59">
        <f t="shared" si="38"/>
        <v>313.24593837351722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16.043688545082667</v>
      </c>
      <c r="BR45" s="21">
        <f>EXP(-LN(2)/2)*BR44+(1-EXP(-LN(2)/2))/(LN(2)/2)*BL45*BO45*VLOOKUP('Données projet'!$B$11,Paramètres!$A$1:$I$89,3,0)*0.475*44/12</f>
        <v>7.992751606676415</v>
      </c>
      <c r="BS45" s="22">
        <f t="shared" si="9"/>
        <v>24.036440151759081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4.0942857142857143</v>
      </c>
      <c r="BX45" s="12">
        <f t="array" ref="BX45">INDEX(BW:BW,MIN(IF(ISNUMBER(BW45:BW241),ROW(BW45:BW241),"")))</f>
        <v>4.0942857142857143</v>
      </c>
      <c r="BY45" s="12">
        <f>IF('Données projet'!$A$114&gt;35,BY44+BX45-CG44,IF(A45&lt;'Données projet'!$A$114,$BV$205^A45,IF(A45='Données projet'!$A$114,'Données projet'!$B$114,BY44+BX45-CG44)))</f>
        <v>171.96000000000012</v>
      </c>
      <c r="BZ45" s="13">
        <f>BY45*VLOOKUP('Données projet'!$B$12,Paramètres!$A$1:$I$89,3,0)*VLOOKUP('Données projet'!$B$12,Paramètres!$A$1:$I$89,5,0)</f>
        <v>166.31971200000012</v>
      </c>
      <c r="CA45" s="13">
        <f t="shared" si="39"/>
        <v>42.264714501525802</v>
      </c>
      <c r="CB45" s="20">
        <f t="shared" si="10"/>
        <v>363.28454282349094</v>
      </c>
      <c r="CC45" s="59">
        <f t="shared" si="11"/>
        <v>612.6632090841257</v>
      </c>
      <c r="CD45" s="59">
        <f ca="1">AVERAGE(OFFSET($CC$3,0,0,'Données projet'!$E$12+1,1))-AVERAGE(OFFSET($H$3,0,0,'Données projet'!$E$12+1,1))</f>
        <v>722.05521609092671</v>
      </c>
      <c r="CE45" s="59">
        <f t="shared" si="40"/>
        <v>317.36319714884644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44.510000000000005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0.34400000000000003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16.306699832706972</v>
      </c>
      <c r="CM45" s="21">
        <f>EXP(-LN(2)/2)*CM44+(1-EXP(-LN(2)/2))/(LN(2)/2)*CG45*CJ45*VLOOKUP('Données projet'!$B$12,Paramètres!$A$1:$I$89,3,0)*0.475*44/12</f>
        <v>8.1237803215399644</v>
      </c>
      <c r="CN45" s="22">
        <f t="shared" si="12"/>
        <v>24.430480154246936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171.96</v>
      </c>
      <c r="CR45" s="12">
        <f>VLOOKUP(A45,'Données projet'!$A$139:$I$159,9,0)</f>
        <v>4.0942857142857143</v>
      </c>
      <c r="CS45" s="12">
        <f t="array" ref="CS45">INDEX(CR:CR,MIN(IF(ISNUMBER(CR45:CR241),ROW(CR45:CR241),"")))</f>
        <v>4.0942857142857143</v>
      </c>
      <c r="CT45" s="12">
        <f>IF('Données projet'!$A$140&gt;35,CT44+CS45-DB44,IF(A45&lt;'Données projet'!$A$140,$CQ$205^A45,IF(A45='Données projet'!$A$140,'Données projet'!$B$140,CT44+CS45-DB44)))</f>
        <v>171.96000000000012</v>
      </c>
      <c r="CU45" s="17">
        <f>CT45*VLOOKUP('Données projet'!$B$13,Paramètres!$A$1:$I$89,3,0)*VLOOKUP('Données projet'!$B$13,Paramètres!$A$1:$I$89,5,0)</f>
        <v>185.09774400000012</v>
      </c>
      <c r="CV45" s="13">
        <f t="shared" si="41"/>
        <v>46.454490304992056</v>
      </c>
      <c r="CW45" s="20">
        <f t="shared" si="13"/>
        <v>403.28680808119469</v>
      </c>
      <c r="CX45" s="59">
        <f t="shared" si="14"/>
        <v>652.66547434182939</v>
      </c>
      <c r="CY45" s="59">
        <f ca="1">AVERAGE(OFFSET($CX$3,0,0,'Données projet'!$E$13+1,1))-AVERAGE(OFFSET($H$3,0,0,'Données projet'!$E$13+1,1))</f>
        <v>792.94606354161886</v>
      </c>
      <c r="CZ45" s="59">
        <f t="shared" si="42"/>
        <v>346.14443498270919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44.510000000000005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0.34400000000000003</v>
      </c>
      <c r="DE45" s="16">
        <f>IF(ISNA(VLOOKUP(A45,'Données projet'!$A$139:$I$159,7,0)),0%,VLOOKUP(A45,'Données projet'!$A$139:$I$159,7,0))</f>
        <v>0.2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18.147778846077113</v>
      </c>
      <c r="DH45" s="21">
        <f>EXP(-LN(2)/2)*DH44+(1-EXP(-LN(2)/2))/(LN(2)/2)*DB45*DE45*VLOOKUP('Données projet'!$B$13,Paramètres!$A$1:$I$89,3,0)*0.475*44/12</f>
        <v>9.0409813255847986</v>
      </c>
      <c r="DI45" s="22">
        <f t="shared" si="15"/>
        <v>27.188760171661912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4.1025641025641022</v>
      </c>
      <c r="DO45" s="12">
        <f>IF('Données projet'!$A$166&gt;35,DO44+DN45-DW44,IF(A45&lt;'Données projet'!$A$166,$DL$205^A45,IF(A45='Données projet'!$A$166,'Données projet'!$B$166,DO44+DN45-DW44)))</f>
        <v>91.538461538461533</v>
      </c>
      <c r="DP45" s="17">
        <f>DO45*VLOOKUP('Données projet'!$B$14,Paramètres!$A$1:$I$89,3,0)*VLOOKUP('Données projet'!$B$14,Paramètres!$A$1:$I$89,5,0)</f>
        <v>95.676000000000002</v>
      </c>
      <c r="DQ45" s="13">
        <f t="shared" si="43"/>
        <v>25.929229078869259</v>
      </c>
      <c r="DR45" s="20">
        <f t="shared" si="16"/>
        <v>211.79577397903063</v>
      </c>
      <c r="DS45" s="59">
        <f t="shared" si="17"/>
        <v>461.17444023966539</v>
      </c>
      <c r="DT45" s="59">
        <f ca="1">AVERAGE(OFFSET($DS$3,0,0,'Données projet'!$E$14+1,1))-AVERAGE(OFFSET($H$3,0,0,'Données projet'!$E$14+1,1))</f>
        <v>269.21114382490202</v>
      </c>
      <c r="DU45" s="59">
        <f t="shared" si="44"/>
        <v>233.07776944102309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12.268840577239256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12.268840577239256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>
        <f>VLOOKUP(A45,'Données projet'!$A$217:$I$237,2,0)</f>
        <v>171.96</v>
      </c>
      <c r="FC45" s="12">
        <f>VLOOKUP(A45,'Données projet'!$A$217:$I$237,9,0)</f>
        <v>4.0942857142857143</v>
      </c>
      <c r="FD45" s="12">
        <f t="array" ref="FD45">INDEX(FC:FC,MIN(IF(ISNUMBER(FC45:FC241),ROW(FC45:FC241),"")))</f>
        <v>4.0942857142857143</v>
      </c>
      <c r="FE45" s="12">
        <f>IF('Données projet'!$A$218&gt;35,FE44+FD45-FM44,IF(A45&lt;'Données projet'!$A$218,$FB$205^A45,IF(A45='Données projet'!$A$218,'Données projet'!$B$218,FE44+FD45-FM44)))</f>
        <v>171.96000000000012</v>
      </c>
      <c r="FF45" s="17">
        <f>FE45*VLOOKUP('Données projet'!$B$16,Paramètres!$A$1:$I$89,3,0)*VLOOKUP('Données projet'!$B$16,Paramètres!$A$1:$I$89,5,0)</f>
        <v>195.82804800000014</v>
      </c>
      <c r="FG45" s="13">
        <f t="shared" si="47"/>
        <v>48.826177097350907</v>
      </c>
      <c r="FH45" s="20">
        <f t="shared" si="22"/>
        <v>426.10610871121975</v>
      </c>
      <c r="FI45" s="59">
        <f t="shared" si="23"/>
        <v>675.48477497185445</v>
      </c>
      <c r="FJ45" s="59">
        <f ca="1">AVERAGE(OFFSET($FI$3,0,0,'Données projet'!$E$16+1,1))-AVERAGE(OFFSET($H$3,0,0,'Données projet'!$E$16+1,1))</f>
        <v>833.39050463936144</v>
      </c>
      <c r="FK45" s="59">
        <f t="shared" si="48"/>
        <v>362.56178526355507</v>
      </c>
      <c r="FL45" s="15">
        <f>IF(ISNA(VLOOKUP(A45,'Données projet'!$A$217:$I$237,3,0)),0,VLOOKUP(A45,'Données projet'!$A$217:$I$237,3,0))</f>
        <v>1</v>
      </c>
      <c r="FM45" s="15">
        <f>IF(ISNA(VLOOKUP(A45,'Données projet'!$A$217:$I$237,4,0)),0,VLOOKUP(A45,'Données projet'!$A$217:$I$237,4,0))</f>
        <v>44.510000000000005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0.34400000000000003</v>
      </c>
      <c r="FP45" s="16">
        <f>IF(ISNA(VLOOKUP(A45,'Données projet'!$A$217:$I$237,7,0)),0%,VLOOKUP(A45,'Données projet'!$A$217:$I$237,7,0))</f>
        <v>0.2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19.199823996574334</v>
      </c>
      <c r="FS45" s="21">
        <f>EXP(-LN(2)/2)*FS44+(1-EXP(-LN(2)/2))/(LN(2)/2)*FM45*FP45*VLOOKUP('Données projet'!$B$16,Paramètres!$A$1:$I$89,3,0)*0.475*44/12</f>
        <v>9.5650961850389908</v>
      </c>
      <c r="FT45" s="22">
        <f t="shared" si="24"/>
        <v>28.764920181613327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523.89336176039023</v>
      </c>
      <c r="S46" s="59">
        <f ca="1">AVERAGE(OFFSET($R$3,0,0,'Données projet'!$E$9+1,1))-AVERAGE(OFFSET($H$3,0,0,'Données projet'!$E$9+1,1))</f>
        <v>681.47578137804555</v>
      </c>
      <c r="T46" s="59">
        <f t="shared" si="34"/>
        <v>300.88511065995885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139.48584000000011</v>
      </c>
      <c r="AK46" s="13">
        <f t="shared" si="35"/>
        <v>36.179193448415994</v>
      </c>
      <c r="AL46" s="20">
        <f t="shared" si="4"/>
        <v>305.94993325599131</v>
      </c>
      <c r="AM46" s="59">
        <f t="shared" si="5"/>
        <v>556.0911147224233</v>
      </c>
      <c r="AN46" s="59">
        <f ca="1">AVERAGE(OFFSET($AM$3,0,0,'Données projet'!$E$10+1,1))-AVERAGE(OFFSET($H$3,0,0,'Données projet'!$E$10+1,1))</f>
        <v>752.45542076695506</v>
      </c>
      <c r="AO46" s="59">
        <f t="shared" si="36"/>
        <v>329.70629768420724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16.628249958648695</v>
      </c>
      <c r="AW46" s="21">
        <f>EXP(-LN(2)/2)*AW45+(1-EXP(-LN(2)/2))/(LN(2)/2)*AQ46*AT46*VLOOKUP('Données projet'!$B$10,Paramètres!$A$1:$I$89,3,0)*0.475*44/12</f>
        <v>6.0223340326612602</v>
      </c>
      <c r="AX46" s="21">
        <f t="shared" si="6"/>
        <v>22.650583991309954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130.90209600000011</v>
      </c>
      <c r="BF46" s="13">
        <f t="shared" si="37"/>
        <v>34.204723264285022</v>
      </c>
      <c r="BG46" s="20">
        <f t="shared" si="7"/>
        <v>287.56104355196334</v>
      </c>
      <c r="BH46" s="59">
        <f t="shared" si="8"/>
        <v>537.70222501839544</v>
      </c>
      <c r="BI46" s="59">
        <f ca="1">AVERAGE(OFFSET($BH$3,0,0,'Données projet'!$E$11+1,1))-AVERAGE(OFFSET($H$3,0,0,'Données projet'!$E$11+1,1))</f>
        <v>711.91538686535682</v>
      </c>
      <c r="BJ46" s="59">
        <f t="shared" si="38"/>
        <v>313.24593837351722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15.604973038116469</v>
      </c>
      <c r="BR46" s="21">
        <f>EXP(-LN(2)/2)*BR45+(1-EXP(-LN(2)/2))/(LN(2)/2)*BL46*BO46*VLOOKUP('Données projet'!$B$11,Paramètres!$A$1:$I$89,3,0)*0.475*44/12</f>
        <v>5.6517288614205663</v>
      </c>
      <c r="BS46" s="22">
        <f t="shared" si="9"/>
        <v>21.256701899537035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10.110000000000001</v>
      </c>
      <c r="BY46" s="12">
        <f>IF('Données projet'!$A$114&gt;35,BY45+BX46-CG45,IF(A46&lt;'Données projet'!$A$114,$BV$205^A46,IF(A46='Données projet'!$A$114,'Données projet'!$B$114,BY45+BX46-CG45)))</f>
        <v>137.56000000000012</v>
      </c>
      <c r="BZ46" s="13">
        <f>BY46*VLOOKUP('Données projet'!$B$12,Paramètres!$A$1:$I$89,3,0)*VLOOKUP('Données projet'!$B$12,Paramètres!$A$1:$I$89,5,0)</f>
        <v>133.04803200000012</v>
      </c>
      <c r="CA46" s="13">
        <f t="shared" si="39"/>
        <v>34.699717229636768</v>
      </c>
      <c r="CB46" s="20">
        <f t="shared" si="10"/>
        <v>292.16066324161756</v>
      </c>
      <c r="CC46" s="59">
        <f t="shared" si="11"/>
        <v>542.30184470804966</v>
      </c>
      <c r="CD46" s="59">
        <f ca="1">AVERAGE(OFFSET($CC$3,0,0,'Données projet'!$E$12+1,1))-AVERAGE(OFFSET($H$3,0,0,'Données projet'!$E$12+1,1))</f>
        <v>722.05521609092671</v>
      </c>
      <c r="CE46" s="59">
        <f t="shared" si="40"/>
        <v>317.36319714884644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15.860792268249526</v>
      </c>
      <c r="CM46" s="21">
        <f>EXP(-LN(2)/2)*CM45+(1-EXP(-LN(2)/2))/(LN(2)/2)*CG46*CJ46*VLOOKUP('Données projet'!$B$12,Paramètres!$A$1:$I$89,3,0)*0.475*44/12</f>
        <v>5.7443801542307407</v>
      </c>
      <c r="CN46" s="22">
        <f t="shared" si="12"/>
        <v>21.605172422480265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10.110000000000001</v>
      </c>
      <c r="CT46" s="12">
        <f>IF('Données projet'!$A$140&gt;35,CT45+CS46-DB45,IF(A46&lt;'Données projet'!$A$140,$CQ$205^A46,IF(A46='Données projet'!$A$140,'Données projet'!$B$140,CT45+CS46-DB45)))</f>
        <v>137.56000000000012</v>
      </c>
      <c r="CU46" s="17">
        <f>CT46*VLOOKUP('Données projet'!$B$13,Paramètres!$A$1:$I$89,3,0)*VLOOKUP('Données projet'!$B$13,Paramètres!$A$1:$I$89,5,0)</f>
        <v>148.06958400000011</v>
      </c>
      <c r="CV46" s="13">
        <f t="shared" si="41"/>
        <v>38.139561490991106</v>
      </c>
      <c r="CW46" s="20">
        <f t="shared" si="13"/>
        <v>324.31426173014296</v>
      </c>
      <c r="CX46" s="59">
        <f t="shared" si="14"/>
        <v>574.45544319657506</v>
      </c>
      <c r="CY46" s="59">
        <f ca="1">AVERAGE(OFFSET($CX$3,0,0,'Données projet'!$E$13+1,1))-AVERAGE(OFFSET($H$3,0,0,'Données projet'!$E$13+1,1))</f>
        <v>792.94606354161886</v>
      </c>
      <c r="CZ46" s="59">
        <f t="shared" si="42"/>
        <v>346.14443498270919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17.651526879180921</v>
      </c>
      <c r="DH46" s="21">
        <f>EXP(-LN(2)/2)*DH45+(1-EXP(-LN(2)/2))/(LN(2)/2)*DB46*DE46*VLOOKUP('Données projet'!$B$13,Paramètres!$A$1:$I$89,3,0)*0.475*44/12</f>
        <v>6.3929392039019532</v>
      </c>
      <c r="DI46" s="22">
        <f t="shared" si="15"/>
        <v>24.044466083082874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4.1025641025641022</v>
      </c>
      <c r="DO46" s="12">
        <f>IF('Données projet'!$A$166&gt;35,DO45+DN46-DW45,IF(A46&lt;'Données projet'!$A$166,$DL$205^A46,IF(A46='Données projet'!$A$166,'Données projet'!$B$166,DO45+DN46-DW45)))</f>
        <v>95.641025641025635</v>
      </c>
      <c r="DP46" s="17">
        <f>DO46*VLOOKUP('Données projet'!$B$14,Paramètres!$A$1:$I$89,3,0)*VLOOKUP('Données projet'!$B$14,Paramètres!$A$1:$I$89,5,0)</f>
        <v>99.963999999999999</v>
      </c>
      <c r="DQ46" s="13">
        <f t="shared" si="43"/>
        <v>26.953420865059858</v>
      </c>
      <c r="DR46" s="20">
        <f t="shared" si="16"/>
        <v>221.04784133997921</v>
      </c>
      <c r="DS46" s="59">
        <f t="shared" si="17"/>
        <v>471.18902280641123</v>
      </c>
      <c r="DT46" s="59">
        <f ca="1">AVERAGE(OFFSET($DS$3,0,0,'Données projet'!$E$14+1,1))-AVERAGE(OFFSET($H$3,0,0,'Données projet'!$E$14+1,1))</f>
        <v>269.21114382490202</v>
      </c>
      <c r="DU46" s="59">
        <f t="shared" si="44"/>
        <v>233.07776944102309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11.933348486464364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11.933348486464364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10.110000000000001</v>
      </c>
      <c r="FE46" s="12">
        <f>IF('Données projet'!$A$218&gt;35,FE45+FD46-FM45,IF(A46&lt;'Données projet'!$A$218,$FB$205^A46,IF(A46='Données projet'!$A$218,'Données projet'!$B$218,FE45+FD46-FM45)))</f>
        <v>137.56000000000012</v>
      </c>
      <c r="FF46" s="17">
        <f>FE46*VLOOKUP('Données projet'!$B$16,Paramètres!$A$1:$I$89,3,0)*VLOOKUP('Données projet'!$B$16,Paramètres!$A$1:$I$89,5,0)</f>
        <v>156.65332800000013</v>
      </c>
      <c r="FG46" s="13">
        <f t="shared" si="47"/>
        <v>40.086738042938329</v>
      </c>
      <c r="FH46" s="20">
        <f t="shared" si="22"/>
        <v>342.65561502478448</v>
      </c>
      <c r="FI46" s="59">
        <f t="shared" si="23"/>
        <v>592.79679649121658</v>
      </c>
      <c r="FJ46" s="59">
        <f ca="1">AVERAGE(OFFSET($FI$3,0,0,'Données projet'!$E$16+1,1))-AVERAGE(OFFSET($H$3,0,0,'Données projet'!$E$16+1,1))</f>
        <v>833.39050463936144</v>
      </c>
      <c r="FK46" s="59">
        <f t="shared" si="48"/>
        <v>362.56178526355507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18.674803799713146</v>
      </c>
      <c r="FS46" s="21">
        <f>EXP(-LN(2)/2)*FS45+(1-EXP(-LN(2)/2))/(LN(2)/2)*FM46*FP46*VLOOKUP('Données projet'!$B$16,Paramètres!$A$1:$I$89,3,0)*0.475*44/12</f>
        <v>6.7635443751426463</v>
      </c>
      <c r="FT46" s="22">
        <f t="shared" si="24"/>
        <v>25.438348174855793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544.25928256518523</v>
      </c>
      <c r="S47" s="59">
        <f ca="1">AVERAGE(OFFSET($R$3,0,0,'Données projet'!$E$9+1,1))-AVERAGE(OFFSET($H$3,0,0,'Données projet'!$E$9+1,1))</f>
        <v>681.47578137804555</v>
      </c>
      <c r="T47" s="59">
        <f t="shared" si="34"/>
        <v>300.88511065995885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149.73738000000014</v>
      </c>
      <c r="AK47" s="13">
        <f t="shared" si="35"/>
        <v>38.518898198188772</v>
      </c>
      <c r="AL47" s="20">
        <f t="shared" si="4"/>
        <v>327.87968452851231</v>
      </c>
      <c r="AM47" s="59">
        <f t="shared" si="5"/>
        <v>578.77015326664969</v>
      </c>
      <c r="AN47" s="59">
        <f ca="1">AVERAGE(OFFSET($AM$3,0,0,'Données projet'!$E$10+1,1))-AVERAGE(OFFSET($H$3,0,0,'Données projet'!$E$10+1,1))</f>
        <v>752.45542076695506</v>
      </c>
      <c r="AO47" s="59">
        <f t="shared" si="36"/>
        <v>329.70629768420724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16.173549589087784</v>
      </c>
      <c r="AW47" s="21">
        <f>EXP(-LN(2)/2)*AW46+(1-EXP(-LN(2)/2))/(LN(2)/2)*AQ47*AT47*VLOOKUP('Données projet'!$B$10,Paramètres!$A$1:$I$89,3,0)*0.475*44/12</f>
        <v>4.2584332330653041</v>
      </c>
      <c r="AX47" s="21">
        <f t="shared" si="6"/>
        <v>20.431982822153088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140.52277200000015</v>
      </c>
      <c r="BF47" s="13">
        <f t="shared" si="37"/>
        <v>36.41673922866012</v>
      </c>
      <c r="BG47" s="20">
        <f t="shared" si="7"/>
        <v>308.16964872324991</v>
      </c>
      <c r="BH47" s="59">
        <f t="shared" si="8"/>
        <v>559.06011746138734</v>
      </c>
      <c r="BI47" s="59">
        <f ca="1">AVERAGE(OFFSET($BH$3,0,0,'Données projet'!$E$11+1,1))-AVERAGE(OFFSET($H$3,0,0,'Données projet'!$E$11+1,1))</f>
        <v>711.91538686535682</v>
      </c>
      <c r="BJ47" s="59">
        <f t="shared" si="38"/>
        <v>313.24593837351722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15.178254229759307</v>
      </c>
      <c r="BR47" s="21">
        <f>EXP(-LN(2)/2)*BR46+(1-EXP(-LN(2)/2))/(LN(2)/2)*BL47*BO47*VLOOKUP('Données projet'!$B$11,Paramètres!$A$1:$I$89,3,0)*0.475*44/12</f>
        <v>3.996375803338208</v>
      </c>
      <c r="BS47" s="22">
        <f t="shared" si="9"/>
        <v>19.174630033097515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10.110000000000001</v>
      </c>
      <c r="BY47" s="12">
        <f>IF('Données projet'!$A$114&gt;35,BY46+BX47-CG46,IF(A47&lt;'Données projet'!$A$114,$BV$205^A47,IF(A47='Données projet'!$A$114,'Données projet'!$B$114,BY46+BX47-CG46)))</f>
        <v>147.67000000000013</v>
      </c>
      <c r="BZ47" s="13">
        <f>BY47*VLOOKUP('Données projet'!$B$12,Paramètres!$A$1:$I$89,3,0)*VLOOKUP('Données projet'!$B$12,Paramètres!$A$1:$I$89,5,0)</f>
        <v>142.82642400000012</v>
      </c>
      <c r="CA47" s="13">
        <f t="shared" si="39"/>
        <v>36.943744403258243</v>
      </c>
      <c r="CB47" s="20">
        <f t="shared" si="10"/>
        <v>313.0997099690083</v>
      </c>
      <c r="CC47" s="59">
        <f t="shared" si="11"/>
        <v>563.99017870714579</v>
      </c>
      <c r="CD47" s="59">
        <f ca="1">AVERAGE(OFFSET($CC$3,0,0,'Données projet'!$E$12+1,1))-AVERAGE(OFFSET($H$3,0,0,'Données projet'!$E$12+1,1))</f>
        <v>722.05521609092671</v>
      </c>
      <c r="CE47" s="59">
        <f t="shared" si="40"/>
        <v>317.36319714884644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15.427078069591428</v>
      </c>
      <c r="CM47" s="21">
        <f>EXP(-LN(2)/2)*CM46+(1-EXP(-LN(2)/2))/(LN(2)/2)*CG47*CJ47*VLOOKUP('Données projet'!$B$12,Paramètres!$A$1:$I$89,3,0)*0.475*44/12</f>
        <v>4.0618901607699831</v>
      </c>
      <c r="CN47" s="22">
        <f t="shared" si="12"/>
        <v>19.488968230361412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10.110000000000001</v>
      </c>
      <c r="CT47" s="12">
        <f>IF('Données projet'!$A$140&gt;35,CT46+CS47-DB46,IF(A47&lt;'Données projet'!$A$140,$CQ$205^A47,IF(A47='Données projet'!$A$140,'Données projet'!$B$140,CT46+CS47-DB46)))</f>
        <v>147.67000000000013</v>
      </c>
      <c r="CU47" s="17">
        <f>CT47*VLOOKUP('Données projet'!$B$13,Paramètres!$A$1:$I$89,3,0)*VLOOKUP('Données projet'!$B$13,Paramètres!$A$1:$I$89,5,0)</f>
        <v>158.95198800000011</v>
      </c>
      <c r="CV47" s="13">
        <f t="shared" si="41"/>
        <v>40.606043042105632</v>
      </c>
      <c r="CW47" s="20">
        <f t="shared" si="13"/>
        <v>347.56357073166754</v>
      </c>
      <c r="CX47" s="59">
        <f t="shared" si="14"/>
        <v>598.45403946980491</v>
      </c>
      <c r="CY47" s="59">
        <f ca="1">AVERAGE(OFFSET($CX$3,0,0,'Données projet'!$E$13+1,1))-AVERAGE(OFFSET($H$3,0,0,'Données projet'!$E$13+1,1))</f>
        <v>792.94606354161886</v>
      </c>
      <c r="CZ47" s="59">
        <f t="shared" si="42"/>
        <v>346.14443498270919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17.168844948416261</v>
      </c>
      <c r="DH47" s="21">
        <f>EXP(-LN(2)/2)*DH46+(1-EXP(-LN(2)/2))/(LN(2)/2)*DB47*DE47*VLOOKUP('Données projet'!$B$13,Paramètres!$A$1:$I$89,3,0)*0.475*44/12</f>
        <v>4.5204906627924002</v>
      </c>
      <c r="DI47" s="22">
        <f t="shared" si="15"/>
        <v>21.689335611208662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4.1025641025641022</v>
      </c>
      <c r="DO47" s="12">
        <f>IF('Données projet'!$A$166&gt;35,DO46+DN47-DW46,IF(A47&lt;'Données projet'!$A$166,$DL$205^A47,IF(A47='Données projet'!$A$166,'Données projet'!$B$166,DO46+DN47-DW46)))</f>
        <v>99.743589743589737</v>
      </c>
      <c r="DP47" s="17">
        <f>DO47*VLOOKUP('Données projet'!$B$14,Paramètres!$A$1:$I$89,3,0)*VLOOKUP('Données projet'!$B$14,Paramètres!$A$1:$I$89,5,0)</f>
        <v>104.252</v>
      </c>
      <c r="DQ47" s="13">
        <f t="shared" si="43"/>
        <v>27.972509924429268</v>
      </c>
      <c r="DR47" s="20">
        <f t="shared" si="16"/>
        <v>230.2910214517143</v>
      </c>
      <c r="DS47" s="59">
        <f t="shared" si="17"/>
        <v>481.18149018985173</v>
      </c>
      <c r="DT47" s="59">
        <f ca="1">AVERAGE(OFFSET($DS$3,0,0,'Données projet'!$E$14+1,1))-AVERAGE(OFFSET($H$3,0,0,'Données projet'!$E$14+1,1))</f>
        <v>269.21114382490202</v>
      </c>
      <c r="DU47" s="59">
        <f t="shared" si="44"/>
        <v>233.07776944102309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11.607030444554473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11.607030444554473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10.110000000000001</v>
      </c>
      <c r="FE47" s="12">
        <f>IF('Données projet'!$A$218&gt;35,FE46+FD47-FM46,IF(A47&lt;'Données projet'!$A$218,$FB$205^A47,IF(A47='Données projet'!$A$218,'Données projet'!$B$218,FE46+FD47-FM46)))</f>
        <v>147.67000000000013</v>
      </c>
      <c r="FF47" s="17">
        <f>FE47*VLOOKUP('Données projet'!$B$16,Paramètres!$A$1:$I$89,3,0)*VLOOKUP('Données projet'!$B$16,Paramètres!$A$1:$I$89,5,0)</f>
        <v>168.16659600000014</v>
      </c>
      <c r="FG47" s="13">
        <f t="shared" si="47"/>
        <v>42.679143303041393</v>
      </c>
      <c r="FH47" s="20">
        <f t="shared" si="22"/>
        <v>367.22299595279736</v>
      </c>
      <c r="FI47" s="59">
        <f t="shared" si="23"/>
        <v>618.11346469093473</v>
      </c>
      <c r="FJ47" s="59">
        <f ca="1">AVERAGE(OFFSET($FI$3,0,0,'Données projet'!$E$16+1,1))-AVERAGE(OFFSET($H$3,0,0,'Données projet'!$E$16+1,1))</f>
        <v>833.39050463936144</v>
      </c>
      <c r="FK47" s="59">
        <f t="shared" si="48"/>
        <v>362.56178526355507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18.164140307744741</v>
      </c>
      <c r="FS47" s="21">
        <f>EXP(-LN(2)/2)*FS46+(1-EXP(-LN(2)/2))/(LN(2)/2)*FM47*FP47*VLOOKUP('Données projet'!$B$16,Paramètres!$A$1:$I$89,3,0)*0.475*44/12</f>
        <v>4.7825480925194954</v>
      </c>
      <c r="FT47" s="22">
        <f t="shared" si="24"/>
        <v>22.946688400264236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564.58293364486485</v>
      </c>
      <c r="S48" s="59">
        <f ca="1">AVERAGE(OFFSET($R$3,0,0,'Données projet'!$E$9+1,1))-AVERAGE(OFFSET($H$3,0,0,'Données projet'!$E$9+1,1))</f>
        <v>681.47578137804555</v>
      </c>
      <c r="T48" s="59">
        <f t="shared" si="34"/>
        <v>300.88511065995885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159.98892000000018</v>
      </c>
      <c r="AK48" s="13">
        <f t="shared" si="35"/>
        <v>40.840016271695262</v>
      </c>
      <c r="AL48" s="20">
        <f t="shared" si="4"/>
        <v>349.77706400653625</v>
      </c>
      <c r="AM48" s="59">
        <f t="shared" si="5"/>
        <v>601.40382155737041</v>
      </c>
      <c r="AN48" s="59">
        <f ca="1">AVERAGE(OFFSET($AM$3,0,0,'Données projet'!$E$10+1,1))-AVERAGE(OFFSET($H$3,0,0,'Données projet'!$E$10+1,1))</f>
        <v>752.45542076695506</v>
      </c>
      <c r="AO48" s="59">
        <f t="shared" si="36"/>
        <v>329.70629768420724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15.731283025044171</v>
      </c>
      <c r="AW48" s="21">
        <f>EXP(-LN(2)/2)*AW47+(1-EXP(-LN(2)/2))/(LN(2)/2)*AQ48*AT48*VLOOKUP('Données projet'!$B$10,Paramètres!$A$1:$I$89,3,0)*0.475*44/12</f>
        <v>3.0111670163306301</v>
      </c>
      <c r="AX48" s="21">
        <f t="shared" si="6"/>
        <v>18.742450041374802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150.14344800000015</v>
      </c>
      <c r="BF48" s="13">
        <f t="shared" si="37"/>
        <v>38.611182879849288</v>
      </c>
      <c r="BG48" s="20">
        <f t="shared" si="7"/>
        <v>328.74764878240444</v>
      </c>
      <c r="BH48" s="59">
        <f t="shared" si="8"/>
        <v>580.37440633323854</v>
      </c>
      <c r="BI48" s="59">
        <f ca="1">AVERAGE(OFFSET($BH$3,0,0,'Données projet'!$E$11+1,1))-AVERAGE(OFFSET($H$3,0,0,'Données projet'!$E$11+1,1))</f>
        <v>711.91538686535682</v>
      </c>
      <c r="BJ48" s="59">
        <f t="shared" si="38"/>
        <v>313.24593837351722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14.76320406965684</v>
      </c>
      <c r="BR48" s="21">
        <f>EXP(-LN(2)/2)*BR47+(1-EXP(-LN(2)/2))/(LN(2)/2)*BL48*BO48*VLOOKUP('Données projet'!$B$11,Paramètres!$A$1:$I$89,3,0)*0.475*44/12</f>
        <v>2.8258644307102836</v>
      </c>
      <c r="BS48" s="22">
        <f t="shared" si="9"/>
        <v>17.589068500367123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10.110000000000001</v>
      </c>
      <c r="BY48" s="12">
        <f>IF('Données projet'!$A$114&gt;35,BY47+BX48-CG47,IF(A48&lt;'Données projet'!$A$114,$BV$205^A48,IF(A48='Données projet'!$A$114,'Données projet'!$B$114,BY47+BX48-CG47)))</f>
        <v>157.78000000000014</v>
      </c>
      <c r="BZ48" s="13">
        <f>BY48*VLOOKUP('Données projet'!$B$12,Paramètres!$A$1:$I$89,3,0)*VLOOKUP('Données projet'!$B$12,Paramètres!$A$1:$I$89,5,0)</f>
        <v>152.60481600000014</v>
      </c>
      <c r="CA48" s="13">
        <f t="shared" si="39"/>
        <v>39.169944965802898</v>
      </c>
      <c r="CB48" s="20">
        <f t="shared" si="10"/>
        <v>334.00770868210697</v>
      </c>
      <c r="CC48" s="59">
        <f t="shared" si="11"/>
        <v>585.63446623294112</v>
      </c>
      <c r="CD48" s="59">
        <f ca="1">AVERAGE(OFFSET($CC$3,0,0,'Données projet'!$E$12+1,1))-AVERAGE(OFFSET($H$3,0,0,'Données projet'!$E$12+1,1))</f>
        <v>722.05521609092671</v>
      </c>
      <c r="CE48" s="59">
        <f t="shared" si="40"/>
        <v>317.36319714884644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15.005223808503674</v>
      </c>
      <c r="CM48" s="21">
        <f>EXP(-LN(2)/2)*CM47+(1-EXP(-LN(2)/2))/(LN(2)/2)*CG48*CJ48*VLOOKUP('Données projet'!$B$12,Paramètres!$A$1:$I$89,3,0)*0.475*44/12</f>
        <v>2.8721900771153708</v>
      </c>
      <c r="CN48" s="22">
        <f t="shared" si="12"/>
        <v>17.877413885619045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10.110000000000001</v>
      </c>
      <c r="CT48" s="12">
        <f>IF('Données projet'!$A$140&gt;35,CT47+CS48-DB47,IF(A48&lt;'Données projet'!$A$140,$CQ$205^A48,IF(A48='Données projet'!$A$140,'Données projet'!$B$140,CT47+CS48-DB47)))</f>
        <v>157.78000000000014</v>
      </c>
      <c r="CU48" s="17">
        <f>CT48*VLOOKUP('Données projet'!$B$13,Paramètres!$A$1:$I$89,3,0)*VLOOKUP('Données projet'!$B$13,Paramètres!$A$1:$I$89,5,0)</f>
        <v>169.83439200000015</v>
      </c>
      <c r="CV48" s="13">
        <f t="shared" si="41"/>
        <v>43.052930798699016</v>
      </c>
      <c r="CW48" s="20">
        <f t="shared" si="13"/>
        <v>370.77875387440105</v>
      </c>
      <c r="CX48" s="59">
        <f t="shared" si="14"/>
        <v>622.4055114252352</v>
      </c>
      <c r="CY48" s="59">
        <f ca="1">AVERAGE(OFFSET($CX$3,0,0,'Données projet'!$E$13+1,1))-AVERAGE(OFFSET($H$3,0,0,'Données projet'!$E$13+1,1))</f>
        <v>792.94606354161886</v>
      </c>
      <c r="CZ48" s="59">
        <f t="shared" si="42"/>
        <v>346.14443498270919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16.699361980431501</v>
      </c>
      <c r="DH48" s="21">
        <f>EXP(-LN(2)/2)*DH47+(1-EXP(-LN(2)/2))/(LN(2)/2)*DB48*DE48*VLOOKUP('Données projet'!$B$13,Paramètres!$A$1:$I$89,3,0)*0.475*44/12</f>
        <v>3.1964696019509771</v>
      </c>
      <c r="DI48" s="22">
        <f t="shared" si="15"/>
        <v>19.895831582382478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103.84615384615384</v>
      </c>
      <c r="DM48" s="12">
        <f>VLOOKUP(A48,'Données projet'!$A$165:$I$185,9,0)</f>
        <v>4.1025641025641022</v>
      </c>
      <c r="DN48" s="12">
        <f t="array" ref="DN48">INDEX(DM:DM,MIN(IF(ISNUMBER(DM48:DM244),ROW(DM48:DM244),"")))</f>
        <v>4.1025641025641022</v>
      </c>
      <c r="DO48" s="12">
        <f>IF('Données projet'!$A$166&gt;35,DO47+DN48-DW47,IF(A48&lt;'Données projet'!$A$166,$DL$205^A48,IF(A48='Données projet'!$A$166,'Données projet'!$B$166,DO47+DN48-DW47)))</f>
        <v>103.84615384615384</v>
      </c>
      <c r="DP48" s="17">
        <f>DO48*VLOOKUP('Données projet'!$B$14,Paramètres!$A$1:$I$89,3,0)*VLOOKUP('Données projet'!$B$14,Paramètres!$A$1:$I$89,5,0)</f>
        <v>108.54</v>
      </c>
      <c r="DQ48" s="13">
        <f t="shared" si="43"/>
        <v>28.986730142355373</v>
      </c>
      <c r="DR48" s="20">
        <f t="shared" si="16"/>
        <v>239.52572166460229</v>
      </c>
      <c r="DS48" s="59">
        <f t="shared" si="17"/>
        <v>491.15247921543641</v>
      </c>
      <c r="DT48" s="59">
        <f ca="1">AVERAGE(OFFSET($DS$3,0,0,'Données projet'!$E$14+1,1))-AVERAGE(OFFSET($H$3,0,0,'Données projet'!$E$14+1,1))</f>
        <v>269.21114382490202</v>
      </c>
      <c r="DU48" s="59">
        <f t="shared" si="44"/>
        <v>233.07776944102309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12.179487179487179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0.215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14.303339734332848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14.303339734332848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10.110000000000001</v>
      </c>
      <c r="FE48" s="12">
        <f>IF('Données projet'!$A$218&gt;35,FE47+FD48-FM47,IF(A48&lt;'Données projet'!$A$218,$FB$205^A48,IF(A48='Données projet'!$A$218,'Données projet'!$B$218,FE47+FD48-FM47)))</f>
        <v>157.78000000000014</v>
      </c>
      <c r="FF48" s="17">
        <f>FE48*VLOOKUP('Données projet'!$B$16,Paramètres!$A$1:$I$89,3,0)*VLOOKUP('Données projet'!$B$16,Paramètres!$A$1:$I$89,5,0)</f>
        <v>179.67986400000015</v>
      </c>
      <c r="FG48" s="13">
        <f t="shared" si="47"/>
        <v>45.25095442735654</v>
      </c>
      <c r="FH48" s="20">
        <f t="shared" si="22"/>
        <v>391.75450876097949</v>
      </c>
      <c r="FI48" s="59">
        <f t="shared" si="23"/>
        <v>643.38126631181365</v>
      </c>
      <c r="FJ48" s="59">
        <f ca="1">AVERAGE(OFFSET($FI$3,0,0,'Données projet'!$E$16+1,1))-AVERAGE(OFFSET($H$3,0,0,'Données projet'!$E$16+1,1))</f>
        <v>833.39050463936144</v>
      </c>
      <c r="FK48" s="59">
        <f t="shared" si="48"/>
        <v>362.56178526355507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17.667440935818838</v>
      </c>
      <c r="FS48" s="21">
        <f>EXP(-LN(2)/2)*FS47+(1-EXP(-LN(2)/2))/(LN(2)/2)*FM48*FP48*VLOOKUP('Données projet'!$B$16,Paramètres!$A$1:$I$89,3,0)*0.475*44/12</f>
        <v>3.3817721875713231</v>
      </c>
      <c r="FT48" s="22">
        <f t="shared" si="24"/>
        <v>21.04921312339016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584.86662957617989</v>
      </c>
      <c r="S49" s="59">
        <f ca="1">AVERAGE(OFFSET($R$3,0,0,'Données projet'!$E$9+1,1))-AVERAGE(OFFSET($H$3,0,0,'Données projet'!$E$9+1,1))</f>
        <v>681.47578137804555</v>
      </c>
      <c r="T49" s="59">
        <f t="shared" si="34"/>
        <v>300.88511065995885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170.24046000000016</v>
      </c>
      <c r="AK49" s="13">
        <f t="shared" si="35"/>
        <v>43.143874195121747</v>
      </c>
      <c r="AL49" s="20">
        <f t="shared" si="4"/>
        <v>371.64438205650396</v>
      </c>
      <c r="AM49" s="59">
        <f t="shared" si="5"/>
        <v>623.99465545522958</v>
      </c>
      <c r="AN49" s="59">
        <f ca="1">AVERAGE(OFFSET($AM$3,0,0,'Données projet'!$E$10+1,1))-AVERAGE(OFFSET($H$3,0,0,'Données projet'!$E$10+1,1))</f>
        <v>752.45542076695506</v>
      </c>
      <c r="AO49" s="59">
        <f t="shared" si="36"/>
        <v>329.70629768420724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15.301110263452118</v>
      </c>
      <c r="AW49" s="21">
        <f>EXP(-LN(2)/2)*AW48+(1-EXP(-LN(2)/2))/(LN(2)/2)*AQ49*AT49*VLOOKUP('Données projet'!$B$10,Paramètres!$A$1:$I$89,3,0)*0.475*44/12</f>
        <v>2.129216616532652</v>
      </c>
      <c r="AX49" s="21">
        <f t="shared" si="6"/>
        <v>17.430326879984769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159.76412400000015</v>
      </c>
      <c r="BF49" s="13">
        <f t="shared" si="37"/>
        <v>40.78930834921298</v>
      </c>
      <c r="BG49" s="20">
        <f t="shared" si="7"/>
        <v>349.29722800821287</v>
      </c>
      <c r="BH49" s="59">
        <f t="shared" si="8"/>
        <v>601.64750140693855</v>
      </c>
      <c r="BI49" s="59">
        <f ca="1">AVERAGE(OFFSET($BH$3,0,0,'Données projet'!$E$11+1,1))-AVERAGE(OFFSET($H$3,0,0,'Données projet'!$E$11+1,1))</f>
        <v>711.91538686535682</v>
      </c>
      <c r="BJ49" s="59">
        <f t="shared" si="38"/>
        <v>313.24593837351722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14.359503478008914</v>
      </c>
      <c r="BR49" s="21">
        <f>EXP(-LN(2)/2)*BR48+(1-EXP(-LN(2)/2))/(LN(2)/2)*BL49*BO49*VLOOKUP('Données projet'!$B$11,Paramètres!$A$1:$I$89,3,0)*0.475*44/12</f>
        <v>1.9981879016691044</v>
      </c>
      <c r="BS49" s="22">
        <f t="shared" si="9"/>
        <v>16.35769137967802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10.110000000000001</v>
      </c>
      <c r="BY49" s="12">
        <f>IF('Données projet'!$A$114&gt;35,BY48+BX49-CG48,IF(A49&lt;'Données projet'!$A$114,$BV$205^A49,IF(A49='Données projet'!$A$114,'Données projet'!$B$114,BY48+BX49-CG48)))</f>
        <v>167.89000000000016</v>
      </c>
      <c r="BZ49" s="13">
        <f>BY49*VLOOKUP('Données projet'!$B$12,Paramètres!$A$1:$I$89,3,0)*VLOOKUP('Données projet'!$B$12,Paramètres!$A$1:$I$89,5,0)</f>
        <v>162.38320800000014</v>
      </c>
      <c r="CA49" s="13">
        <f t="shared" si="39"/>
        <v>41.37959119780465</v>
      </c>
      <c r="CB49" s="20">
        <f t="shared" si="10"/>
        <v>354.88687526951003</v>
      </c>
      <c r="CC49" s="59">
        <f t="shared" si="11"/>
        <v>607.2371486682357</v>
      </c>
      <c r="CD49" s="59">
        <f ca="1">AVERAGE(OFFSET($CC$3,0,0,'Données projet'!$E$12+1,1))-AVERAGE(OFFSET($H$3,0,0,'Données projet'!$E$12+1,1))</f>
        <v>722.05521609092671</v>
      </c>
      <c r="CE49" s="59">
        <f t="shared" si="40"/>
        <v>317.36319714884644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14.594905174369716</v>
      </c>
      <c r="CM49" s="21">
        <f>EXP(-LN(2)/2)*CM48+(1-EXP(-LN(2)/2))/(LN(2)/2)*CG49*CJ49*VLOOKUP('Données projet'!$B$12,Paramètres!$A$1:$I$89,3,0)*0.475*44/12</f>
        <v>2.0309450803849916</v>
      </c>
      <c r="CN49" s="22">
        <f t="shared" si="12"/>
        <v>16.625850254754706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10.110000000000001</v>
      </c>
      <c r="CT49" s="12">
        <f>IF('Données projet'!$A$140&gt;35,CT48+CS49-DB48,IF(A49&lt;'Données projet'!$A$140,$CQ$205^A49,IF(A49='Données projet'!$A$140,'Données projet'!$B$140,CT48+CS49-DB48)))</f>
        <v>167.89000000000016</v>
      </c>
      <c r="CU49" s="17">
        <f>CT49*VLOOKUP('Données projet'!$B$13,Paramètres!$A$1:$I$89,3,0)*VLOOKUP('Données projet'!$B$13,Paramètres!$A$1:$I$89,5,0)</f>
        <v>180.71679600000016</v>
      </c>
      <c r="CV49" s="13">
        <f t="shared" si="41"/>
        <v>45.481623164721867</v>
      </c>
      <c r="CW49" s="20">
        <f t="shared" si="13"/>
        <v>393.96224671189083</v>
      </c>
      <c r="CX49" s="59">
        <f t="shared" si="14"/>
        <v>646.31252011061645</v>
      </c>
      <c r="CY49" s="59">
        <f ca="1">AVERAGE(OFFSET($CX$3,0,0,'Données projet'!$E$13+1,1))-AVERAGE(OFFSET($H$3,0,0,'Données projet'!$E$13+1,1))</f>
        <v>792.94606354161886</v>
      </c>
      <c r="CZ49" s="59">
        <f t="shared" si="42"/>
        <v>346.14443498270919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16.242717048895322</v>
      </c>
      <c r="DH49" s="21">
        <f>EXP(-LN(2)/2)*DH48+(1-EXP(-LN(2)/2))/(LN(2)/2)*DB49*DE49*VLOOKUP('Données projet'!$B$13,Paramètres!$A$1:$I$89,3,0)*0.475*44/12</f>
        <v>2.2602453313962005</v>
      </c>
      <c r="DI49" s="22">
        <f t="shared" si="15"/>
        <v>18.502962380291521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3.8461538461538454</v>
      </c>
      <c r="DO49" s="12">
        <f>IF('Données projet'!$A$166&gt;35,DO48+DN49-DW48,IF(A49&lt;'Données projet'!$A$166,$DL$205^A49,IF(A49='Données projet'!$A$166,'Données projet'!$B$166,DO48+DN49-DW48)))</f>
        <v>95.512820512820497</v>
      </c>
      <c r="DP49" s="17">
        <f>DO49*VLOOKUP('Données projet'!$B$14,Paramètres!$A$1:$I$89,3,0)*VLOOKUP('Données projet'!$B$14,Paramètres!$A$1:$I$89,5,0)</f>
        <v>99.83</v>
      </c>
      <c r="DQ49" s="13">
        <f t="shared" si="43"/>
        <v>26.92149338297099</v>
      </c>
      <c r="DR49" s="20">
        <f t="shared" si="16"/>
        <v>220.75885097534115</v>
      </c>
      <c r="DS49" s="59">
        <f t="shared" si="17"/>
        <v>473.10912437406682</v>
      </c>
      <c r="DT49" s="59">
        <f ca="1">AVERAGE(OFFSET($DS$3,0,0,'Données projet'!$E$14+1,1))-AVERAGE(OFFSET($H$3,0,0,'Données projet'!$E$14+1,1))</f>
        <v>269.21114382490202</v>
      </c>
      <c r="DU49" s="59">
        <f t="shared" si="44"/>
        <v>233.07776944102309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13.912214157117571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13.912214157117571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10.110000000000001</v>
      </c>
      <c r="FE49" s="12">
        <f>IF('Données projet'!$A$218&gt;35,FE48+FD49-FM48,IF(A49&lt;'Données projet'!$A$218,$FB$205^A49,IF(A49='Données projet'!$A$218,'Données projet'!$B$218,FE48+FD49-FM48)))</f>
        <v>167.89000000000016</v>
      </c>
      <c r="FF49" s="17">
        <f>FE49*VLOOKUP('Données projet'!$B$16,Paramètres!$A$1:$I$89,3,0)*VLOOKUP('Données projet'!$B$16,Paramètres!$A$1:$I$89,5,0)</f>
        <v>191.19313200000016</v>
      </c>
      <c r="FG49" s="13">
        <f t="shared" si="47"/>
        <v>47.803641213926845</v>
      </c>
      <c r="FH49" s="20">
        <f t="shared" si="22"/>
        <v>416.25271334758946</v>
      </c>
      <c r="FI49" s="59">
        <f t="shared" si="23"/>
        <v>668.60298674631508</v>
      </c>
      <c r="FJ49" s="59">
        <f ca="1">AVERAGE(OFFSET($FI$3,0,0,'Données projet'!$E$16+1,1))-AVERAGE(OFFSET($H$3,0,0,'Données projet'!$E$16+1,1))</f>
        <v>833.39050463936144</v>
      </c>
      <c r="FK49" s="59">
        <f t="shared" si="48"/>
        <v>362.56178526355507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17.184323834338532</v>
      </c>
      <c r="FS49" s="21">
        <f>EXP(-LN(2)/2)*FS48+(1-EXP(-LN(2)/2))/(LN(2)/2)*FM49*FP49*VLOOKUP('Données projet'!$B$16,Paramètres!$A$1:$I$89,3,0)*0.475*44/12</f>
        <v>2.3912740462597477</v>
      </c>
      <c r="FT49" s="22">
        <f t="shared" si="24"/>
        <v>19.575597880598281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605.11241520790622</v>
      </c>
      <c r="S50" s="59">
        <f ca="1">AVERAGE(OFFSET($R$3,0,0,'Données projet'!$E$9+1,1))-AVERAGE(OFFSET($H$3,0,0,'Données projet'!$E$9+1,1))</f>
        <v>681.47578137804555</v>
      </c>
      <c r="T50" s="59">
        <f t="shared" si="34"/>
        <v>300.88511065995885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180.49200000000019</v>
      </c>
      <c r="AK50" s="13">
        <f t="shared" si="35"/>
        <v>45.431629706642696</v>
      </c>
      <c r="AL50" s="20">
        <f t="shared" si="4"/>
        <v>393.48365507240305</v>
      </c>
      <c r="AM50" s="59">
        <f t="shared" si="5"/>
        <v>646.54489293659844</v>
      </c>
      <c r="AN50" s="59">
        <f ca="1">AVERAGE(OFFSET($AM$3,0,0,'Données projet'!$E$10+1,1))-AVERAGE(OFFSET($H$3,0,0,'Données projet'!$E$10+1,1))</f>
        <v>752.45542076695506</v>
      </c>
      <c r="AO50" s="59">
        <f t="shared" si="36"/>
        <v>329.70629768420724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14.882700598647602</v>
      </c>
      <c r="AW50" s="21">
        <f>EXP(-LN(2)/2)*AW49+(1-EXP(-LN(2)/2))/(LN(2)/2)*AQ50*AT50*VLOOKUP('Données projet'!$B$10,Paramètres!$A$1:$I$89,3,0)*0.475*44/12</f>
        <v>1.5055835081653151</v>
      </c>
      <c r="AX50" s="21">
        <f t="shared" si="6"/>
        <v>16.388284106812918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169.38480000000015</v>
      </c>
      <c r="BF50" s="13">
        <f t="shared" si="37"/>
        <v>42.952210191662502</v>
      </c>
      <c r="BG50" s="20">
        <f t="shared" si="7"/>
        <v>369.82029275047915</v>
      </c>
      <c r="BH50" s="59">
        <f t="shared" si="8"/>
        <v>622.8815306146746</v>
      </c>
      <c r="BI50" s="59">
        <f ca="1">AVERAGE(OFFSET($BH$3,0,0,'Données projet'!$E$11+1,1))-AVERAGE(OFFSET($H$3,0,0,'Données projet'!$E$11+1,1))</f>
        <v>711.91538686535682</v>
      </c>
      <c r="BJ50" s="59">
        <f t="shared" si="38"/>
        <v>313.24593837351722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13.966842100269291</v>
      </c>
      <c r="BR50" s="21">
        <f>EXP(-LN(2)/2)*BR49+(1-EXP(-LN(2)/2))/(LN(2)/2)*BL50*BO50*VLOOKUP('Données projet'!$B$11,Paramètres!$A$1:$I$89,3,0)*0.475*44/12</f>
        <v>1.412932215355142</v>
      </c>
      <c r="BS50" s="22">
        <f t="shared" si="9"/>
        <v>15.379774315624433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10.110000000000001</v>
      </c>
      <c r="BY50" s="12">
        <f>IF('Données projet'!$A$114&gt;35,BY49+BX50-CG49,IF(A50&lt;'Données projet'!$A$114,$BV$205^A50,IF(A50='Données projet'!$A$114,'Données projet'!$B$114,BY49+BX50-CG49)))</f>
        <v>178.00000000000017</v>
      </c>
      <c r="BZ50" s="13">
        <f>BY50*VLOOKUP('Données projet'!$B$12,Paramètres!$A$1:$I$89,3,0)*VLOOKUP('Données projet'!$B$12,Paramètres!$A$1:$I$89,5,0)</f>
        <v>172.16160000000016</v>
      </c>
      <c r="CA50" s="13">
        <f t="shared" si="39"/>
        <v>43.573793494036195</v>
      </c>
      <c r="CB50" s="20">
        <f t="shared" si="10"/>
        <v>375.73914366878006</v>
      </c>
      <c r="CC50" s="59">
        <f t="shared" si="11"/>
        <v>628.80038153297551</v>
      </c>
      <c r="CD50" s="59">
        <f ca="1">AVERAGE(OFFSET($CC$3,0,0,'Données projet'!$E$12+1,1))-AVERAGE(OFFSET($H$3,0,0,'Données projet'!$E$12+1,1))</f>
        <v>722.05521609092671</v>
      </c>
      <c r="CE50" s="59">
        <f t="shared" si="40"/>
        <v>317.36319714884644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14.19580672486387</v>
      </c>
      <c r="CM50" s="21">
        <f>EXP(-LN(2)/2)*CM49+(1-EXP(-LN(2)/2))/(LN(2)/2)*CG50*CJ50*VLOOKUP('Données projet'!$B$12,Paramètres!$A$1:$I$89,3,0)*0.475*44/12</f>
        <v>1.4360950385576854</v>
      </c>
      <c r="CN50" s="22">
        <f t="shared" si="12"/>
        <v>15.631901763421554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10.110000000000001</v>
      </c>
      <c r="CT50" s="12">
        <f>IF('Données projet'!$A$140&gt;35,CT49+CS50-DB49,IF(A50&lt;'Données projet'!$A$140,$CQ$205^A50,IF(A50='Données projet'!$A$140,'Données projet'!$B$140,CT49+CS50-DB49)))</f>
        <v>178.00000000000017</v>
      </c>
      <c r="CU50" s="17">
        <f>CT50*VLOOKUP('Données projet'!$B$13,Paramètres!$A$1:$I$89,3,0)*VLOOKUP('Données projet'!$B$13,Paramètres!$A$1:$I$89,5,0)</f>
        <v>191.59920000000017</v>
      </c>
      <c r="CV50" s="13">
        <f t="shared" si="41"/>
        <v>47.893340610341859</v>
      </c>
      <c r="CW50" s="20">
        <f t="shared" si="13"/>
        <v>417.11617489634568</v>
      </c>
      <c r="CX50" s="59">
        <f t="shared" si="14"/>
        <v>670.17741276054107</v>
      </c>
      <c r="CY50" s="59">
        <f ca="1">AVERAGE(OFFSET($CX$3,0,0,'Données projet'!$E$13+1,1))-AVERAGE(OFFSET($H$3,0,0,'Données projet'!$E$13+1,1))</f>
        <v>792.94606354161886</v>
      </c>
      <c r="CZ50" s="59">
        <f t="shared" si="42"/>
        <v>346.14443498270919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15.798559097025914</v>
      </c>
      <c r="DH50" s="21">
        <f>EXP(-LN(2)/2)*DH49+(1-EXP(-LN(2)/2))/(LN(2)/2)*DB50*DE50*VLOOKUP('Données projet'!$B$13,Paramètres!$A$1:$I$89,3,0)*0.475*44/12</f>
        <v>1.598234800975489</v>
      </c>
      <c r="DI50" s="22">
        <f t="shared" si="15"/>
        <v>17.396793898001402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3.8461538461538454</v>
      </c>
      <c r="DO50" s="12">
        <f>IF('Données projet'!$A$166&gt;35,DO49+DN50-DW49,IF(A50&lt;'Données projet'!$A$166,$DL$205^A50,IF(A50='Données projet'!$A$166,'Données projet'!$B$166,DO49+DN50-DW49)))</f>
        <v>99.358974358974336</v>
      </c>
      <c r="DP50" s="17">
        <f>DO50*VLOOKUP('Données projet'!$B$14,Paramètres!$A$1:$I$89,3,0)*VLOOKUP('Données projet'!$B$14,Paramètres!$A$1:$I$89,5,0)</f>
        <v>103.84999999999998</v>
      </c>
      <c r="DQ50" s="13">
        <f t="shared" si="43"/>
        <v>27.877180626240445</v>
      </c>
      <c r="DR50" s="20">
        <f t="shared" si="16"/>
        <v>229.42483959070205</v>
      </c>
      <c r="DS50" s="59">
        <f t="shared" si="17"/>
        <v>482.48607745489744</v>
      </c>
      <c r="DT50" s="59">
        <f ca="1">AVERAGE(OFFSET($DS$3,0,0,'Données projet'!$E$14+1,1))-AVERAGE(OFFSET($H$3,0,0,'Données projet'!$E$14+1,1))</f>
        <v>269.21114382490202</v>
      </c>
      <c r="DU50" s="59">
        <f t="shared" si="44"/>
        <v>233.07776944102309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13.531783929379646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13.531783929379646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10.110000000000001</v>
      </c>
      <c r="FE50" s="12">
        <f>IF('Données projet'!$A$218&gt;35,FE49+FD50-FM49,IF(A50&lt;'Données projet'!$A$218,$FB$205^A50,IF(A50='Données projet'!$A$218,'Données projet'!$B$218,FE49+FD50-FM49)))</f>
        <v>178.00000000000017</v>
      </c>
      <c r="FF50" s="17">
        <f>FE50*VLOOKUP('Données projet'!$B$16,Paramètres!$A$1:$I$89,3,0)*VLOOKUP('Données projet'!$B$16,Paramètres!$A$1:$I$89,5,0)</f>
        <v>202.70640000000017</v>
      </c>
      <c r="FG50" s="13">
        <f t="shared" si="47"/>
        <v>50.338486442784308</v>
      </c>
      <c r="FH50" s="20">
        <f t="shared" si="22"/>
        <v>440.71984388784955</v>
      </c>
      <c r="FI50" s="59">
        <f t="shared" si="23"/>
        <v>693.78108175204488</v>
      </c>
      <c r="FJ50" s="59">
        <f ca="1">AVERAGE(OFFSET($FI$3,0,0,'Données projet'!$E$16+1,1))-AVERAGE(OFFSET($H$3,0,0,'Données projet'!$E$16+1,1))</f>
        <v>833.39050463936144</v>
      </c>
      <c r="FK50" s="59">
        <f t="shared" si="48"/>
        <v>362.56178526355507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16.714417595404228</v>
      </c>
      <c r="FS50" s="21">
        <f>EXP(-LN(2)/2)*FS49+(1-EXP(-LN(2)/2))/(LN(2)/2)*FM50*FP50*VLOOKUP('Données projet'!$B$16,Paramètres!$A$1:$I$89,3,0)*0.475*44/12</f>
        <v>1.6908860937856616</v>
      </c>
      <c r="FT50" s="22">
        <f t="shared" si="24"/>
        <v>18.405303689189889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625.32211273176426</v>
      </c>
      <c r="S51" s="59">
        <f ca="1">AVERAGE(OFFSET($R$3,0,0,'Données projet'!$E$9+1,1))-AVERAGE(OFFSET($H$3,0,0,'Données projet'!$E$9+1,1))</f>
        <v>681.47578137804555</v>
      </c>
      <c r="T51" s="59">
        <f t="shared" si="34"/>
        <v>300.88511065995885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190.74354000000019</v>
      </c>
      <c r="AK51" s="13">
        <f t="shared" si="35"/>
        <v>47.704301602434754</v>
      </c>
      <c r="AL51" s="20">
        <f t="shared" si="4"/>
        <v>415.29665745757416</v>
      </c>
      <c r="AM51" s="59">
        <f t="shared" si="5"/>
        <v>669.05652614324185</v>
      </c>
      <c r="AN51" s="59">
        <f ca="1">AVERAGE(OFFSET($AM$3,0,0,'Données projet'!$E$10+1,1))-AVERAGE(OFFSET($H$3,0,0,'Données projet'!$E$10+1,1))</f>
        <v>752.45542076695506</v>
      </c>
      <c r="AO51" s="59">
        <f t="shared" si="36"/>
        <v>329.70629768420724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14.475732368130375</v>
      </c>
      <c r="AW51" s="21">
        <f>EXP(-LN(2)/2)*AW50+(1-EXP(-LN(2)/2))/(LN(2)/2)*AQ51*AT51*VLOOKUP('Données projet'!$B$10,Paramètres!$A$1:$I$89,3,0)*0.475*44/12</f>
        <v>1.064608308266326</v>
      </c>
      <c r="AX51" s="21">
        <f t="shared" si="6"/>
        <v>15.540340676396701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179.00547600000019</v>
      </c>
      <c r="BF51" s="13">
        <f t="shared" si="37"/>
        <v>45.100851602834986</v>
      </c>
      <c r="BG51" s="20">
        <f t="shared" si="7"/>
        <v>390.31852057493785</v>
      </c>
      <c r="BH51" s="59">
        <f t="shared" si="8"/>
        <v>644.07838926060549</v>
      </c>
      <c r="BI51" s="59">
        <f ca="1">AVERAGE(OFFSET($BH$3,0,0,'Données projet'!$E$11+1,1))-AVERAGE(OFFSET($H$3,0,0,'Données projet'!$E$11+1,1))</f>
        <v>711.91538686535682</v>
      </c>
      <c r="BJ51" s="59">
        <f t="shared" si="38"/>
        <v>313.24593837351722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13.584918068553122</v>
      </c>
      <c r="BR51" s="21">
        <f>EXP(-LN(2)/2)*BR50+(1-EXP(-LN(2)/2))/(LN(2)/2)*BL51*BO51*VLOOKUP('Données projet'!$B$11,Paramètres!$A$1:$I$89,3,0)*0.475*44/12</f>
        <v>0.99909395083455232</v>
      </c>
      <c r="BS51" s="22">
        <f t="shared" si="9"/>
        <v>14.584012019387675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10.110000000000001</v>
      </c>
      <c r="BY51" s="12">
        <f>IF('Données projet'!$A$114&gt;35,BY50+BX51-CG50,IF(A51&lt;'Données projet'!$A$114,$BV$205^A51,IF(A51='Données projet'!$A$114,'Données projet'!$B$114,BY50+BX51-CG50)))</f>
        <v>188.11000000000018</v>
      </c>
      <c r="BZ51" s="13">
        <f>BY51*VLOOKUP('Données projet'!$B$12,Paramètres!$A$1:$I$89,3,0)*VLOOKUP('Données projet'!$B$12,Paramètres!$A$1:$I$89,5,0)</f>
        <v>181.93999200000019</v>
      </c>
      <c r="CA51" s="13">
        <f t="shared" si="39"/>
        <v>45.753528989029135</v>
      </c>
      <c r="CB51" s="20">
        <f t="shared" si="10"/>
        <v>396.56621572255932</v>
      </c>
      <c r="CC51" s="59">
        <f t="shared" si="11"/>
        <v>650.32608440822696</v>
      </c>
      <c r="CD51" s="59">
        <f ca="1">AVERAGE(OFFSET($CC$3,0,0,'Données projet'!$E$12+1,1))-AVERAGE(OFFSET($H$3,0,0,'Données projet'!$E$12+1,1))</f>
        <v>722.05521609092671</v>
      </c>
      <c r="CE51" s="59">
        <f t="shared" si="40"/>
        <v>317.36319714884644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13.807621643447437</v>
      </c>
      <c r="CM51" s="21">
        <f>EXP(-LN(2)/2)*CM50+(1-EXP(-LN(2)/2))/(LN(2)/2)*CG51*CJ51*VLOOKUP('Données projet'!$B$12,Paramètres!$A$1:$I$89,3,0)*0.475*44/12</f>
        <v>1.0154725401924958</v>
      </c>
      <c r="CN51" s="22">
        <f t="shared" si="12"/>
        <v>14.823094183639933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10.110000000000001</v>
      </c>
      <c r="CT51" s="12">
        <f>IF('Données projet'!$A$140&gt;35,CT50+CS51-DB50,IF(A51&lt;'Données projet'!$A$140,$CQ$205^A51,IF(A51='Données projet'!$A$140,'Données projet'!$B$140,CT50+CS51-DB50)))</f>
        <v>188.11000000000018</v>
      </c>
      <c r="CU51" s="17">
        <f>CT51*VLOOKUP('Données projet'!$B$13,Paramètres!$A$1:$I$89,3,0)*VLOOKUP('Données projet'!$B$13,Paramètres!$A$1:$I$89,5,0)</f>
        <v>202.4816040000002</v>
      </c>
      <c r="CV51" s="13">
        <f t="shared" si="41"/>
        <v>50.289157135162888</v>
      </c>
      <c r="CW51" s="20">
        <f t="shared" si="13"/>
        <v>440.24240897707568</v>
      </c>
      <c r="CX51" s="59">
        <f t="shared" si="14"/>
        <v>694.00227766274338</v>
      </c>
      <c r="CY51" s="59">
        <f ca="1">AVERAGE(OFFSET($CX$3,0,0,'Données projet'!$E$13+1,1))-AVERAGE(OFFSET($H$3,0,0,'Données projet'!$E$13+1,1))</f>
        <v>792.94606354161886</v>
      </c>
      <c r="CZ51" s="59">
        <f t="shared" si="42"/>
        <v>346.14443498270919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15.366546667707626</v>
      </c>
      <c r="DH51" s="21">
        <f>EXP(-LN(2)/2)*DH50+(1-EXP(-LN(2)/2))/(LN(2)/2)*DB51*DE51*VLOOKUP('Données projet'!$B$13,Paramètres!$A$1:$I$89,3,0)*0.475*44/12</f>
        <v>1.1301226656981005</v>
      </c>
      <c r="DI51" s="22">
        <f t="shared" si="15"/>
        <v>16.496669333405727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3.8461538461538454</v>
      </c>
      <c r="DO51" s="12">
        <f>IF('Données projet'!$A$166&gt;35,DO50+DN51-DW50,IF(A51&lt;'Données projet'!$A$166,$DL$205^A51,IF(A51='Données projet'!$A$166,'Données projet'!$B$166,DO50+DN51-DW50)))</f>
        <v>103.20512820512818</v>
      </c>
      <c r="DP51" s="17">
        <f>DO51*VLOOKUP('Données projet'!$B$14,Paramètres!$A$1:$I$89,3,0)*VLOOKUP('Données projet'!$B$14,Paramètres!$A$1:$I$89,5,0)</f>
        <v>107.86999999999998</v>
      </c>
      <c r="DQ51" s="13">
        <f t="shared" si="43"/>
        <v>28.828570280930691</v>
      </c>
      <c r="DR51" s="20">
        <f t="shared" si="16"/>
        <v>238.08334323928753</v>
      </c>
      <c r="DS51" s="59">
        <f t="shared" si="17"/>
        <v>491.8432119249552</v>
      </c>
      <c r="DT51" s="59">
        <f ca="1">AVERAGE(OFFSET($DS$3,0,0,'Données projet'!$E$14+1,1))-AVERAGE(OFFSET($H$3,0,0,'Données projet'!$E$14+1,1))</f>
        <v>269.21114382490202</v>
      </c>
      <c r="DU51" s="59">
        <f t="shared" si="44"/>
        <v>233.07776944102309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13.16175658622517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13.16175658622517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10.110000000000001</v>
      </c>
      <c r="FE51" s="12">
        <f>IF('Données projet'!$A$218&gt;35,FE50+FD51-FM50,IF(A51&lt;'Données projet'!$A$218,$FB$205^A51,IF(A51='Données projet'!$A$218,'Données projet'!$B$218,FE50+FD51-FM50)))</f>
        <v>188.11000000000018</v>
      </c>
      <c r="FF51" s="17">
        <f>FE51*VLOOKUP('Données projet'!$B$16,Paramètres!$A$1:$I$89,3,0)*VLOOKUP('Données projet'!$B$16,Paramètres!$A$1:$I$89,5,0)</f>
        <v>214.21966800000024</v>
      </c>
      <c r="FG51" s="13">
        <f t="shared" si="47"/>
        <v>52.856618945490908</v>
      </c>
      <c r="FH51" s="20">
        <f t="shared" si="22"/>
        <v>465.15786643006368</v>
      </c>
      <c r="FI51" s="59">
        <f t="shared" si="23"/>
        <v>718.91773511573138</v>
      </c>
      <c r="FJ51" s="59">
        <f ca="1">AVERAGE(OFFSET($FI$3,0,0,'Données projet'!$E$16+1,1))-AVERAGE(OFFSET($H$3,0,0,'Données projet'!$E$16+1,1))</f>
        <v>833.39050463936144</v>
      </c>
      <c r="FK51" s="59">
        <f t="shared" si="48"/>
        <v>362.56178526355507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16.257360967284878</v>
      </c>
      <c r="FS51" s="21">
        <f>EXP(-LN(2)/2)*FS50+(1-EXP(-LN(2)/2))/(LN(2)/2)*FM51*FP51*VLOOKUP('Données projet'!$B$16,Paramètres!$A$1:$I$89,3,0)*0.475*44/12</f>
        <v>1.1956370231298739</v>
      </c>
      <c r="FT51" s="22">
        <f t="shared" si="24"/>
        <v>17.452997990414751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645.49735835863021</v>
      </c>
      <c r="S52" s="59">
        <f ca="1">AVERAGE(OFFSET($R$3,0,0,'Données projet'!$E$9+1,1))-AVERAGE(OFFSET($H$3,0,0,'Données projet'!$E$9+1,1))</f>
        <v>681.47578137804555</v>
      </c>
      <c r="T52" s="59">
        <f t="shared" si="34"/>
        <v>300.88511065995885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200.9950800000002</v>
      </c>
      <c r="AK52" s="13">
        <f t="shared" si="35"/>
        <v>49.962792983004405</v>
      </c>
      <c r="AL52" s="20">
        <f t="shared" si="4"/>
        <v>437.08496211206631</v>
      </c>
      <c r="AM52" s="59">
        <f t="shared" si="5"/>
        <v>691.53134193635833</v>
      </c>
      <c r="AN52" s="59">
        <f ca="1">AVERAGE(OFFSET($AM$3,0,0,'Données projet'!$E$10+1,1))-AVERAGE(OFFSET($H$3,0,0,'Données projet'!$E$10+1,1))</f>
        <v>752.45542076695506</v>
      </c>
      <c r="AO52" s="59">
        <f t="shared" si="36"/>
        <v>329.70629768420724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14.079892705278169</v>
      </c>
      <c r="AW52" s="21">
        <f>EXP(-LN(2)/2)*AW51+(1-EXP(-LN(2)/2))/(LN(2)/2)*AQ52*AT52*VLOOKUP('Données projet'!$B$10,Paramètres!$A$1:$I$89,3,0)*0.475*44/12</f>
        <v>0.75279175408265753</v>
      </c>
      <c r="AX52" s="21">
        <f t="shared" si="6"/>
        <v>14.832684459360827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188.62615200000019</v>
      </c>
      <c r="BF52" s="13">
        <f t="shared" si="37"/>
        <v>47.236086396758743</v>
      </c>
      <c r="BG52" s="20">
        <f t="shared" si="7"/>
        <v>410.79339854102176</v>
      </c>
      <c r="BH52" s="59">
        <f t="shared" si="8"/>
        <v>665.23977836531367</v>
      </c>
      <c r="BI52" s="59">
        <f ca="1">AVERAGE(OFFSET($BH$3,0,0,'Données projet'!$E$11+1,1))-AVERAGE(OFFSET($H$3,0,0,'Données projet'!$E$11+1,1))</f>
        <v>711.91538686535682</v>
      </c>
      <c r="BJ52" s="59">
        <f t="shared" si="38"/>
        <v>313.24593837351722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13.213437769568745</v>
      </c>
      <c r="BR52" s="21">
        <f>EXP(-LN(2)/2)*BR51+(1-EXP(-LN(2)/2))/(LN(2)/2)*BL52*BO52*VLOOKUP('Données projet'!$B$11,Paramètres!$A$1:$I$89,3,0)*0.475*44/12</f>
        <v>0.70646610767757112</v>
      </c>
      <c r="BS52" s="22">
        <f t="shared" si="9"/>
        <v>13.919903877246316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10.110000000000001</v>
      </c>
      <c r="BY52" s="12">
        <f>IF('Données projet'!$A$114&gt;35,BY51+BX52-CG51,IF(A52&lt;'Données projet'!$A$114,$BV$205^A52,IF(A52='Données projet'!$A$114,'Données projet'!$B$114,BY51+BX52-CG51)))</f>
        <v>198.2200000000002</v>
      </c>
      <c r="BZ52" s="13">
        <f>BY52*VLOOKUP('Données projet'!$B$12,Paramètres!$A$1:$I$89,3,0)*VLOOKUP('Données projet'!$B$12,Paramètres!$A$1:$I$89,5,0)</f>
        <v>191.71838400000021</v>
      </c>
      <c r="CA52" s="13">
        <f t="shared" si="39"/>
        <v>47.919663852789341</v>
      </c>
      <c r="CB52" s="20">
        <f t="shared" si="10"/>
        <v>417.36960001027518</v>
      </c>
      <c r="CC52" s="59">
        <f t="shared" si="11"/>
        <v>671.81597983456709</v>
      </c>
      <c r="CD52" s="59">
        <f ca="1">AVERAGE(OFFSET($CC$3,0,0,'Données projet'!$E$12+1,1))-AVERAGE(OFFSET($H$3,0,0,'Données projet'!$E$12+1,1))</f>
        <v>722.05521609092671</v>
      </c>
      <c r="CE52" s="59">
        <f t="shared" si="40"/>
        <v>317.36319714884644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13.430051503496102</v>
      </c>
      <c r="CM52" s="21">
        <f>EXP(-LN(2)/2)*CM51+(1-EXP(-LN(2)/2))/(LN(2)/2)*CG52*CJ52*VLOOKUP('Données projet'!$B$12,Paramètres!$A$1:$I$89,3,0)*0.475*44/12</f>
        <v>0.71804751927884269</v>
      </c>
      <c r="CN52" s="22">
        <f t="shared" si="12"/>
        <v>14.148099022774945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10.110000000000001</v>
      </c>
      <c r="CT52" s="12">
        <f>IF('Données projet'!$A$140&gt;35,CT51+CS52-DB51,IF(A52&lt;'Données projet'!$A$140,$CQ$205^A52,IF(A52='Données projet'!$A$140,'Données projet'!$B$140,CT51+CS52-DB51)))</f>
        <v>198.2200000000002</v>
      </c>
      <c r="CU52" s="17">
        <f>CT52*VLOOKUP('Données projet'!$B$13,Paramètres!$A$1:$I$89,3,0)*VLOOKUP('Données projet'!$B$13,Paramètres!$A$1:$I$89,5,0)</f>
        <v>213.36400800000021</v>
      </c>
      <c r="CV52" s="13">
        <f t="shared" si="41"/>
        <v>52.670024774153262</v>
      </c>
      <c r="CW52" s="20">
        <f t="shared" si="13"/>
        <v>463.34260708165061</v>
      </c>
      <c r="CX52" s="59">
        <f t="shared" si="14"/>
        <v>717.78898690594258</v>
      </c>
      <c r="CY52" s="59">
        <f ca="1">AVERAGE(OFFSET($CX$3,0,0,'Données projet'!$E$13+1,1))-AVERAGE(OFFSET($H$3,0,0,'Données projet'!$E$13+1,1))</f>
        <v>792.94606354161886</v>
      </c>
      <c r="CZ52" s="59">
        <f t="shared" si="42"/>
        <v>346.14443498270919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14.946347640987591</v>
      </c>
      <c r="DH52" s="21">
        <f>EXP(-LN(2)/2)*DH51+(1-EXP(-LN(2)/2))/(LN(2)/2)*DB52*DE52*VLOOKUP('Données projet'!$B$13,Paramètres!$A$1:$I$89,3,0)*0.475*44/12</f>
        <v>0.7991174004877446</v>
      </c>
      <c r="DI52" s="22">
        <f t="shared" si="15"/>
        <v>15.745465041475336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3.8461538461538454</v>
      </c>
      <c r="DO52" s="12">
        <f>IF('Données projet'!$A$166&gt;35,DO51+DN52-DW51,IF(A52&lt;'Données projet'!$A$166,$DL$205^A52,IF(A52='Données projet'!$A$166,'Données projet'!$B$166,DO51+DN52-DW51)))</f>
        <v>107.05128205128202</v>
      </c>
      <c r="DP52" s="17">
        <f>DO52*VLOOKUP('Données projet'!$B$14,Paramètres!$A$1:$I$89,3,0)*VLOOKUP('Données projet'!$B$14,Paramètres!$A$1:$I$89,5,0)</f>
        <v>111.88999999999997</v>
      </c>
      <c r="DQ52" s="13">
        <f t="shared" si="43"/>
        <v>29.775840844916228</v>
      </c>
      <c r="DR52" s="20">
        <f t="shared" si="16"/>
        <v>246.73467280489569</v>
      </c>
      <c r="DS52" s="59">
        <f t="shared" si="17"/>
        <v>501.18105262918766</v>
      </c>
      <c r="DT52" s="59">
        <f ca="1">AVERAGE(OFFSET($DS$3,0,0,'Données projet'!$E$14+1,1))-AVERAGE(OFFSET($H$3,0,0,'Données projet'!$E$14+1,1))</f>
        <v>269.21114382490202</v>
      </c>
      <c r="DU52" s="59">
        <f t="shared" si="44"/>
        <v>233.07776944102309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12.801847660228146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12.801847660228146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10.110000000000001</v>
      </c>
      <c r="FE52" s="12">
        <f>IF('Données projet'!$A$218&gt;35,FE51+FD52-FM51,IF(A52&lt;'Données projet'!$A$218,$FB$205^A52,IF(A52='Données projet'!$A$218,'Données projet'!$B$218,FE51+FD52-FM51)))</f>
        <v>198.2200000000002</v>
      </c>
      <c r="FF52" s="17">
        <f>FE52*VLOOKUP('Données projet'!$B$16,Paramètres!$A$1:$I$89,3,0)*VLOOKUP('Données projet'!$B$16,Paramètres!$A$1:$I$89,5,0)</f>
        <v>225.73293600000025</v>
      </c>
      <c r="FG52" s="13">
        <f t="shared" si="47"/>
        <v>55.359039362192966</v>
      </c>
      <c r="FH52" s="20">
        <f t="shared" si="22"/>
        <v>489.56852375581985</v>
      </c>
      <c r="FI52" s="59">
        <f t="shared" si="23"/>
        <v>744.01490358011188</v>
      </c>
      <c r="FJ52" s="59">
        <f ca="1">AVERAGE(OFFSET($FI$3,0,0,'Données projet'!$E$16+1,1))-AVERAGE(OFFSET($H$3,0,0,'Données projet'!$E$16+1,1))</f>
        <v>833.39050463936144</v>
      </c>
      <c r="FK52" s="59">
        <f t="shared" si="48"/>
        <v>362.56178526355507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15.812802576697017</v>
      </c>
      <c r="FS52" s="21">
        <f>EXP(-LN(2)/2)*FS51+(1-EXP(-LN(2)/2))/(LN(2)/2)*FM52*FP52*VLOOKUP('Données projet'!$B$16,Paramètres!$A$1:$I$89,3,0)*0.475*44/12</f>
        <v>0.84544304689283079</v>
      </c>
      <c r="FT52" s="22">
        <f t="shared" si="24"/>
        <v>16.658245623589849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665.63963131211995</v>
      </c>
      <c r="S53" s="59">
        <f ca="1">AVERAGE(OFFSET($R$3,0,0,'Données projet'!$E$9+1,1))-AVERAGE(OFFSET($H$3,0,0,'Données projet'!$E$9+1,1))</f>
        <v>681.47578137804555</v>
      </c>
      <c r="T53" s="59">
        <f t="shared" si="34"/>
        <v>300.88511065995885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211.24662000000023</v>
      </c>
      <c r="AK53" s="13">
        <f t="shared" si="35"/>
        <v>52.207909621932217</v>
      </c>
      <c r="AL53" s="20">
        <f t="shared" si="4"/>
        <v>458.84997242486565</v>
      </c>
      <c r="AM53" s="59">
        <f t="shared" si="5"/>
        <v>713.97095395433576</v>
      </c>
      <c r="AN53" s="59">
        <f ca="1">AVERAGE(OFFSET($AM$3,0,0,'Données projet'!$E$10+1,1))-AVERAGE(OFFSET($H$3,0,0,'Données projet'!$E$10+1,1))</f>
        <v>752.45542076695506</v>
      </c>
      <c r="AO53" s="59">
        <f t="shared" si="36"/>
        <v>329.70629768420724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28.113521264944488</v>
      </c>
      <c r="AW53" s="21">
        <f>EXP(-LN(2)/2)*AW52+(1-EXP(-LN(2)/2))/(LN(2)/2)*AQ53*AT53*VLOOKUP('Données projet'!$B$10,Paramètres!$A$1:$I$89,3,0)*0.475*44/12</f>
        <v>7.7154802300384224</v>
      </c>
      <c r="AX53" s="21">
        <f t="shared" si="6"/>
        <v>35.829001494982911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198.24682800000019</v>
      </c>
      <c r="BF53" s="13">
        <f t="shared" si="37"/>
        <v>49.358676372128407</v>
      </c>
      <c r="BG53" s="20">
        <f t="shared" si="7"/>
        <v>431.24625344812392</v>
      </c>
      <c r="BH53" s="59">
        <f t="shared" si="8"/>
        <v>686.36723497759408</v>
      </c>
      <c r="BI53" s="59">
        <f ca="1">AVERAGE(OFFSET($BH$3,0,0,'Données projet'!$E$11+1,1))-AVERAGE(OFFSET($H$3,0,0,'Données projet'!$E$11+1,1))</f>
        <v>711.91538686535682</v>
      </c>
      <c r="BJ53" s="59">
        <f t="shared" si="38"/>
        <v>313.24593837351722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26.383458417870983</v>
      </c>
      <c r="BR53" s="21">
        <f>EXP(-LN(2)/2)*BR52+(1-EXP(-LN(2)/2))/(LN(2)/2)*BL53*BO53*VLOOKUP('Données projet'!$B$11,Paramètres!$A$1:$I$89,3,0)*0.475*44/12</f>
        <v>7.2406814466514442</v>
      </c>
      <c r="BS53" s="22">
        <f t="shared" si="9"/>
        <v>33.624139864522427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10.110000000000001</v>
      </c>
      <c r="BX53" s="12">
        <f t="array" ref="BX53">INDEX(BW:BW,MIN(IF(ISNUMBER(BW53:BW249),ROW(BW53:BW249),"")))</f>
        <v>10.110000000000001</v>
      </c>
      <c r="BY53" s="12">
        <f>IF('Données projet'!$A$114&gt;35,BY52+BX53-CG52,IF(A53&lt;'Données projet'!$A$114,$BV$205^A53,IF(A53='Données projet'!$A$114,'Données projet'!$B$114,BY52+BX53-CG52)))</f>
        <v>208.33000000000021</v>
      </c>
      <c r="BZ53" s="13">
        <f>BY53*VLOOKUP('Données projet'!$B$12,Paramètres!$A$1:$I$89,3,0)*VLOOKUP('Données projet'!$B$12,Paramètres!$A$1:$I$89,5,0)</f>
        <v>201.49677600000018</v>
      </c>
      <c r="CA53" s="13">
        <f t="shared" si="39"/>
        <v>50.072970908388093</v>
      </c>
      <c r="CB53" s="20">
        <f t="shared" si="10"/>
        <v>438.15064253210954</v>
      </c>
      <c r="CC53" s="59">
        <f t="shared" si="11"/>
        <v>693.27162406157959</v>
      </c>
      <c r="CD53" s="59">
        <f ca="1">AVERAGE(OFFSET($CC$3,0,0,'Données projet'!$E$12+1,1))-AVERAGE(OFFSET($H$3,0,0,'Données projet'!$E$12+1,1))</f>
        <v>722.05521609092671</v>
      </c>
      <c r="CE53" s="59">
        <f t="shared" si="40"/>
        <v>317.36319714884644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37.54000000000002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26.815974129639361</v>
      </c>
      <c r="CM53" s="21">
        <f>EXP(-LN(2)/2)*CM52+(1-EXP(-LN(2)/2))/(LN(2)/2)*CG53*CJ53*VLOOKUP('Données projet'!$B$12,Paramètres!$A$1:$I$89,3,0)*0.475*44/12</f>
        <v>7.3593811424981883</v>
      </c>
      <c r="CN53" s="22">
        <f t="shared" si="12"/>
        <v>34.175355272137551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208.33</v>
      </c>
      <c r="CR53" s="12">
        <f>VLOOKUP(A53,'Données projet'!$A$139:$I$159,9,0)</f>
        <v>10.110000000000001</v>
      </c>
      <c r="CS53" s="12">
        <f t="array" ref="CS53">INDEX(CR:CR,MIN(IF(ISNUMBER(CR53:CR249),ROW(CR53:CR249),"")))</f>
        <v>10.110000000000001</v>
      </c>
      <c r="CT53" s="12">
        <f>IF('Données projet'!$A$140&gt;35,CT52+CS53-DB52,IF(A53&lt;'Données projet'!$A$140,$CQ$205^A53,IF(A53='Données projet'!$A$140,'Données projet'!$B$140,CT52+CS53-DB52)))</f>
        <v>208.33000000000021</v>
      </c>
      <c r="CU53" s="17">
        <f>CT53*VLOOKUP('Données projet'!$B$13,Paramètres!$A$1:$I$89,3,0)*VLOOKUP('Données projet'!$B$13,Paramètres!$A$1:$I$89,5,0)</f>
        <v>224.24641200000019</v>
      </c>
      <c r="CV53" s="13">
        <f t="shared" si="41"/>
        <v>55.036792961700719</v>
      </c>
      <c r="CW53" s="20">
        <f t="shared" si="13"/>
        <v>486.41824864162896</v>
      </c>
      <c r="CX53" s="59">
        <f t="shared" si="14"/>
        <v>741.53923017109901</v>
      </c>
      <c r="CY53" s="59">
        <f ca="1">AVERAGE(OFFSET($CX$3,0,0,'Données projet'!$E$13+1,1))-AVERAGE(OFFSET($H$3,0,0,'Données projet'!$E$13+1,1))</f>
        <v>792.94606354161886</v>
      </c>
      <c r="CZ53" s="59">
        <f t="shared" si="42"/>
        <v>346.14443498270919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37.54000000000002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0.34400000000000003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29.843584112017989</v>
      </c>
      <c r="DH53" s="21">
        <f>EXP(-LN(2)/2)*DH52+(1-EXP(-LN(2)/2))/(LN(2)/2)*DB53*DE53*VLOOKUP('Données projet'!$B$13,Paramètres!$A$1:$I$89,3,0)*0.475*44/12</f>
        <v>8.1902790134254033</v>
      </c>
      <c r="DI53" s="22">
        <f t="shared" si="15"/>
        <v>38.033863125443389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110.89743589743588</v>
      </c>
      <c r="DM53" s="12">
        <f>VLOOKUP(A53,'Données projet'!$A$165:$I$185,9,0)</f>
        <v>3.8461538461538454</v>
      </c>
      <c r="DN53" s="12">
        <f t="array" ref="DN53">INDEX(DM:DM,MIN(IF(ISNUMBER(DM53:DM249),ROW(DM53:DM249),"")))</f>
        <v>3.8461538461538454</v>
      </c>
      <c r="DO53" s="12">
        <f>IF('Données projet'!$A$166&gt;35,DO52+DN53-DW52,IF(A53&lt;'Données projet'!$A$166,$DL$205^A53,IF(A53='Données projet'!$A$166,'Données projet'!$B$166,DO52+DN53-DW52)))</f>
        <v>110.89743589743586</v>
      </c>
      <c r="DP53" s="17">
        <f>DO53*VLOOKUP('Données projet'!$B$14,Paramètres!$A$1:$I$89,3,0)*VLOOKUP('Données projet'!$B$14,Paramètres!$A$1:$I$89,5,0)</f>
        <v>115.90999999999997</v>
      </c>
      <c r="DQ53" s="13">
        <f t="shared" si="43"/>
        <v>30.719157262842881</v>
      </c>
      <c r="DR53" s="20">
        <f t="shared" si="16"/>
        <v>255.37911556611792</v>
      </c>
      <c r="DS53" s="59">
        <f t="shared" si="17"/>
        <v>510.50009709558799</v>
      </c>
      <c r="DT53" s="59">
        <f ca="1">AVERAGE(OFFSET($DS$3,0,0,'Données projet'!$E$14+1,1))-AVERAGE(OFFSET($H$3,0,0,'Données projet'!$E$14+1,1))</f>
        <v>269.21114382490202</v>
      </c>
      <c r="DU53" s="59">
        <f t="shared" si="44"/>
        <v>233.07776944102309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11.538461538461538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0.215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15.306868602639014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15.306868602639014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208.33</v>
      </c>
      <c r="FC53" s="12">
        <f>VLOOKUP(A53,'Données projet'!$A$217:$I$237,9,0)</f>
        <v>10.110000000000001</v>
      </c>
      <c r="FD53" s="12">
        <f t="array" ref="FD53">INDEX(FC:FC,MIN(IF(ISNUMBER(FC53:FC249),ROW(FC53:FC249),"")))</f>
        <v>10.110000000000001</v>
      </c>
      <c r="FE53" s="12">
        <f>IF('Données projet'!$A$218&gt;35,FE52+FD53-FM52,IF(A53&lt;'Données projet'!$A$218,$FB$205^A53,IF(A53='Données projet'!$A$218,'Données projet'!$B$218,FE52+FD53-FM52)))</f>
        <v>208.33000000000021</v>
      </c>
      <c r="FF53" s="17">
        <f>FE53*VLOOKUP('Données projet'!$B$16,Paramètres!$A$1:$I$89,3,0)*VLOOKUP('Données projet'!$B$16,Paramètres!$A$1:$I$89,5,0)</f>
        <v>237.24620400000026</v>
      </c>
      <c r="FG53" s="13">
        <f t="shared" si="47"/>
        <v>57.846640494287357</v>
      </c>
      <c r="FH53" s="20">
        <f t="shared" si="22"/>
        <v>513.95337082755088</v>
      </c>
      <c r="FI53" s="59">
        <f t="shared" si="23"/>
        <v>769.07435235702098</v>
      </c>
      <c r="FJ53" s="59">
        <f ca="1">AVERAGE(OFFSET($FI$3,0,0,'Données projet'!$E$16+1,1))-AVERAGE(OFFSET($H$3,0,0,'Données projet'!$E$16+1,1))</f>
        <v>833.39050463936144</v>
      </c>
      <c r="FK53" s="59">
        <f t="shared" si="48"/>
        <v>362.56178526355507</v>
      </c>
      <c r="FL53" s="15">
        <f>IF(ISNA(VLOOKUP(A53,'Données projet'!$A$217:$I$237,3,0)),0,VLOOKUP(A53,'Données projet'!$A$217:$I$237,3,0))</f>
        <v>2</v>
      </c>
      <c r="FM53" s="15">
        <f>IF(ISNA(VLOOKUP(A53,'Données projet'!$A$217:$I$237,4,0)),0,VLOOKUP(A53,'Données projet'!$A$217:$I$237,4,0))</f>
        <v>37.54000000000002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0.34400000000000003</v>
      </c>
      <c r="FP53" s="16">
        <f>IF(ISNA(VLOOKUP(A53,'Données projet'!$A$217:$I$237,7,0)),0%,VLOOKUP(A53,'Données projet'!$A$217:$I$237,7,0))</f>
        <v>0.2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31.573646959091498</v>
      </c>
      <c r="FS53" s="21">
        <f>EXP(-LN(2)/2)*FS52+(1-EXP(-LN(2)/2))/(LN(2)/2)*FM53*FP53*VLOOKUP('Données projet'!$B$16,Paramètres!$A$1:$I$89,3,0)*0.475*44/12</f>
        <v>8.6650777968123815</v>
      </c>
      <c r="FT53" s="22">
        <f t="shared" si="24"/>
        <v>40.238724755903881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613.92388973013522</v>
      </c>
      <c r="S54" s="59">
        <f ca="1">AVERAGE(OFFSET($R$3,0,0,'Données projet'!$E$9+1,1))-AVERAGE(OFFSET($H$3,0,0,'Données projet'!$E$9+1,1))</f>
        <v>681.47578137804555</v>
      </c>
      <c r="T54" s="59">
        <f t="shared" si="34"/>
        <v>300.88511065995885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183.68990250000022</v>
      </c>
      <c r="AK54" s="13">
        <f t="shared" si="35"/>
        <v>46.142149449949819</v>
      </c>
      <c r="AL54" s="20">
        <f t="shared" si="4"/>
        <v>400.29082381282961</v>
      </c>
      <c r="AM54" s="59">
        <f t="shared" si="5"/>
        <v>656.0747042160765</v>
      </c>
      <c r="AN54" s="59">
        <f ca="1">AVERAGE(OFFSET($AM$3,0,0,'Données projet'!$E$10+1,1))-AVERAGE(OFFSET($H$3,0,0,'Données projet'!$E$10+1,1))</f>
        <v>752.45542076695506</v>
      </c>
      <c r="AO54" s="59">
        <f t="shared" si="36"/>
        <v>329.70629768420724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27.344755547528752</v>
      </c>
      <c r="AW54" s="21">
        <f>EXP(-LN(2)/2)*AW53+(1-EXP(-LN(2)/2))/(LN(2)/2)*AQ54*AT54*VLOOKUP('Données projet'!$B$10,Paramètres!$A$1:$I$89,3,0)*0.475*44/12</f>
        <v>5.4556683907709127</v>
      </c>
      <c r="AX54" s="21">
        <f t="shared" si="6"/>
        <v>32.800423938299666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172.3859085000002</v>
      </c>
      <c r="BF54" s="13">
        <f t="shared" si="37"/>
        <v>43.623953502587391</v>
      </c>
      <c r="BG54" s="20">
        <f t="shared" si="7"/>
        <v>376.21717632117338</v>
      </c>
      <c r="BH54" s="59">
        <f t="shared" si="8"/>
        <v>632.00105672442021</v>
      </c>
      <c r="BI54" s="59">
        <f ca="1">AVERAGE(OFFSET($BH$3,0,0,'Données projet'!$E$11+1,1))-AVERAGE(OFFSET($H$3,0,0,'Données projet'!$E$11+1,1))</f>
        <v>711.91538686535682</v>
      </c>
      <c r="BJ54" s="59">
        <f t="shared" si="38"/>
        <v>313.24593837351722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25.662001359988523</v>
      </c>
      <c r="BR54" s="21">
        <f>EXP(-LN(2)/2)*BR53+(1-EXP(-LN(2)/2))/(LN(2)/2)*BL54*BO54*VLOOKUP('Données projet'!$B$11,Paramètres!$A$1:$I$89,3,0)*0.475*44/12</f>
        <v>5.1199349513388572</v>
      </c>
      <c r="BS54" s="22">
        <f t="shared" si="9"/>
        <v>30.781936311327378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10.36375</v>
      </c>
      <c r="BY54" s="12">
        <f>IF('Données projet'!$A$114&gt;35,BY53+BX54-CG53,IF(A54&lt;'Données projet'!$A$114,$BV$205^A54,IF(A54='Données projet'!$A$114,'Données projet'!$B$114,BY53+BX54-CG53)))</f>
        <v>181.1537500000002</v>
      </c>
      <c r="BZ54" s="13">
        <f>BY54*VLOOKUP('Données projet'!$B$12,Paramètres!$A$1:$I$89,3,0)*VLOOKUP('Données projet'!$B$12,Paramètres!$A$1:$I$89,5,0)</f>
        <v>175.2119070000002</v>
      </c>
      <c r="CA54" s="13">
        <f t="shared" si="39"/>
        <v>44.255257944424898</v>
      </c>
      <c r="CB54" s="20">
        <f t="shared" si="10"/>
        <v>382.23864561154033</v>
      </c>
      <c r="CC54" s="59">
        <f t="shared" si="11"/>
        <v>638.02252601478722</v>
      </c>
      <c r="CD54" s="59">
        <f ca="1">AVERAGE(OFFSET($CC$3,0,0,'Données projet'!$E$12+1,1))-AVERAGE(OFFSET($H$3,0,0,'Données projet'!$E$12+1,1))</f>
        <v>722.05521609092671</v>
      </c>
      <c r="CE54" s="59">
        <f t="shared" si="40"/>
        <v>317.36319714884644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26.082689906873583</v>
      </c>
      <c r="CM54" s="21">
        <f>EXP(-LN(2)/2)*CM53+(1-EXP(-LN(2)/2))/(LN(2)/2)*CG54*CJ54*VLOOKUP('Données projet'!$B$12,Paramètres!$A$1:$I$89,3,0)*0.475*44/12</f>
        <v>5.2038683111968709</v>
      </c>
      <c r="CN54" s="22">
        <f t="shared" si="12"/>
        <v>31.286558218070454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10.36375</v>
      </c>
      <c r="CT54" s="12">
        <f>IF('Données projet'!$A$140&gt;35,CT53+CS54-DB53,IF(A54&lt;'Données projet'!$A$140,$CQ$205^A54,IF(A54='Données projet'!$A$140,'Données projet'!$B$140,CT53+CS54-DB53)))</f>
        <v>181.1537500000002</v>
      </c>
      <c r="CU54" s="17">
        <f>CT54*VLOOKUP('Données projet'!$B$13,Paramètres!$A$1:$I$89,3,0)*VLOOKUP('Données projet'!$B$13,Paramètres!$A$1:$I$89,5,0)</f>
        <v>194.9938965000002</v>
      </c>
      <c r="CV54" s="13">
        <f t="shared" si="41"/>
        <v>48.642359835412826</v>
      </c>
      <c r="CW54" s="20">
        <f t="shared" si="13"/>
        <v>424.33314645084437</v>
      </c>
      <c r="CX54" s="59">
        <f t="shared" si="14"/>
        <v>680.11702685409114</v>
      </c>
      <c r="CY54" s="59">
        <f ca="1">AVERAGE(OFFSET($CX$3,0,0,'Données projet'!$E$13+1,1))-AVERAGE(OFFSET($H$3,0,0,'Données projet'!$E$13+1,1))</f>
        <v>792.94606354161886</v>
      </c>
      <c r="CZ54" s="59">
        <f t="shared" si="42"/>
        <v>346.14443498270919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29.027509735068978</v>
      </c>
      <c r="DH54" s="21">
        <f>EXP(-LN(2)/2)*DH53+(1-EXP(-LN(2)/2))/(LN(2)/2)*DB54*DE54*VLOOKUP('Données projet'!$B$13,Paramètres!$A$1:$I$89,3,0)*0.475*44/12</f>
        <v>5.7914018302029691</v>
      </c>
      <c r="DI54" s="22">
        <f t="shared" si="15"/>
        <v>34.818911565271947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3.3333333333333344</v>
      </c>
      <c r="DO54" s="12">
        <f>IF('Données projet'!$A$166&gt;35,DO53+DN54-DW53,IF(A54&lt;'Données projet'!$A$166,$DL$205^A54,IF(A54='Données projet'!$A$166,'Données projet'!$B$166,DO53+DN54-DW53)))</f>
        <v>102.69230769230765</v>
      </c>
      <c r="DP54" s="17">
        <f>DO54*VLOOKUP('Données projet'!$B$14,Paramètres!$A$1:$I$89,3,0)*VLOOKUP('Données projet'!$B$14,Paramètres!$A$1:$I$89,5,0)</f>
        <v>107.33399999999996</v>
      </c>
      <c r="DQ54" s="13">
        <f t="shared" si="43"/>
        <v>28.701960070059993</v>
      </c>
      <c r="DR54" s="20">
        <f t="shared" si="16"/>
        <v>236.9292971220211</v>
      </c>
      <c r="DS54" s="59">
        <f t="shared" si="17"/>
        <v>492.71317752526795</v>
      </c>
      <c r="DT54" s="59">
        <f ca="1">AVERAGE(OFFSET($DS$3,0,0,'Données projet'!$E$14+1,1))-AVERAGE(OFFSET($H$3,0,0,'Données projet'!$E$14+1,1))</f>
        <v>269.21114382490202</v>
      </c>
      <c r="DU54" s="59">
        <f t="shared" si="44"/>
        <v>233.07776944102309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14.888301475746614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14.888301475746614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10.36375</v>
      </c>
      <c r="FE54" s="12">
        <f>IF('Données projet'!$A$218&gt;35,FE53+FD54-FM53,IF(A54&lt;'Données projet'!$A$218,$FB$205^A54,IF(A54='Données projet'!$A$218,'Données projet'!$B$218,FE53+FD54-FM53)))</f>
        <v>181.1537500000002</v>
      </c>
      <c r="FF54" s="17">
        <f>FE54*VLOOKUP('Données projet'!$B$16,Paramètres!$A$1:$I$89,3,0)*VLOOKUP('Données projet'!$B$16,Paramètres!$A$1:$I$89,5,0)</f>
        <v>206.29789050000022</v>
      </c>
      <c r="FG54" s="13">
        <f t="shared" si="47"/>
        <v>51.125746083187849</v>
      </c>
      <c r="FH54" s="20">
        <f t="shared" si="22"/>
        <v>448.34616704905255</v>
      </c>
      <c r="FI54" s="59">
        <f t="shared" si="23"/>
        <v>704.13004745229932</v>
      </c>
      <c r="FJ54" s="59">
        <f ca="1">AVERAGE(OFFSET($FI$3,0,0,'Données projet'!$E$16+1,1))-AVERAGE(OFFSET($H$3,0,0,'Données projet'!$E$16+1,1))</f>
        <v>833.39050463936144</v>
      </c>
      <c r="FK54" s="59">
        <f t="shared" si="48"/>
        <v>362.56178526355507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30.710263922609212</v>
      </c>
      <c r="FS54" s="21">
        <f>EXP(-LN(2)/2)*FS53+(1-EXP(-LN(2)/2))/(LN(2)/2)*FM54*FP54*VLOOKUP('Données projet'!$B$16,Paramètres!$A$1:$I$89,3,0)*0.475*44/12</f>
        <v>6.1271352696350245</v>
      </c>
      <c r="FT54" s="22">
        <f t="shared" si="24"/>
        <v>36.837399192244234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634.56848482643636</v>
      </c>
      <c r="S55" s="59">
        <f ca="1">AVERAGE(OFFSET($R$3,0,0,'Données projet'!$E$9+1,1))-AVERAGE(OFFSET($H$3,0,0,'Données projet'!$E$9+1,1))</f>
        <v>681.47578137804555</v>
      </c>
      <c r="T55" s="59">
        <f t="shared" si="34"/>
        <v>300.88511065995885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194.19874500000023</v>
      </c>
      <c r="AK55" s="13">
        <f t="shared" si="35"/>
        <v>48.467051557519213</v>
      </c>
      <c r="AL55" s="20">
        <f t="shared" si="4"/>
        <v>422.64292900434634</v>
      </c>
      <c r="AM55" s="59">
        <f t="shared" si="5"/>
        <v>679.0782084679297</v>
      </c>
      <c r="AN55" s="59">
        <f ca="1">AVERAGE(OFFSET($AM$3,0,0,'Données projet'!$E$10+1,1))-AVERAGE(OFFSET($H$3,0,0,'Données projet'!$E$10+1,1))</f>
        <v>752.45542076695506</v>
      </c>
      <c r="AO55" s="59">
        <f t="shared" si="36"/>
        <v>329.70629768420724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26.59701176908338</v>
      </c>
      <c r="AW55" s="21">
        <f>EXP(-LN(2)/2)*AW54+(1-EXP(-LN(2)/2))/(LN(2)/2)*AQ55*AT55*VLOOKUP('Données projet'!$B$10,Paramètres!$A$1:$I$89,3,0)*0.475*44/12</f>
        <v>3.8577401150192121</v>
      </c>
      <c r="AX55" s="21">
        <f t="shared" si="6"/>
        <v>30.454751884102592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182.2480530000002</v>
      </c>
      <c r="BF55" s="13">
        <f t="shared" si="37"/>
        <v>45.821974675153001</v>
      </c>
      <c r="BG55" s="20">
        <f t="shared" si="7"/>
        <v>397.22196486755848</v>
      </c>
      <c r="BH55" s="59">
        <f t="shared" si="8"/>
        <v>653.65724433114178</v>
      </c>
      <c r="BI55" s="59">
        <f ca="1">AVERAGE(OFFSET($BH$3,0,0,'Données projet'!$E$11+1,1))-AVERAGE(OFFSET($H$3,0,0,'Données projet'!$E$11+1,1))</f>
        <v>711.91538686535682</v>
      </c>
      <c r="BJ55" s="59">
        <f t="shared" si="38"/>
        <v>313.24593837351722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24.960272583293637</v>
      </c>
      <c r="BR55" s="21">
        <f>EXP(-LN(2)/2)*BR54+(1-EXP(-LN(2)/2))/(LN(2)/2)*BL55*BO55*VLOOKUP('Données projet'!$B$11,Paramètres!$A$1:$I$89,3,0)*0.475*44/12</f>
        <v>3.6203407233257225</v>
      </c>
      <c r="BS55" s="22">
        <f t="shared" si="9"/>
        <v>28.580613306619359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10.36375</v>
      </c>
      <c r="BY55" s="12">
        <f>IF('Données projet'!$A$114&gt;35,BY54+BX55-CG54,IF(A55&lt;'Données projet'!$A$114,$BV$205^A55,IF(A55='Données projet'!$A$114,'Données projet'!$B$114,BY54+BX55-CG54)))</f>
        <v>191.51750000000021</v>
      </c>
      <c r="BZ55" s="13">
        <f>BY55*VLOOKUP('Données projet'!$B$12,Paramètres!$A$1:$I$89,3,0)*VLOOKUP('Données projet'!$B$12,Paramètres!$A$1:$I$89,5,0)</f>
        <v>185.23572600000023</v>
      </c>
      <c r="CA55" s="13">
        <f t="shared" si="39"/>
        <v>46.485087800479299</v>
      </c>
      <c r="CB55" s="20">
        <f t="shared" si="10"/>
        <v>403.58041736916852</v>
      </c>
      <c r="CC55" s="59">
        <f t="shared" si="11"/>
        <v>660.01569683275193</v>
      </c>
      <c r="CD55" s="59">
        <f ca="1">AVERAGE(OFFSET($CC$3,0,0,'Données projet'!$E$12+1,1))-AVERAGE(OFFSET($H$3,0,0,'Données projet'!$E$12+1,1))</f>
        <v>722.05521609092671</v>
      </c>
      <c r="CE55" s="59">
        <f t="shared" si="40"/>
        <v>317.36319714884644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25.369457379741075</v>
      </c>
      <c r="CM55" s="21">
        <f>EXP(-LN(2)/2)*CM54+(1-EXP(-LN(2)/2))/(LN(2)/2)*CG55*CJ55*VLOOKUP('Données projet'!$B$12,Paramètres!$A$1:$I$89,3,0)*0.475*44/12</f>
        <v>3.6796905712490946</v>
      </c>
      <c r="CN55" s="22">
        <f t="shared" si="12"/>
        <v>29.049147950990168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10.36375</v>
      </c>
      <c r="CT55" s="12">
        <f>IF('Données projet'!$A$140&gt;35,CT54+CS55-DB54,IF(A55&lt;'Données projet'!$A$140,$CQ$205^A55,IF(A55='Données projet'!$A$140,'Données projet'!$B$140,CT54+CS55-DB54)))</f>
        <v>191.51750000000021</v>
      </c>
      <c r="CU55" s="17">
        <f>CT55*VLOOKUP('Données projet'!$B$13,Paramètres!$A$1:$I$89,3,0)*VLOOKUP('Données projet'!$B$13,Paramètres!$A$1:$I$89,5,0)</f>
        <v>206.14943700000023</v>
      </c>
      <c r="CV55" s="13">
        <f t="shared" si="41"/>
        <v>51.09323666379229</v>
      </c>
      <c r="CW55" s="20">
        <f t="shared" si="13"/>
        <v>448.03098996443867</v>
      </c>
      <c r="CX55" s="59">
        <f t="shared" si="14"/>
        <v>704.46626942802209</v>
      </c>
      <c r="CY55" s="59">
        <f ca="1">AVERAGE(OFFSET($CX$3,0,0,'Données projet'!$E$13+1,1))-AVERAGE(OFFSET($H$3,0,0,'Données projet'!$E$13+1,1))</f>
        <v>792.94606354161886</v>
      </c>
      <c r="CZ55" s="59">
        <f t="shared" si="42"/>
        <v>346.14443498270919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28.233750954873123</v>
      </c>
      <c r="DH55" s="21">
        <f>EXP(-LN(2)/2)*DH54+(1-EXP(-LN(2)/2))/(LN(2)/2)*DB55*DE55*VLOOKUP('Données projet'!$B$13,Paramètres!$A$1:$I$89,3,0)*0.475*44/12</f>
        <v>4.0951395067127017</v>
      </c>
      <c r="DI55" s="22">
        <f t="shared" si="15"/>
        <v>32.328890461585829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3.3333333333333344</v>
      </c>
      <c r="DO55" s="12">
        <f>IF('Données projet'!$A$166&gt;35,DO54+DN55-DW54,IF(A55&lt;'Données projet'!$A$166,$DL$205^A55,IF(A55='Données projet'!$A$166,'Données projet'!$B$166,DO54+DN55-DW54)))</f>
        <v>106.02564102564098</v>
      </c>
      <c r="DP55" s="17">
        <f>DO55*VLOOKUP('Données projet'!$B$14,Paramètres!$A$1:$I$89,3,0)*VLOOKUP('Données projet'!$B$14,Paramètres!$A$1:$I$89,5,0)</f>
        <v>110.81799999999996</v>
      </c>
      <c r="DQ55" s="13">
        <f t="shared" si="43"/>
        <v>29.523628571023192</v>
      </c>
      <c r="DR55" s="20">
        <f t="shared" si="16"/>
        <v>244.42833642786528</v>
      </c>
      <c r="DS55" s="59">
        <f t="shared" si="17"/>
        <v>500.8636158914486</v>
      </c>
      <c r="DT55" s="59">
        <f ca="1">AVERAGE(OFFSET($DS$3,0,0,'Données projet'!$E$14+1,1))-AVERAGE(OFFSET($H$3,0,0,'Données projet'!$E$14+1,1))</f>
        <v>269.21114382490202</v>
      </c>
      <c r="DU55" s="59">
        <f t="shared" si="44"/>
        <v>233.07776944102309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14.481180088950575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14.481180088950575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10.36375</v>
      </c>
      <c r="FE55" s="12">
        <f>IF('Données projet'!$A$218&gt;35,FE54+FD55-FM54,IF(A55&lt;'Données projet'!$A$218,$FB$205^A55,IF(A55='Données projet'!$A$218,'Données projet'!$B$218,FE54+FD55-FM54)))</f>
        <v>191.51750000000021</v>
      </c>
      <c r="FF55" s="17">
        <f>FE55*VLOOKUP('Données projet'!$B$16,Paramètres!$A$1:$I$89,3,0)*VLOOKUP('Données projet'!$B$16,Paramètres!$A$1:$I$89,5,0)</f>
        <v>218.10012900000027</v>
      </c>
      <c r="FG55" s="13">
        <f t="shared" si="47"/>
        <v>53.701749937295048</v>
      </c>
      <c r="FH55" s="20">
        <f t="shared" si="22"/>
        <v>473.38827248245599</v>
      </c>
      <c r="FI55" s="59">
        <f t="shared" si="23"/>
        <v>729.82355194603929</v>
      </c>
      <c r="FJ55" s="59">
        <f ca="1">AVERAGE(OFFSET($FI$3,0,0,'Données projet'!$E$16+1,1))-AVERAGE(OFFSET($H$3,0,0,'Données projet'!$E$16+1,1))</f>
        <v>833.39050463936144</v>
      </c>
      <c r="FK55" s="59">
        <f t="shared" si="48"/>
        <v>362.56178526355507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29.870490140662874</v>
      </c>
      <c r="FS55" s="21">
        <f>EXP(-LN(2)/2)*FS54+(1-EXP(-LN(2)/2))/(LN(2)/2)*FM55*FP55*VLOOKUP('Données projet'!$B$16,Paramètres!$A$1:$I$89,3,0)*0.475*44/12</f>
        <v>4.3325388984061917</v>
      </c>
      <c r="FT55" s="22">
        <f t="shared" si="24"/>
        <v>34.203029039069065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655.17877776242744</v>
      </c>
      <c r="S56" s="59">
        <f ca="1">AVERAGE(OFFSET($R$3,0,0,'Données projet'!$E$9+1,1))-AVERAGE(OFFSET($H$3,0,0,'Données projet'!$E$9+1,1))</f>
        <v>681.47578137804555</v>
      </c>
      <c r="T56" s="59">
        <f t="shared" si="34"/>
        <v>300.88511065995885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204.70758750000024</v>
      </c>
      <c r="AK56" s="13">
        <f t="shared" si="35"/>
        <v>50.777347948807439</v>
      </c>
      <c r="AL56" s="20">
        <f t="shared" si="4"/>
        <v>444.96959590667331</v>
      </c>
      <c r="AM56" s="59">
        <f t="shared" si="5"/>
        <v>702.04497411320654</v>
      </c>
      <c r="AN56" s="59">
        <f ca="1">AVERAGE(OFFSET($AM$3,0,0,'Données projet'!$E$10+1,1))-AVERAGE(OFFSET($H$3,0,0,'Données projet'!$E$10+1,1))</f>
        <v>752.45542076695506</v>
      </c>
      <c r="AO56" s="59">
        <f t="shared" si="36"/>
        <v>329.70629768420724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25.869715083581735</v>
      </c>
      <c r="AW56" s="21">
        <f>EXP(-LN(2)/2)*AW55+(1-EXP(-LN(2)/2))/(LN(2)/2)*AQ56*AT56*VLOOKUP('Données projet'!$B$10,Paramètres!$A$1:$I$89,3,0)*0.475*44/12</f>
        <v>2.7278341953854568</v>
      </c>
      <c r="AX56" s="21">
        <f t="shared" si="6"/>
        <v>28.597549278967193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192.11019750000023</v>
      </c>
      <c r="BF56" s="13">
        <f t="shared" si="37"/>
        <v>48.00618723464968</v>
      </c>
      <c r="BG56" s="20">
        <f t="shared" si="7"/>
        <v>418.20270341284862</v>
      </c>
      <c r="BH56" s="59">
        <f t="shared" si="8"/>
        <v>675.27808161938185</v>
      </c>
      <c r="BI56" s="59">
        <f ca="1">AVERAGE(OFFSET($BH$3,0,0,'Données projet'!$E$11+1,1))-AVERAGE(OFFSET($H$3,0,0,'Données projet'!$E$11+1,1))</f>
        <v>711.91538686535682</v>
      </c>
      <c r="BJ56" s="59">
        <f t="shared" si="38"/>
        <v>313.24593837351722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24.277732616899787</v>
      </c>
      <c r="BR56" s="21">
        <f>EXP(-LN(2)/2)*BR55+(1-EXP(-LN(2)/2))/(LN(2)/2)*BL56*BO56*VLOOKUP('Données projet'!$B$11,Paramètres!$A$1:$I$89,3,0)*0.475*44/12</f>
        <v>2.5599674756694291</v>
      </c>
      <c r="BS56" s="22">
        <f t="shared" si="9"/>
        <v>26.837700092569214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10.36375</v>
      </c>
      <c r="BY56" s="12">
        <f>IF('Données projet'!$A$114&gt;35,BY55+BX56-CG55,IF(A56&lt;'Données projet'!$A$114,$BV$205^A56,IF(A56='Données projet'!$A$114,'Données projet'!$B$114,BY55+BX56-CG55)))</f>
        <v>201.88125000000022</v>
      </c>
      <c r="BZ56" s="13">
        <f>BY56*VLOOKUP('Données projet'!$B$12,Paramètres!$A$1:$I$89,3,0)*VLOOKUP('Données projet'!$B$12,Paramètres!$A$1:$I$89,5,0)</f>
        <v>195.2595450000002</v>
      </c>
      <c r="CA56" s="13">
        <f t="shared" si="39"/>
        <v>48.700909211994528</v>
      </c>
      <c r="CB56" s="20">
        <f t="shared" si="10"/>
        <v>424.89779108589073</v>
      </c>
      <c r="CC56" s="59">
        <f t="shared" si="11"/>
        <v>681.97316929242402</v>
      </c>
      <c r="CD56" s="59">
        <f ca="1">AVERAGE(OFFSET($CC$3,0,0,'Données projet'!$E$12+1,1))-AVERAGE(OFFSET($H$3,0,0,'Données projet'!$E$12+1,1))</f>
        <v>722.05521609092671</v>
      </c>
      <c r="CE56" s="59">
        <f t="shared" si="40"/>
        <v>317.36319714884644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24.675728233570275</v>
      </c>
      <c r="CM56" s="21">
        <f>EXP(-LN(2)/2)*CM55+(1-EXP(-LN(2)/2))/(LN(2)/2)*CG56*CJ56*VLOOKUP('Données projet'!$B$12,Paramètres!$A$1:$I$89,3,0)*0.475*44/12</f>
        <v>2.6019341555984359</v>
      </c>
      <c r="CN56" s="22">
        <f t="shared" si="12"/>
        <v>27.277662389168711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10.36375</v>
      </c>
      <c r="CT56" s="12">
        <f>IF('Données projet'!$A$140&gt;35,CT55+CS56-DB55,IF(A56&lt;'Données projet'!$A$140,$CQ$205^A56,IF(A56='Données projet'!$A$140,'Données projet'!$B$140,CT55+CS56-DB55)))</f>
        <v>201.88125000000022</v>
      </c>
      <c r="CU56" s="17">
        <f>CT56*VLOOKUP('Données projet'!$B$13,Paramètres!$A$1:$I$89,3,0)*VLOOKUP('Données projet'!$B$13,Paramètres!$A$1:$I$89,5,0)</f>
        <v>217.30497750000021</v>
      </c>
      <c r="CV56" s="13">
        <f t="shared" si="41"/>
        <v>53.528716365781243</v>
      </c>
      <c r="CW56" s="20">
        <f t="shared" si="13"/>
        <v>471.70201681623604</v>
      </c>
      <c r="CX56" s="59">
        <f t="shared" si="14"/>
        <v>728.77739502276927</v>
      </c>
      <c r="CY56" s="59">
        <f ca="1">AVERAGE(OFFSET($CX$3,0,0,'Données projet'!$E$13+1,1))-AVERAGE(OFFSET($H$3,0,0,'Données projet'!$E$13+1,1))</f>
        <v>792.94606354161886</v>
      </c>
      <c r="CZ56" s="59">
        <f t="shared" si="42"/>
        <v>346.14443498270919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27.461697550263683</v>
      </c>
      <c r="DH56" s="21">
        <f>EXP(-LN(2)/2)*DH55+(1-EXP(-LN(2)/2))/(LN(2)/2)*DB56*DE56*VLOOKUP('Données projet'!$B$13,Paramètres!$A$1:$I$89,3,0)*0.475*44/12</f>
        <v>2.8957009151014845</v>
      </c>
      <c r="DI56" s="22">
        <f t="shared" si="15"/>
        <v>30.357398465365169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3.3333333333333344</v>
      </c>
      <c r="DO56" s="12">
        <f>IF('Données projet'!$A$166&gt;35,DO55+DN56-DW55,IF(A56&lt;'Données projet'!$A$166,$DL$205^A56,IF(A56='Données projet'!$A$166,'Données projet'!$B$166,DO55+DN56-DW55)))</f>
        <v>109.35897435897431</v>
      </c>
      <c r="DP56" s="17">
        <f>DO56*VLOOKUP('Données projet'!$B$14,Paramètres!$A$1:$I$89,3,0)*VLOOKUP('Données projet'!$B$14,Paramètres!$A$1:$I$89,5,0)</f>
        <v>114.30199999999996</v>
      </c>
      <c r="DQ56" s="13">
        <f t="shared" si="43"/>
        <v>30.342295155235718</v>
      </c>
      <c r="DR56" s="20">
        <f t="shared" si="16"/>
        <v>251.9221473953688</v>
      </c>
      <c r="DS56" s="59">
        <f t="shared" si="17"/>
        <v>508.997525601902</v>
      </c>
      <c r="DT56" s="59">
        <f ca="1">AVERAGE(OFFSET($DS$3,0,0,'Données projet'!$E$14+1,1))-AVERAGE(OFFSET($H$3,0,0,'Données projet'!$E$14+1,1))</f>
        <v>269.21114382490202</v>
      </c>
      <c r="DU56" s="59">
        <f t="shared" si="44"/>
        <v>233.07776944102309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14.085191457886058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14.085191457886058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10.36375</v>
      </c>
      <c r="FE56" s="12">
        <f>IF('Données projet'!$A$218&gt;35,FE55+FD56-FM55,IF(A56&lt;'Données projet'!$A$218,$FB$205^A56,IF(A56='Données projet'!$A$218,'Données projet'!$B$218,FE55+FD56-FM55)))</f>
        <v>201.88125000000022</v>
      </c>
      <c r="FF56" s="17">
        <f>FE56*VLOOKUP('Données projet'!$B$16,Paramètres!$A$1:$I$89,3,0)*VLOOKUP('Données projet'!$B$16,Paramètres!$A$1:$I$89,5,0)</f>
        <v>229.90236750000028</v>
      </c>
      <c r="FG56" s="13">
        <f t="shared" si="47"/>
        <v>56.261570580371639</v>
      </c>
      <c r="FH56" s="20">
        <f t="shared" si="22"/>
        <v>498.40219215664774</v>
      </c>
      <c r="FI56" s="59">
        <f t="shared" si="23"/>
        <v>755.47757036318103</v>
      </c>
      <c r="FJ56" s="59">
        <f ca="1">AVERAGE(OFFSET($FI$3,0,0,'Données projet'!$E$16+1,1))-AVERAGE(OFFSET($H$3,0,0,'Données projet'!$E$16+1,1))</f>
        <v>833.39050463936144</v>
      </c>
      <c r="FK56" s="59">
        <f t="shared" si="48"/>
        <v>362.56178526355507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29.053680016945641</v>
      </c>
      <c r="FS56" s="21">
        <f>EXP(-LN(2)/2)*FS55+(1-EXP(-LN(2)/2))/(LN(2)/2)*FM56*FP56*VLOOKUP('Données projet'!$B$16,Paramètres!$A$1:$I$89,3,0)*0.475*44/12</f>
        <v>3.0635676348175127</v>
      </c>
      <c r="FT56" s="22">
        <f t="shared" si="24"/>
        <v>32.117247651763151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675.75628009389561</v>
      </c>
      <c r="S57" s="59">
        <f ca="1">AVERAGE(OFFSET($R$3,0,0,'Données projet'!$E$9+1,1))-AVERAGE(OFFSET($H$3,0,0,'Données projet'!$E$9+1,1))</f>
        <v>681.47578137804555</v>
      </c>
      <c r="T57" s="59">
        <f t="shared" si="34"/>
        <v>300.88511065995885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215.21643000000026</v>
      </c>
      <c r="AK57" s="13">
        <f t="shared" si="35"/>
        <v>53.073873953396202</v>
      </c>
      <c r="AL57" s="20">
        <f t="shared" si="4"/>
        <v>467.27227938549885</v>
      </c>
      <c r="AM57" s="59">
        <f t="shared" si="5"/>
        <v>724.97665205283818</v>
      </c>
      <c r="AN57" s="59">
        <f ca="1">AVERAGE(OFFSET($AM$3,0,0,'Données projet'!$E$10+1,1))-AVERAGE(OFFSET($H$3,0,0,'Données projet'!$E$10+1,1))</f>
        <v>752.45542076695506</v>
      </c>
      <c r="AO57" s="59">
        <f t="shared" si="36"/>
        <v>329.70629768420724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25.162306364192002</v>
      </c>
      <c r="AW57" s="21">
        <f>EXP(-LN(2)/2)*AW56+(1-EXP(-LN(2)/2))/(LN(2)/2)*AQ57*AT57*VLOOKUP('Données projet'!$B$10,Paramètres!$A$1:$I$89,3,0)*0.475*44/12</f>
        <v>1.9288700575096063</v>
      </c>
      <c r="AX57" s="21">
        <f t="shared" si="6"/>
        <v>27.091176421701608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201.97234200000022</v>
      </c>
      <c r="BF57" s="13">
        <f t="shared" si="37"/>
        <v>50.177380922761891</v>
      </c>
      <c r="BG57" s="20">
        <f t="shared" si="7"/>
        <v>439.16076742381068</v>
      </c>
      <c r="BH57" s="59">
        <f t="shared" si="8"/>
        <v>696.86514009115001</v>
      </c>
      <c r="BI57" s="59">
        <f ca="1">AVERAGE(OFFSET($BH$3,0,0,'Données projet'!$E$11+1,1))-AVERAGE(OFFSET($H$3,0,0,'Données projet'!$E$11+1,1))</f>
        <v>711.91538686535682</v>
      </c>
      <c r="BJ57" s="59">
        <f t="shared" si="38"/>
        <v>313.24593837351722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23.613856741780189</v>
      </c>
      <c r="BR57" s="21">
        <f>EXP(-LN(2)/2)*BR56+(1-EXP(-LN(2)/2))/(LN(2)/2)*BL57*BO57*VLOOKUP('Données projet'!$B$11,Paramètres!$A$1:$I$89,3,0)*0.475*44/12</f>
        <v>1.8101703616628615</v>
      </c>
      <c r="BS57" s="22">
        <f t="shared" si="9"/>
        <v>25.424027103443052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10.36375</v>
      </c>
      <c r="BY57" s="12">
        <f>IF('Données projet'!$A$114&gt;35,BY56+BX57-CG56,IF(A57&lt;'Données projet'!$A$114,$BV$205^A57,IF(A57='Données projet'!$A$114,'Données projet'!$B$114,BY56+BX57-CG56)))</f>
        <v>212.24500000000023</v>
      </c>
      <c r="BZ57" s="13">
        <f>BY57*VLOOKUP('Données projet'!$B$12,Paramètres!$A$1:$I$89,3,0)*VLOOKUP('Données projet'!$B$12,Paramètres!$A$1:$I$89,5,0)</f>
        <v>205.28336400000023</v>
      </c>
      <c r="CA57" s="13">
        <f t="shared" si="39"/>
        <v>50.903523349409056</v>
      </c>
      <c r="CB57" s="20">
        <f t="shared" si="10"/>
        <v>446.19216213355452</v>
      </c>
      <c r="CC57" s="59">
        <f t="shared" si="11"/>
        <v>703.89653480089385</v>
      </c>
      <c r="CD57" s="59">
        <f ca="1">AVERAGE(OFFSET($CC$3,0,0,'Données projet'!$E$12+1,1))-AVERAGE(OFFSET($H$3,0,0,'Données projet'!$E$12+1,1))</f>
        <v>722.05521609092671</v>
      </c>
      <c r="CE57" s="59">
        <f t="shared" si="40"/>
        <v>317.36319714884644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24.000969147383145</v>
      </c>
      <c r="CM57" s="21">
        <f>EXP(-LN(2)/2)*CM56+(1-EXP(-LN(2)/2))/(LN(2)/2)*CG57*CJ57*VLOOKUP('Données projet'!$B$12,Paramètres!$A$1:$I$89,3,0)*0.475*44/12</f>
        <v>1.8398452856245475</v>
      </c>
      <c r="CN57" s="22">
        <f t="shared" si="12"/>
        <v>25.840814433007694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10.36375</v>
      </c>
      <c r="CT57" s="12">
        <f>IF('Données projet'!$A$140&gt;35,CT56+CS57-DB56,IF(A57&lt;'Données projet'!$A$140,$CQ$205^A57,IF(A57='Données projet'!$A$140,'Données projet'!$B$140,CT56+CS57-DB56)))</f>
        <v>212.24500000000023</v>
      </c>
      <c r="CU57" s="17">
        <f>CT57*VLOOKUP('Données projet'!$B$13,Paramètres!$A$1:$I$89,3,0)*VLOOKUP('Données projet'!$B$13,Paramètres!$A$1:$I$89,5,0)</f>
        <v>228.46051800000023</v>
      </c>
      <c r="CV57" s="13">
        <f t="shared" si="41"/>
        <v>55.949679533259207</v>
      </c>
      <c r="CW57" s="20">
        <f t="shared" si="13"/>
        <v>495.34776070376029</v>
      </c>
      <c r="CX57" s="59">
        <f t="shared" si="14"/>
        <v>753.05213337109967</v>
      </c>
      <c r="CY57" s="59">
        <f ca="1">AVERAGE(OFFSET($CX$3,0,0,'Données projet'!$E$13+1,1))-AVERAGE(OFFSET($H$3,0,0,'Données projet'!$E$13+1,1))</f>
        <v>792.94606354161886</v>
      </c>
      <c r="CZ57" s="59">
        <f t="shared" si="42"/>
        <v>346.14443498270919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26.710755986603811</v>
      </c>
      <c r="DH57" s="21">
        <f>EXP(-LN(2)/2)*DH56+(1-EXP(-LN(2)/2))/(LN(2)/2)*DB57*DE57*VLOOKUP('Données projet'!$B$13,Paramètres!$A$1:$I$89,3,0)*0.475*44/12</f>
        <v>2.0475697533563508</v>
      </c>
      <c r="DI57" s="22">
        <f t="shared" si="15"/>
        <v>28.758325739960164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3.3333333333333344</v>
      </c>
      <c r="DO57" s="12">
        <f>IF('Données projet'!$A$166&gt;35,DO56+DN57-DW56,IF(A57&lt;'Données projet'!$A$166,$DL$205^A57,IF(A57='Données projet'!$A$166,'Données projet'!$B$166,DO56+DN57-DW56)))</f>
        <v>112.69230769230764</v>
      </c>
      <c r="DP57" s="17">
        <f>DO57*VLOOKUP('Données projet'!$B$14,Paramètres!$A$1:$I$89,3,0)*VLOOKUP('Données projet'!$B$14,Paramètres!$A$1:$I$89,5,0)</f>
        <v>117.78599999999996</v>
      </c>
      <c r="DQ57" s="13">
        <f t="shared" si="43"/>
        <v>31.158061824774272</v>
      </c>
      <c r="DR57" s="20">
        <f t="shared" si="16"/>
        <v>259.41090767814842</v>
      </c>
      <c r="DS57" s="59">
        <f t="shared" si="17"/>
        <v>517.11528034548769</v>
      </c>
      <c r="DT57" s="59">
        <f ca="1">AVERAGE(OFFSET($DS$3,0,0,'Données projet'!$E$14+1,1))-AVERAGE(OFFSET($H$3,0,0,'Données projet'!$E$14+1,1))</f>
        <v>269.21114382490202</v>
      </c>
      <c r="DU57" s="59">
        <f t="shared" si="44"/>
        <v>233.07776944102309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13.700031156762137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13.700031156762137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10.36375</v>
      </c>
      <c r="FE57" s="12">
        <f>IF('Données projet'!$A$218&gt;35,FE56+FD57-FM56,IF(A57&lt;'Données projet'!$A$218,$FB$205^A57,IF(A57='Données projet'!$A$218,'Données projet'!$B$218,FE56+FD57-FM56)))</f>
        <v>212.24500000000023</v>
      </c>
      <c r="FF57" s="17">
        <f>FE57*VLOOKUP('Données projet'!$B$16,Paramètres!$A$1:$I$89,3,0)*VLOOKUP('Données projet'!$B$16,Paramètres!$A$1:$I$89,5,0)</f>
        <v>241.70460600000027</v>
      </c>
      <c r="FG57" s="13">
        <f t="shared" si="47"/>
        <v>58.806133562020271</v>
      </c>
      <c r="FH57" s="20">
        <f t="shared" si="22"/>
        <v>523.38953807051905</v>
      </c>
      <c r="FI57" s="59">
        <f t="shared" si="23"/>
        <v>781.09391073785832</v>
      </c>
      <c r="FJ57" s="59">
        <f ca="1">AVERAGE(OFFSET($FI$3,0,0,'Données projet'!$E$16+1,1))-AVERAGE(OFFSET($H$3,0,0,'Données projet'!$E$16+1,1))</f>
        <v>833.39050463936144</v>
      </c>
      <c r="FK57" s="59">
        <f t="shared" si="48"/>
        <v>362.56178526355507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28.259205609015634</v>
      </c>
      <c r="FS57" s="21">
        <f>EXP(-LN(2)/2)*FS56+(1-EXP(-LN(2)/2))/(LN(2)/2)*FM57*FP57*VLOOKUP('Données projet'!$B$16,Paramètres!$A$1:$I$89,3,0)*0.475*44/12</f>
        <v>2.1662694492030958</v>
      </c>
      <c r="FT57" s="22">
        <f t="shared" si="24"/>
        <v>30.42547505821873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696.30236424606346</v>
      </c>
      <c r="S58" s="59">
        <f ca="1">AVERAGE(OFFSET($R$3,0,0,'Données projet'!$E$9+1,1))-AVERAGE(OFFSET($H$3,0,0,'Données projet'!$E$9+1,1))</f>
        <v>681.47578137804555</v>
      </c>
      <c r="T58" s="59">
        <f t="shared" si="34"/>
        <v>300.88511065995885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225.72527250000027</v>
      </c>
      <c r="AK58" s="13">
        <f t="shared" si="35"/>
        <v>55.357378715128789</v>
      </c>
      <c r="AL58" s="20">
        <f t="shared" si="4"/>
        <v>489.55228419968324</v>
      </c>
      <c r="AM58" s="59">
        <f t="shared" si="5"/>
        <v>747.87473968015456</v>
      </c>
      <c r="AN58" s="59">
        <f ca="1">AVERAGE(OFFSET($AM$3,0,0,'Données projet'!$E$10+1,1))-AVERAGE(OFFSET($H$3,0,0,'Données projet'!$E$10+1,1))</f>
        <v>752.45542076695506</v>
      </c>
      <c r="AO58" s="59">
        <f t="shared" si="36"/>
        <v>329.70629768420724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24.47424177343499</v>
      </c>
      <c r="AW58" s="21">
        <f>EXP(-LN(2)/2)*AW57+(1-EXP(-LN(2)/2))/(LN(2)/2)*AQ58*AT58*VLOOKUP('Données projet'!$B$10,Paramètres!$A$1:$I$89,3,0)*0.475*44/12</f>
        <v>1.3639170976927286</v>
      </c>
      <c r="AX58" s="21">
        <f t="shared" si="6"/>
        <v>25.838158871127717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211.83448650000022</v>
      </c>
      <c r="BF58" s="13">
        <f t="shared" si="37"/>
        <v>52.336263999000323</v>
      </c>
      <c r="BG58" s="20">
        <f t="shared" si="7"/>
        <v>460.09739045242594</v>
      </c>
      <c r="BH58" s="59">
        <f t="shared" si="8"/>
        <v>718.41984593289726</v>
      </c>
      <c r="BI58" s="59">
        <f ca="1">AVERAGE(OFFSET($BH$3,0,0,'Données projet'!$E$11+1,1))-AVERAGE(OFFSET($H$3,0,0,'Données projet'!$E$11+1,1))</f>
        <v>711.91538686535682</v>
      </c>
      <c r="BJ58" s="59">
        <f t="shared" si="38"/>
        <v>313.24593837351722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22.968134587377456</v>
      </c>
      <c r="BR58" s="21">
        <f>EXP(-LN(2)/2)*BR57+(1-EXP(-LN(2)/2))/(LN(2)/2)*BL58*BO58*VLOOKUP('Données projet'!$B$11,Paramètres!$A$1:$I$89,3,0)*0.475*44/12</f>
        <v>1.2799837378347148</v>
      </c>
      <c r="BS58" s="22">
        <f t="shared" si="9"/>
        <v>24.248118325212172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10.36375</v>
      </c>
      <c r="BY58" s="12">
        <f>IF('Données projet'!$A$114&gt;35,BY57+BX58-CG57,IF(A58&lt;'Données projet'!$A$114,$BV$205^A58,IF(A58='Données projet'!$A$114,'Données projet'!$B$114,BY57+BX58-CG57)))</f>
        <v>222.60875000000024</v>
      </c>
      <c r="BZ58" s="13">
        <f>BY58*VLOOKUP('Données projet'!$B$12,Paramètres!$A$1:$I$89,3,0)*VLOOKUP('Données projet'!$B$12,Paramètres!$A$1:$I$89,5,0)</f>
        <v>215.30718300000024</v>
      </c>
      <c r="CA58" s="13">
        <f t="shared" si="39"/>
        <v>53.093648721817566</v>
      </c>
      <c r="CB58" s="20">
        <f t="shared" si="10"/>
        <v>467.46478191549932</v>
      </c>
      <c r="CC58" s="59">
        <f t="shared" si="11"/>
        <v>725.78723739597069</v>
      </c>
      <c r="CD58" s="59">
        <f ca="1">AVERAGE(OFFSET($CC$3,0,0,'Données projet'!$E$12+1,1))-AVERAGE(OFFSET($H$3,0,0,'Données projet'!$E$12+1,1))</f>
        <v>722.05521609092671</v>
      </c>
      <c r="CE58" s="59">
        <f t="shared" si="40"/>
        <v>317.36319714884644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23.34466138389184</v>
      </c>
      <c r="CM58" s="21">
        <f>EXP(-LN(2)/2)*CM57+(1-EXP(-LN(2)/2))/(LN(2)/2)*CG58*CJ58*VLOOKUP('Données projet'!$B$12,Paramètres!$A$1:$I$89,3,0)*0.475*44/12</f>
        <v>1.3009670777992179</v>
      </c>
      <c r="CN58" s="22">
        <f t="shared" si="12"/>
        <v>24.645628461691057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10.36375</v>
      </c>
      <c r="CT58" s="12">
        <f>IF('Données projet'!$A$140&gt;35,CT57+CS58-DB57,IF(A58&lt;'Données projet'!$A$140,$CQ$205^A58,IF(A58='Données projet'!$A$140,'Données projet'!$B$140,CT57+CS58-DB57)))</f>
        <v>222.60875000000024</v>
      </c>
      <c r="CU58" s="17">
        <f>CT58*VLOOKUP('Données projet'!$B$13,Paramètres!$A$1:$I$89,3,0)*VLOOKUP('Données projet'!$B$13,Paramètres!$A$1:$I$89,5,0)</f>
        <v>239.61605850000026</v>
      </c>
      <c r="CV58" s="13">
        <f t="shared" si="41"/>
        <v>58.356915902396231</v>
      </c>
      <c r="CW58" s="20">
        <f t="shared" si="13"/>
        <v>518.96959708417387</v>
      </c>
      <c r="CX58" s="59">
        <f t="shared" si="14"/>
        <v>777.29205256464525</v>
      </c>
      <c r="CY58" s="59">
        <f ca="1">AVERAGE(OFFSET($CX$3,0,0,'Données projet'!$E$13+1,1))-AVERAGE(OFFSET($H$3,0,0,'Données projet'!$E$13+1,1))</f>
        <v>792.94606354161886</v>
      </c>
      <c r="CZ58" s="59">
        <f t="shared" si="42"/>
        <v>346.14443498270919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25.98034895949252</v>
      </c>
      <c r="DH58" s="21">
        <f>EXP(-LN(2)/2)*DH57+(1-EXP(-LN(2)/2))/(LN(2)/2)*DB58*DE58*VLOOKUP('Données projet'!$B$13,Paramètres!$A$1:$I$89,3,0)*0.475*44/12</f>
        <v>1.4478504575507423</v>
      </c>
      <c r="DI58" s="22">
        <f t="shared" si="15"/>
        <v>27.428199417043263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116.02564102564102</v>
      </c>
      <c r="DM58" s="12">
        <f>VLOOKUP(A58,'Données projet'!$A$165:$I$185,9,0)</f>
        <v>3.3333333333333344</v>
      </c>
      <c r="DN58" s="12">
        <f t="array" ref="DN58">INDEX(DM:DM,MIN(IF(ISNUMBER(DM58:DM254),ROW(DM58:DM254),"")))</f>
        <v>3.3333333333333344</v>
      </c>
      <c r="DO58" s="12">
        <f>IF('Données projet'!$A$166&gt;35,DO57+DN58-DW57,IF(A58&lt;'Données projet'!$A$166,$DL$205^A58,IF(A58='Données projet'!$A$166,'Données projet'!$B$166,DO57+DN58-DW57)))</f>
        <v>116.02564102564097</v>
      </c>
      <c r="DP58" s="17">
        <f>DO58*VLOOKUP('Données projet'!$B$14,Paramètres!$A$1:$I$89,3,0)*VLOOKUP('Données projet'!$B$14,Paramètres!$A$1:$I$89,5,0)</f>
        <v>121.26999999999994</v>
      </c>
      <c r="DQ58" s="13">
        <f t="shared" si="43"/>
        <v>31.971024204432702</v>
      </c>
      <c r="DR58" s="20">
        <f t="shared" si="16"/>
        <v>266.89478382272017</v>
      </c>
      <c r="DS58" s="59">
        <f t="shared" si="17"/>
        <v>525.21723930319149</v>
      </c>
      <c r="DT58" s="59">
        <f ca="1">AVERAGE(OFFSET($DS$3,0,0,'Données projet'!$E$14+1,1))-AVERAGE(OFFSET($H$3,0,0,'Données projet'!$E$14+1,1))</f>
        <v>269.21114382490202</v>
      </c>
      <c r="DU58" s="59">
        <f t="shared" si="44"/>
        <v>233.07776944102309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10.897435897435898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0.215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16.021875216454657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16.021875216454657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10.36375</v>
      </c>
      <c r="FE58" s="12">
        <f>IF('Données projet'!$A$218&gt;35,FE57+FD58-FM57,IF(A58&lt;'Données projet'!$A$218,$FB$205^A58,IF(A58='Données projet'!$A$218,'Données projet'!$B$218,FE57+FD58-FM57)))</f>
        <v>222.60875000000024</v>
      </c>
      <c r="FF58" s="17">
        <f>FE58*VLOOKUP('Données projet'!$B$16,Paramètres!$A$1:$I$89,3,0)*VLOOKUP('Données projet'!$B$16,Paramètres!$A$1:$I$89,5,0)</f>
        <v>253.50684450000028</v>
      </c>
      <c r="FG58" s="13">
        <f t="shared" si="47"/>
        <v>61.336268937588962</v>
      </c>
      <c r="FH58" s="20">
        <f t="shared" si="22"/>
        <v>548.35175590380129</v>
      </c>
      <c r="FI58" s="59">
        <f t="shared" si="23"/>
        <v>806.67421138427267</v>
      </c>
      <c r="FJ58" s="59">
        <f ca="1">AVERAGE(OFFSET($FI$3,0,0,'Données projet'!$E$16+1,1))-AVERAGE(OFFSET($H$3,0,0,'Données projet'!$E$16+1,1))</f>
        <v>833.39050463936144</v>
      </c>
      <c r="FK58" s="59">
        <f t="shared" si="48"/>
        <v>362.56178526355507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27.486456145550065</v>
      </c>
      <c r="FS58" s="21">
        <f>EXP(-LN(2)/2)*FS57+(1-EXP(-LN(2)/2))/(LN(2)/2)*FM58*FP58*VLOOKUP('Données projet'!$B$16,Paramètres!$A$1:$I$89,3,0)*0.475*44/12</f>
        <v>1.5317838174087564</v>
      </c>
      <c r="FT58" s="22">
        <f t="shared" si="24"/>
        <v>29.01823996295882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716.81828324162632</v>
      </c>
      <c r="S59" s="59">
        <f ca="1">AVERAGE(OFFSET($R$3,0,0,'Données projet'!$E$9+1,1))-AVERAGE(OFFSET($H$3,0,0,'Données projet'!$E$9+1,1))</f>
        <v>681.47578137804555</v>
      </c>
      <c r="T59" s="59">
        <f t="shared" si="34"/>
        <v>300.88511065995885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236.23411500000026</v>
      </c>
      <c r="AK59" s="13">
        <f t="shared" si="35"/>
        <v>57.628537681562783</v>
      </c>
      <c r="AL59" s="20">
        <f t="shared" si="4"/>
        <v>511.8107867537222</v>
      </c>
      <c r="AM59" s="59">
        <f t="shared" si="5"/>
        <v>770.74060269234394</v>
      </c>
      <c r="AN59" s="59">
        <f ca="1">AVERAGE(OFFSET($AM$3,0,0,'Données projet'!$E$10+1,1))-AVERAGE(OFFSET($H$3,0,0,'Données projet'!$E$10+1,1))</f>
        <v>752.45542076695506</v>
      </c>
      <c r="AO59" s="59">
        <f t="shared" si="36"/>
        <v>329.70629768420724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23.804992345095972</v>
      </c>
      <c r="AW59" s="21">
        <f>EXP(-LN(2)/2)*AW58+(1-EXP(-LN(2)/2))/(LN(2)/2)*AQ59*AT59*VLOOKUP('Données projet'!$B$10,Paramètres!$A$1:$I$89,3,0)*0.475*44/12</f>
        <v>0.96443502875480325</v>
      </c>
      <c r="AX59" s="21">
        <f t="shared" si="6"/>
        <v>24.769427373850775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221.69663100000022</v>
      </c>
      <c r="BF59" s="13">
        <f t="shared" si="37"/>
        <v>54.483475048545635</v>
      </c>
      <c r="BG59" s="20">
        <f t="shared" si="7"/>
        <v>481.0136847012173</v>
      </c>
      <c r="BH59" s="59">
        <f t="shared" si="8"/>
        <v>739.94350063983904</v>
      </c>
      <c r="BI59" s="59">
        <f ca="1">AVERAGE(OFFSET($BH$3,0,0,'Données projet'!$E$11+1,1))-AVERAGE(OFFSET($H$3,0,0,'Données projet'!$E$11+1,1))</f>
        <v>711.91538686535682</v>
      </c>
      <c r="BJ59" s="59">
        <f t="shared" si="38"/>
        <v>313.24593837351722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22.340069739243916</v>
      </c>
      <c r="BR59" s="21">
        <f>EXP(-LN(2)/2)*BR58+(1-EXP(-LN(2)/2))/(LN(2)/2)*BL59*BO59*VLOOKUP('Données projet'!$B$11,Paramètres!$A$1:$I$89,3,0)*0.475*44/12</f>
        <v>0.90508518083143097</v>
      </c>
      <c r="BS59" s="22">
        <f t="shared" si="9"/>
        <v>23.245154920075347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10.36375</v>
      </c>
      <c r="BY59" s="12">
        <f>IF('Données projet'!$A$114&gt;35,BY58+BX59-CG58,IF(A59&lt;'Données projet'!$A$114,$BV$205^A59,IF(A59='Données projet'!$A$114,'Données projet'!$B$114,BY58+BX59-CG58)))</f>
        <v>232.97250000000025</v>
      </c>
      <c r="BZ59" s="13">
        <f>BY59*VLOOKUP('Données projet'!$B$12,Paramètres!$A$1:$I$89,3,0)*VLOOKUP('Données projet'!$B$12,Paramètres!$A$1:$I$89,5,0)</f>
        <v>225.33100200000027</v>
      </c>
      <c r="CA59" s="13">
        <f t="shared" si="39"/>
        <v>55.271933155691976</v>
      </c>
      <c r="CB59" s="20">
        <f t="shared" si="10"/>
        <v>488.71677872949732</v>
      </c>
      <c r="CC59" s="59">
        <f t="shared" si="11"/>
        <v>747.64659466811906</v>
      </c>
      <c r="CD59" s="59">
        <f ca="1">AVERAGE(OFFSET($CC$3,0,0,'Données projet'!$E$12+1,1))-AVERAGE(OFFSET($H$3,0,0,'Données projet'!$E$12+1,1))</f>
        <v>722.05521609092671</v>
      </c>
      <c r="CE59" s="59">
        <f t="shared" si="40"/>
        <v>317.36319714884644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22.706300390706929</v>
      </c>
      <c r="CM59" s="21">
        <f>EXP(-LN(2)/2)*CM58+(1-EXP(-LN(2)/2))/(LN(2)/2)*CG59*CJ59*VLOOKUP('Données projet'!$B$12,Paramètres!$A$1:$I$89,3,0)*0.475*44/12</f>
        <v>0.91992264281227376</v>
      </c>
      <c r="CN59" s="22">
        <f t="shared" si="12"/>
        <v>23.626223033519203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10.36375</v>
      </c>
      <c r="CT59" s="12">
        <f>IF('Données projet'!$A$140&gt;35,CT58+CS59-DB58,IF(A59&lt;'Données projet'!$A$140,$CQ$205^A59,IF(A59='Données projet'!$A$140,'Données projet'!$B$140,CT58+CS59-DB58)))</f>
        <v>232.97250000000025</v>
      </c>
      <c r="CU59" s="17">
        <f>CT59*VLOOKUP('Données projet'!$B$13,Paramètres!$A$1:$I$89,3,0)*VLOOKUP('Données projet'!$B$13,Paramètres!$A$1:$I$89,5,0)</f>
        <v>250.77159900000026</v>
      </c>
      <c r="CV59" s="13">
        <f t="shared" si="41"/>
        <v>60.751137519846843</v>
      </c>
      <c r="CW59" s="20">
        <f t="shared" si="13"/>
        <v>542.56876610540041</v>
      </c>
      <c r="CX59" s="59">
        <f t="shared" si="14"/>
        <v>801.49858204402221</v>
      </c>
      <c r="CY59" s="59">
        <f ca="1">AVERAGE(OFFSET($CX$3,0,0,'Données projet'!$E$13+1,1))-AVERAGE(OFFSET($H$3,0,0,'Données projet'!$E$13+1,1))</f>
        <v>792.94606354161886</v>
      </c>
      <c r="CZ59" s="59">
        <f t="shared" si="42"/>
        <v>346.14443498270919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25.269914950948024</v>
      </c>
      <c r="DH59" s="21">
        <f>EXP(-LN(2)/2)*DH58+(1-EXP(-LN(2)/2))/(LN(2)/2)*DB59*DE59*VLOOKUP('Données projet'!$B$13,Paramètres!$A$1:$I$89,3,0)*0.475*44/12</f>
        <v>1.0237848766781754</v>
      </c>
      <c r="DI59" s="22">
        <f t="shared" si="15"/>
        <v>26.293699827626199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3.2051282051282071</v>
      </c>
      <c r="DO59" s="12">
        <f>IF('Données projet'!$A$166&gt;35,DO58+DN59-DW58,IF(A59&lt;'Données projet'!$A$166,$DL$205^A59,IF(A59='Données projet'!$A$166,'Données projet'!$B$166,DO58+DN59-DW58)))</f>
        <v>108.33333333333327</v>
      </c>
      <c r="DP59" s="17">
        <f>DO59*VLOOKUP('Données projet'!$B$14,Paramètres!$A$1:$I$89,3,0)*VLOOKUP('Données projet'!$B$14,Paramètres!$A$1:$I$89,5,0)</f>
        <v>113.22999999999995</v>
      </c>
      <c r="DQ59" s="13">
        <f t="shared" si="43"/>
        <v>30.090711216212426</v>
      </c>
      <c r="DR59" s="20">
        <f t="shared" si="16"/>
        <v>249.61690536823653</v>
      </c>
      <c r="DS59" s="59">
        <f t="shared" si="17"/>
        <v>508.54672130685827</v>
      </c>
      <c r="DT59" s="59">
        <f ca="1">AVERAGE(OFFSET($DS$3,0,0,'Données projet'!$E$14+1,1))-AVERAGE(OFFSET($H$3,0,0,'Données projet'!$E$14+1,1))</f>
        <v>269.21114382490202</v>
      </c>
      <c r="DU59" s="59">
        <f t="shared" si="44"/>
        <v>233.07776944102309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15.583756196106904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15.583756196106904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10.36375</v>
      </c>
      <c r="FE59" s="12">
        <f>IF('Données projet'!$A$218&gt;35,FE58+FD59-FM58,IF(A59&lt;'Données projet'!$A$218,$FB$205^A59,IF(A59='Données projet'!$A$218,'Données projet'!$B$218,FE58+FD59-FM58)))</f>
        <v>232.97250000000025</v>
      </c>
      <c r="FF59" s="17">
        <f>FE59*VLOOKUP('Données projet'!$B$16,Paramètres!$A$1:$I$89,3,0)*VLOOKUP('Données projet'!$B$16,Paramètres!$A$1:$I$89,5,0)</f>
        <v>265.30908300000027</v>
      </c>
      <c r="FG59" s="13">
        <f t="shared" si="47"/>
        <v>63.852725106550245</v>
      </c>
      <c r="FH59" s="20">
        <f t="shared" si="22"/>
        <v>573.29014911890874</v>
      </c>
      <c r="FI59" s="59">
        <f t="shared" si="23"/>
        <v>832.21996505753054</v>
      </c>
      <c r="FJ59" s="59">
        <f ca="1">AVERAGE(OFFSET($FI$3,0,0,'Données projet'!$E$16+1,1))-AVERAGE(OFFSET($H$3,0,0,'Données projet'!$E$16+1,1))</f>
        <v>833.39050463936144</v>
      </c>
      <c r="FK59" s="59">
        <f t="shared" si="48"/>
        <v>362.56178526355507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26.734837556800091</v>
      </c>
      <c r="FS59" s="21">
        <f>EXP(-LN(2)/2)*FS58+(1-EXP(-LN(2)/2))/(LN(2)/2)*FM59*FP59*VLOOKUP('Données projet'!$B$16,Paramètres!$A$1:$I$89,3,0)*0.475*44/12</f>
        <v>1.0831347246015479</v>
      </c>
      <c r="FT59" s="22">
        <f t="shared" si="24"/>
        <v>27.817972281401637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737.30518682902357</v>
      </c>
      <c r="S60" s="59">
        <f ca="1">AVERAGE(OFFSET($R$3,0,0,'Données projet'!$E$9+1,1))-AVERAGE(OFFSET($H$3,0,0,'Données projet'!$E$9+1,1))</f>
        <v>681.47578137804555</v>
      </c>
      <c r="T60" s="59">
        <f t="shared" si="34"/>
        <v>300.88511065995885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246.74295750000027</v>
      </c>
      <c r="AK60" s="13">
        <f t="shared" si="35"/>
        <v>59.887962808292784</v>
      </c>
      <c r="AL60" s="20">
        <f t="shared" si="4"/>
        <v>534.04885287027707</v>
      </c>
      <c r="AM60" s="59">
        <f t="shared" si="5"/>
        <v>793.57549292095473</v>
      </c>
      <c r="AN60" s="59">
        <f ca="1">AVERAGE(OFFSET($AM$3,0,0,'Données projet'!$E$10+1,1))-AVERAGE(OFFSET($H$3,0,0,'Données projet'!$E$10+1,1))</f>
        <v>752.45542076695506</v>
      </c>
      <c r="AO60" s="59">
        <f t="shared" si="36"/>
        <v>329.70629768420724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23.154043577569183</v>
      </c>
      <c r="AW60" s="21">
        <f>EXP(-LN(2)/2)*AW59+(1-EXP(-LN(2)/2))/(LN(2)/2)*AQ60*AT60*VLOOKUP('Données projet'!$B$10,Paramètres!$A$1:$I$89,3,0)*0.475*44/12</f>
        <v>0.68195854884636442</v>
      </c>
      <c r="AX60" s="21">
        <f t="shared" si="6"/>
        <v>23.836002126415547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231.55877550000022</v>
      </c>
      <c r="BF60" s="13">
        <f t="shared" si="37"/>
        <v>56.619592629673022</v>
      </c>
      <c r="BG60" s="20">
        <f t="shared" si="7"/>
        <v>501.91065782584752</v>
      </c>
      <c r="BH60" s="59">
        <f t="shared" si="8"/>
        <v>761.43729787652524</v>
      </c>
      <c r="BI60" s="59">
        <f ca="1">AVERAGE(OFFSET($BH$3,0,0,'Données projet'!$E$11+1,1))-AVERAGE(OFFSET($H$3,0,0,'Données projet'!$E$11+1,1))</f>
        <v>711.91538686535682</v>
      </c>
      <c r="BJ60" s="59">
        <f t="shared" si="38"/>
        <v>313.24593837351722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21.729179357411081</v>
      </c>
      <c r="BR60" s="21">
        <f>EXP(-LN(2)/2)*BR59+(1-EXP(-LN(2)/2))/(LN(2)/2)*BL60*BO60*VLOOKUP('Données projet'!$B$11,Paramètres!$A$1:$I$89,3,0)*0.475*44/12</f>
        <v>0.63999186891735749</v>
      </c>
      <c r="BS60" s="22">
        <f t="shared" si="9"/>
        <v>22.369171226328437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10.36375</v>
      </c>
      <c r="BY60" s="12">
        <f>IF('Données projet'!$A$114&gt;35,BY59+BX60-CG59,IF(A60&lt;'Données projet'!$A$114,$BV$205^A60,IF(A60='Données projet'!$A$114,'Données projet'!$B$114,BY59+BX60-CG59)))</f>
        <v>243.33625000000026</v>
      </c>
      <c r="BZ60" s="13">
        <f>BY60*VLOOKUP('Données projet'!$B$12,Paramètres!$A$1:$I$89,3,0)*VLOOKUP('Données projet'!$B$12,Paramètres!$A$1:$I$89,5,0)</f>
        <v>235.35482100000027</v>
      </c>
      <c r="CA60" s="13">
        <f t="shared" si="39"/>
        <v>57.438963581918848</v>
      </c>
      <c r="CB60" s="20">
        <f t="shared" si="10"/>
        <v>509.94917481350916</v>
      </c>
      <c r="CC60" s="59">
        <f t="shared" si="11"/>
        <v>769.47581486418687</v>
      </c>
      <c r="CD60" s="59">
        <f ca="1">AVERAGE(OFFSET($CC$3,0,0,'Données projet'!$E$12+1,1))-AVERAGE(OFFSET($H$3,0,0,'Données projet'!$E$12+1,1))</f>
        <v>722.05521609092671</v>
      </c>
      <c r="CE60" s="59">
        <f t="shared" si="40"/>
        <v>317.36319714884644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22.085395412450605</v>
      </c>
      <c r="CM60" s="21">
        <f>EXP(-LN(2)/2)*CM59+(1-EXP(-LN(2)/2))/(LN(2)/2)*CG60*CJ60*VLOOKUP('Données projet'!$B$12,Paramètres!$A$1:$I$89,3,0)*0.475*44/12</f>
        <v>0.65048353889960897</v>
      </c>
      <c r="CN60" s="22">
        <f t="shared" si="12"/>
        <v>22.735878951350216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10.36375</v>
      </c>
      <c r="CT60" s="12">
        <f>IF('Données projet'!$A$140&gt;35,CT59+CS60-DB59,IF(A60&lt;'Données projet'!$A$140,$CQ$205^A60,IF(A60='Données projet'!$A$140,'Données projet'!$B$140,CT59+CS60-DB59)))</f>
        <v>243.33625000000026</v>
      </c>
      <c r="CU60" s="17">
        <f>CT60*VLOOKUP('Données projet'!$B$13,Paramètres!$A$1:$I$89,3,0)*VLOOKUP('Données projet'!$B$13,Paramètres!$A$1:$I$89,5,0)</f>
        <v>261.92713950000024</v>
      </c>
      <c r="CV60" s="13">
        <f t="shared" si="41"/>
        <v>63.132989499993243</v>
      </c>
      <c r="CW60" s="20">
        <f t="shared" si="13"/>
        <v>566.1463913416552</v>
      </c>
      <c r="CX60" s="59">
        <f t="shared" si="14"/>
        <v>825.67303139233286</v>
      </c>
      <c r="CY60" s="59">
        <f ca="1">AVERAGE(OFFSET($CX$3,0,0,'Données projet'!$E$13+1,1))-AVERAGE(OFFSET($H$3,0,0,'Données projet'!$E$13+1,1))</f>
        <v>792.94606354161886</v>
      </c>
      <c r="CZ60" s="59">
        <f t="shared" si="42"/>
        <v>346.14443498270919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24.578907797727279</v>
      </c>
      <c r="DH60" s="21">
        <f>EXP(-LN(2)/2)*DH59+(1-EXP(-LN(2)/2))/(LN(2)/2)*DB60*DE60*VLOOKUP('Données projet'!$B$13,Paramètres!$A$1:$I$89,3,0)*0.475*44/12</f>
        <v>0.72392522877537113</v>
      </c>
      <c r="DI60" s="22">
        <f t="shared" si="15"/>
        <v>25.30283302650265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3.2051282051282071</v>
      </c>
      <c r="DO60" s="12">
        <f>IF('Données projet'!$A$166&gt;35,DO59+DN60-DW59,IF(A60&lt;'Données projet'!$A$166,$DL$205^A60,IF(A60='Données projet'!$A$166,'Données projet'!$B$166,DO59+DN60-DW59)))</f>
        <v>111.53846153846148</v>
      </c>
      <c r="DP60" s="17">
        <f>DO60*VLOOKUP('Données projet'!$B$14,Paramètres!$A$1:$I$89,3,0)*VLOOKUP('Données projet'!$B$14,Paramètres!$A$1:$I$89,5,0)</f>
        <v>116.57999999999996</v>
      </c>
      <c r="DQ60" s="13">
        <f t="shared" si="43"/>
        <v>30.876003132466991</v>
      </c>
      <c r="DR60" s="20">
        <f t="shared" si="16"/>
        <v>256.81920545571325</v>
      </c>
      <c r="DS60" s="59">
        <f t="shared" si="17"/>
        <v>516.34584550639102</v>
      </c>
      <c r="DT60" s="59">
        <f ca="1">AVERAGE(OFFSET($DS$3,0,0,'Données projet'!$E$14+1,1))-AVERAGE(OFFSET($H$3,0,0,'Données projet'!$E$14+1,1))</f>
        <v>269.21114382490202</v>
      </c>
      <c r="DU60" s="59">
        <f t="shared" si="44"/>
        <v>233.07776944102309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15.157617563410239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15.157617563410239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10.36375</v>
      </c>
      <c r="FE60" s="12">
        <f>IF('Données projet'!$A$218&gt;35,FE59+FD60-FM59,IF(A60&lt;'Données projet'!$A$218,$FB$205^A60,IF(A60='Données projet'!$A$218,'Données projet'!$B$218,FE59+FD60-FM59)))</f>
        <v>243.33625000000026</v>
      </c>
      <c r="FF60" s="17">
        <f>FE60*VLOOKUP('Données projet'!$B$16,Paramètres!$A$1:$I$89,3,0)*VLOOKUP('Données projet'!$B$16,Paramètres!$A$1:$I$89,5,0)</f>
        <v>277.11132150000032</v>
      </c>
      <c r="FG60" s="13">
        <f t="shared" si="47"/>
        <v>66.356180118945545</v>
      </c>
      <c r="FH60" s="20">
        <f t="shared" si="22"/>
        <v>598.20589865299723</v>
      </c>
      <c r="FI60" s="59">
        <f t="shared" si="23"/>
        <v>857.73253870367489</v>
      </c>
      <c r="FJ60" s="59">
        <f ca="1">AVERAGE(OFFSET($FI$3,0,0,'Données projet'!$E$16+1,1))-AVERAGE(OFFSET($H$3,0,0,'Données projet'!$E$16+1,1))</f>
        <v>833.39050463936144</v>
      </c>
      <c r="FK60" s="59">
        <f t="shared" si="48"/>
        <v>362.56178526355507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26.003772017885389</v>
      </c>
      <c r="FS60" s="21">
        <f>EXP(-LN(2)/2)*FS59+(1-EXP(-LN(2)/2))/(LN(2)/2)*FM60*FP60*VLOOKUP('Données projet'!$B$16,Paramètres!$A$1:$I$89,3,0)*0.475*44/12</f>
        <v>0.76589190870437818</v>
      </c>
      <c r="FT60" s="22">
        <f t="shared" si="24"/>
        <v>26.769663926589768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757.76413479475536</v>
      </c>
      <c r="S61" s="59">
        <f ca="1">AVERAGE(OFFSET($R$3,0,0,'Données projet'!$E$9+1,1))-AVERAGE(OFFSET($H$3,0,0,'Données projet'!$E$9+1,1))</f>
        <v>681.47578137804555</v>
      </c>
      <c r="T61" s="59">
        <f t="shared" si="34"/>
        <v>300.88511065995885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257.25180000000029</v>
      </c>
      <c r="AK61" s="13">
        <f t="shared" si="35"/>
        <v>62.136210975836612</v>
      </c>
      <c r="AL61" s="20">
        <f t="shared" si="4"/>
        <v>556.26745244958261</v>
      </c>
      <c r="AM61" s="59">
        <f t="shared" si="5"/>
        <v>816.38056304827103</v>
      </c>
      <c r="AN61" s="59">
        <f ca="1">AVERAGE(OFFSET($AM$3,0,0,'Données projet'!$E$10+1,1))-AVERAGE(OFFSET($H$3,0,0,'Données projet'!$E$10+1,1))</f>
        <v>752.45542076695506</v>
      </c>
      <c r="AO61" s="59">
        <f t="shared" si="36"/>
        <v>329.70629768420724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40.876435665412025</v>
      </c>
      <c r="AW61" s="21">
        <f>EXP(-LN(2)/2)*AW60+(1-EXP(-LN(2)/2))/(LN(2)/2)*AQ61*AT61*VLOOKUP('Données projet'!$B$10,Paramètres!$A$1:$I$89,3,0)*0.475*44/12</f>
        <v>9.6267029876728749</v>
      </c>
      <c r="AX61" s="21">
        <f t="shared" si="6"/>
        <v>50.503138653084903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241.42092000000028</v>
      </c>
      <c r="BF61" s="13">
        <f t="shared" si="37"/>
        <v>58.745143231289354</v>
      </c>
      <c r="BG61" s="20">
        <f t="shared" si="7"/>
        <v>522.78922679449613</v>
      </c>
      <c r="BH61" s="59">
        <f t="shared" si="8"/>
        <v>782.90233739318455</v>
      </c>
      <c r="BI61" s="59">
        <f ca="1">AVERAGE(OFFSET($BH$3,0,0,'Données projet'!$E$11+1,1))-AVERAGE(OFFSET($H$3,0,0,'Données projet'!$E$11+1,1))</f>
        <v>711.91538686535682</v>
      </c>
      <c r="BJ61" s="59">
        <f t="shared" si="38"/>
        <v>313.24593837351722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38.360962701386669</v>
      </c>
      <c r="BR61" s="21">
        <f>EXP(-LN(2)/2)*BR60+(1-EXP(-LN(2)/2))/(LN(2)/2)*BL61*BO61*VLOOKUP('Données projet'!$B$11,Paramètres!$A$1:$I$89,3,0)*0.475*44/12</f>
        <v>9.0342904961237753</v>
      </c>
      <c r="BS61" s="22">
        <f t="shared" si="9"/>
        <v>47.395253197510442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10.36375</v>
      </c>
      <c r="BX61" s="12">
        <f t="array" ref="BX61">INDEX(BW:BW,MIN(IF(ISNUMBER(BW61:BW257),ROW(BW61:BW257),"")))</f>
        <v>10.36375</v>
      </c>
      <c r="BY61" s="12">
        <f>IF('Données projet'!$A$114&gt;35,BY60+BX61-CG60,IF(A61&lt;'Données projet'!$A$114,$BV$205^A61,IF(A61='Données projet'!$A$114,'Données projet'!$B$114,BY60+BX61-CG60)))</f>
        <v>253.70000000000027</v>
      </c>
      <c r="BZ61" s="13">
        <f>BY61*VLOOKUP('Données projet'!$B$12,Paramètres!$A$1:$I$89,3,0)*VLOOKUP('Données projet'!$B$12,Paramètres!$A$1:$I$89,5,0)</f>
        <v>245.3786400000003</v>
      </c>
      <c r="CA61" s="13">
        <f t="shared" si="39"/>
        <v>59.595274108494095</v>
      </c>
      <c r="CB61" s="20">
        <f t="shared" si="10"/>
        <v>531.16290040562774</v>
      </c>
      <c r="CC61" s="59">
        <f t="shared" si="11"/>
        <v>791.27601100431616</v>
      </c>
      <c r="CD61" s="59">
        <f ca="1">AVERAGE(OFFSET($CC$3,0,0,'Données projet'!$E$12+1,1))-AVERAGE(OFFSET($H$3,0,0,'Données projet'!$E$12+1,1))</f>
        <v>722.05521609092671</v>
      </c>
      <c r="CE61" s="59">
        <f t="shared" si="40"/>
        <v>317.36319714884644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47.789999999999992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0.34400000000000003</v>
      </c>
      <c r="CJ61" s="16">
        <f>IF(ISNA(VLOOKUP(A61,'Données projet'!$A$113:$I$133,7,0)),0%,VLOOKUP(A61,'Données projet'!$A$113:$I$133,7,0))</f>
        <v>0.2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38.989830942393006</v>
      </c>
      <c r="CM61" s="21">
        <f>EXP(-LN(2)/2)*CM60+(1-EXP(-LN(2)/2))/(LN(2)/2)*CG61*CJ61*VLOOKUP('Données projet'!$B$12,Paramètres!$A$1:$I$89,3,0)*0.475*44/12</f>
        <v>9.1823936190110498</v>
      </c>
      <c r="CN61" s="22">
        <f t="shared" si="12"/>
        <v>48.172224561404057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253.7</v>
      </c>
      <c r="CR61" s="12">
        <f>VLOOKUP(A61,'Données projet'!$A$139:$I$159,9,0)</f>
        <v>10.36375</v>
      </c>
      <c r="CS61" s="12">
        <f t="array" ref="CS61">INDEX(CR:CR,MIN(IF(ISNUMBER(CR61:CR257),ROW(CR61:CR257),"")))</f>
        <v>10.36375</v>
      </c>
      <c r="CT61" s="12">
        <f>IF('Données projet'!$A$140&gt;35,CT60+CS61-DB60,IF(A61&lt;'Données projet'!$A$140,$CQ$205^A61,IF(A61='Données projet'!$A$140,'Données projet'!$B$140,CT60+CS61-DB60)))</f>
        <v>253.70000000000027</v>
      </c>
      <c r="CU61" s="17">
        <f>CT61*VLOOKUP('Données projet'!$B$13,Paramètres!$A$1:$I$89,3,0)*VLOOKUP('Données projet'!$B$13,Paramètres!$A$1:$I$89,5,0)</f>
        <v>273.08268000000027</v>
      </c>
      <c r="CV61" s="13">
        <f t="shared" si="41"/>
        <v>65.503058897900175</v>
      </c>
      <c r="CW61" s="20">
        <f t="shared" si="13"/>
        <v>589.70349524717665</v>
      </c>
      <c r="CX61" s="59">
        <f t="shared" si="14"/>
        <v>849.81660584586507</v>
      </c>
      <c r="CY61" s="59">
        <f ca="1">AVERAGE(OFFSET($CX$3,0,0,'Données projet'!$E$13+1,1))-AVERAGE(OFFSET($H$3,0,0,'Données projet'!$E$13+1,1))</f>
        <v>792.94606354161886</v>
      </c>
      <c r="CZ61" s="59">
        <f t="shared" si="42"/>
        <v>346.14443498270919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47.789999999999992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0.34400000000000003</v>
      </c>
      <c r="DE61" s="16">
        <f>IF(ISNA(VLOOKUP(A61,'Données projet'!$A$139:$I$159,7,0)),0%,VLOOKUP(A61,'Données projet'!$A$139:$I$159,7,0))</f>
        <v>0.2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43.391908629437367</v>
      </c>
      <c r="DH61" s="21">
        <f>EXP(-LN(2)/2)*DH60+(1-EXP(-LN(2)/2))/(LN(2)/2)*DB61*DE61*VLOOKUP('Données projet'!$B$13,Paramètres!$A$1:$I$89,3,0)*0.475*44/12</f>
        <v>10.219115479221974</v>
      </c>
      <c r="DI61" s="22">
        <f t="shared" si="15"/>
        <v>53.611024108659343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3.2051282051282071</v>
      </c>
      <c r="DO61" s="12">
        <f>IF('Données projet'!$A$166&gt;35,DO60+DN61-DW60,IF(A61&lt;'Données projet'!$A$166,$DL$205^A61,IF(A61='Données projet'!$A$166,'Données projet'!$B$166,DO60+DN61-DW60)))</f>
        <v>114.74358974358968</v>
      </c>
      <c r="DP61" s="17">
        <f>DO61*VLOOKUP('Données projet'!$B$14,Paramètres!$A$1:$I$89,3,0)*VLOOKUP('Données projet'!$B$14,Paramètres!$A$1:$I$89,5,0)</f>
        <v>119.92999999999995</v>
      </c>
      <c r="DQ61" s="13">
        <f t="shared" si="43"/>
        <v>31.65867238925356</v>
      </c>
      <c r="DR61" s="20">
        <f t="shared" si="16"/>
        <v>264.01693774461648</v>
      </c>
      <c r="DS61" s="59">
        <f t="shared" si="17"/>
        <v>524.13004834330491</v>
      </c>
      <c r="DT61" s="59">
        <f ca="1">AVERAGE(OFFSET($DS$3,0,0,'Données projet'!$E$14+1,1))-AVERAGE(OFFSET($H$3,0,0,'Données projet'!$E$14+1,1))</f>
        <v>269.21114382490202</v>
      </c>
      <c r="DU61" s="59">
        <f t="shared" si="44"/>
        <v>233.07776944102309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14.743131714034321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14.743131714034321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>
        <f>VLOOKUP(A61,'Données projet'!$A$217:$I$237,2,0)</f>
        <v>253.7</v>
      </c>
      <c r="FC61" s="12">
        <f>VLOOKUP(A61,'Données projet'!$A$217:$I$237,9,0)</f>
        <v>10.36375</v>
      </c>
      <c r="FD61" s="12">
        <f t="array" ref="FD61">INDEX(FC:FC,MIN(IF(ISNUMBER(FC61:FC257),ROW(FC61:FC257),"")))</f>
        <v>10.36375</v>
      </c>
      <c r="FE61" s="12">
        <f>IF('Données projet'!$A$218&gt;35,FE60+FD61-FM60,IF(A61&lt;'Données projet'!$A$218,$FB$205^A61,IF(A61='Données projet'!$A$218,'Données projet'!$B$218,FE60+FD61-FM60)))</f>
        <v>253.70000000000027</v>
      </c>
      <c r="FF61" s="17">
        <f>FE61*VLOOKUP('Données projet'!$B$16,Paramètres!$A$1:$I$89,3,0)*VLOOKUP('Données projet'!$B$16,Paramètres!$A$1:$I$89,5,0)</f>
        <v>288.9135600000003</v>
      </c>
      <c r="FG61" s="13">
        <f t="shared" si="47"/>
        <v>68.847251001339515</v>
      </c>
      <c r="FH61" s="20">
        <f t="shared" si="22"/>
        <v>623.10007916066672</v>
      </c>
      <c r="FI61" s="59">
        <f t="shared" si="23"/>
        <v>883.21318975935515</v>
      </c>
      <c r="FJ61" s="59">
        <f ca="1">AVERAGE(OFFSET($FI$3,0,0,'Données projet'!$E$16+1,1))-AVERAGE(OFFSET($H$3,0,0,'Données projet'!$E$16+1,1))</f>
        <v>833.39050463936144</v>
      </c>
      <c r="FK61" s="59">
        <f t="shared" si="48"/>
        <v>362.56178526355507</v>
      </c>
      <c r="FL61" s="15">
        <f>IF(ISNA(VLOOKUP(A61,'Données projet'!$A$217:$I$237,3,0)),0,VLOOKUP(A61,'Données projet'!$A$217:$I$237,3,0))</f>
        <v>3</v>
      </c>
      <c r="FM61" s="15">
        <f>IF(ISNA(VLOOKUP(A61,'Données projet'!$A$217:$I$237,4,0)),0,VLOOKUP(A61,'Données projet'!$A$217:$I$237,4,0))</f>
        <v>47.789999999999992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0.34400000000000003</v>
      </c>
      <c r="FP61" s="16">
        <f>IF(ISNA(VLOOKUP(A61,'Données projet'!$A$217:$I$237,7,0)),0%,VLOOKUP(A61,'Données projet'!$A$217:$I$237,7,0))</f>
        <v>0.2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45.907381593462731</v>
      </c>
      <c r="FS61" s="21">
        <f>EXP(-LN(2)/2)*FS60+(1-EXP(-LN(2)/2))/(LN(2)/2)*FM61*FP61*VLOOKUP('Données projet'!$B$16,Paramètres!$A$1:$I$89,3,0)*0.475*44/12</f>
        <v>10.811527970771074</v>
      </c>
      <c r="FT61" s="22">
        <f t="shared" si="24"/>
        <v>56.718909564233805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685.99760517267418</v>
      </c>
      <c r="S62" s="59">
        <f ca="1">AVERAGE(OFFSET($R$3,0,0,'Données projet'!$E$9+1,1))-AVERAGE(OFFSET($H$3,0,0,'Données projet'!$E$9+1,1))</f>
        <v>681.47578137804555</v>
      </c>
      <c r="T62" s="59">
        <f t="shared" si="34"/>
        <v>300.88511065995885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219.0417450000003</v>
      </c>
      <c r="AK62" s="13">
        <f t="shared" si="35"/>
        <v>53.906560847753887</v>
      </c>
      <c r="AL62" s="20">
        <f t="shared" si="4"/>
        <v>475.38496601817178</v>
      </c>
      <c r="AM62" s="59">
        <f t="shared" si="5"/>
        <v>736.07437321201451</v>
      </c>
      <c r="AN62" s="59">
        <f ca="1">AVERAGE(OFFSET($AM$3,0,0,'Données projet'!$E$10+1,1))-AVERAGE(OFFSET($H$3,0,0,'Données projet'!$E$10+1,1))</f>
        <v>752.45542076695506</v>
      </c>
      <c r="AO62" s="59">
        <f t="shared" si="36"/>
        <v>329.70629768420724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39.758667382543003</v>
      </c>
      <c r="AW62" s="21">
        <f>EXP(-LN(2)/2)*AW61+(1-EXP(-LN(2)/2))/(LN(2)/2)*AQ62*AT62*VLOOKUP('Données projet'!$B$10,Paramètres!$A$1:$I$89,3,0)*0.475*44/12</f>
        <v>6.8071069630522869</v>
      </c>
      <c r="AX62" s="21">
        <f t="shared" si="6"/>
        <v>46.565774345595287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205.56225300000028</v>
      </c>
      <c r="BF62" s="13">
        <f t="shared" si="37"/>
        <v>50.964624143866644</v>
      </c>
      <c r="BG62" s="20">
        <f t="shared" si="7"/>
        <v>446.78431102556823</v>
      </c>
      <c r="BH62" s="59">
        <f t="shared" si="8"/>
        <v>707.47371821941101</v>
      </c>
      <c r="BI62" s="59">
        <f ca="1">AVERAGE(OFFSET($BH$3,0,0,'Données projet'!$E$11+1,1))-AVERAGE(OFFSET($H$3,0,0,'Données projet'!$E$11+1,1))</f>
        <v>711.91538686535682</v>
      </c>
      <c r="BJ62" s="59">
        <f t="shared" si="38"/>
        <v>313.24593837351722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37.311980159001898</v>
      </c>
      <c r="BR62" s="21">
        <f>EXP(-LN(2)/2)*BR61+(1-EXP(-LN(2)/2))/(LN(2)/2)*BL62*BO62*VLOOKUP('Données projet'!$B$11,Paramètres!$A$1:$I$89,3,0)*0.475*44/12</f>
        <v>6.3882080730183004</v>
      </c>
      <c r="BS62" s="22">
        <f t="shared" si="9"/>
        <v>43.700188232020196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10.107499999999998</v>
      </c>
      <c r="BY62" s="12">
        <f>IF('Données projet'!$A$114&gt;35,BY61+BX62-CG61,IF(A62&lt;'Données projet'!$A$114,$BV$205^A62,IF(A62='Données projet'!$A$114,'Données projet'!$B$114,BY61+BX62-CG61)))</f>
        <v>216.0175000000003</v>
      </c>
      <c r="BZ62" s="13">
        <f>BY62*VLOOKUP('Données projet'!$B$12,Paramètres!$A$1:$I$89,3,0)*VLOOKUP('Données projet'!$B$12,Paramètres!$A$1:$I$89,5,0)</f>
        <v>208.9321260000003</v>
      </c>
      <c r="CA62" s="13">
        <f t="shared" si="39"/>
        <v>51.702159167983467</v>
      </c>
      <c r="CB62" s="20">
        <f t="shared" si="10"/>
        <v>453.93804666757165</v>
      </c>
      <c r="CC62" s="59">
        <f t="shared" si="11"/>
        <v>714.62745386141444</v>
      </c>
      <c r="CD62" s="59">
        <f ca="1">AVERAGE(OFFSET($CC$3,0,0,'Données projet'!$E$12+1,1))-AVERAGE(OFFSET($H$3,0,0,'Données projet'!$E$12+1,1))</f>
        <v>722.05521609092671</v>
      </c>
      <c r="CE62" s="59">
        <f t="shared" si="40"/>
        <v>317.36319714884644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37.923651964887171</v>
      </c>
      <c r="CM62" s="21">
        <f>EXP(-LN(2)/2)*CM61+(1-EXP(-LN(2)/2))/(LN(2)/2)*CG62*CJ62*VLOOKUP('Données projet'!$B$12,Paramètres!$A$1:$I$89,3,0)*0.475*44/12</f>
        <v>6.492932795526797</v>
      </c>
      <c r="CN62" s="22">
        <f t="shared" si="12"/>
        <v>44.416584760413969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10.107499999999998</v>
      </c>
      <c r="CT62" s="12">
        <f>IF('Données projet'!$A$140&gt;35,CT61+CS62-DB61,IF(A62&lt;'Données projet'!$A$140,$CQ$205^A62,IF(A62='Données projet'!$A$140,'Données projet'!$B$140,CT61+CS62-DB61)))</f>
        <v>216.0175000000003</v>
      </c>
      <c r="CU62" s="17">
        <f>CT62*VLOOKUP('Données projet'!$B$13,Paramètres!$A$1:$I$89,3,0)*VLOOKUP('Données projet'!$B$13,Paramètres!$A$1:$I$89,5,0)</f>
        <v>232.52123700000033</v>
      </c>
      <c r="CV62" s="13">
        <f t="shared" si="41"/>
        <v>56.827485531211536</v>
      </c>
      <c r="CW62" s="20">
        <f t="shared" si="13"/>
        <v>503.94902507519402</v>
      </c>
      <c r="CX62" s="59">
        <f t="shared" si="14"/>
        <v>764.6384322690368</v>
      </c>
      <c r="CY62" s="59">
        <f ca="1">AVERAGE(OFFSET($CX$3,0,0,'Données projet'!$E$13+1,1))-AVERAGE(OFFSET($H$3,0,0,'Données projet'!$E$13+1,1))</f>
        <v>792.94606354161886</v>
      </c>
      <c r="CZ62" s="59">
        <f t="shared" si="42"/>
        <v>346.14443498270919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42.2053546060841</v>
      </c>
      <c r="DH62" s="21">
        <f>EXP(-LN(2)/2)*DH61+(1-EXP(-LN(2)/2))/(LN(2)/2)*DB62*DE62*VLOOKUP('Données projet'!$B$13,Paramètres!$A$1:$I$89,3,0)*0.475*44/12</f>
        <v>7.2260058530862743</v>
      </c>
      <c r="DI62" s="22">
        <f t="shared" si="15"/>
        <v>49.431360459170378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3.2051282051282071</v>
      </c>
      <c r="DO62" s="12">
        <f>IF('Données projet'!$A$166&gt;35,DO61+DN62-DW61,IF(A62&lt;'Données projet'!$A$166,$DL$205^A62,IF(A62='Données projet'!$A$166,'Données projet'!$B$166,DO61+DN62-DW61)))</f>
        <v>117.94871794871788</v>
      </c>
      <c r="DP62" s="17">
        <f>DO62*VLOOKUP('Données projet'!$B$14,Paramètres!$A$1:$I$89,3,0)*VLOOKUP('Données projet'!$B$14,Paramètres!$A$1:$I$89,5,0)</f>
        <v>123.27999999999996</v>
      </c>
      <c r="DQ62" s="13">
        <f t="shared" si="43"/>
        <v>32.438800661224256</v>
      </c>
      <c r="DR62" s="20">
        <f t="shared" si="16"/>
        <v>271.21024448496547</v>
      </c>
      <c r="DS62" s="59">
        <f t="shared" si="17"/>
        <v>531.89965167880825</v>
      </c>
      <c r="DT62" s="59">
        <f ca="1">AVERAGE(OFFSET($DS$3,0,0,'Données projet'!$E$14+1,1))-AVERAGE(OFFSET($H$3,0,0,'Données projet'!$E$14+1,1))</f>
        <v>269.21114382490202</v>
      </c>
      <c r="DU62" s="59">
        <f t="shared" si="44"/>
        <v>233.07776944102309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14.339980002006453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14.339980002006453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10.107499999999998</v>
      </c>
      <c r="FE62" s="12">
        <f>IF('Données projet'!$A$218&gt;35,FE61+FD62-FM61,IF(A62&lt;'Données projet'!$A$218,$FB$205^A62,IF(A62='Données projet'!$A$218,'Données projet'!$B$218,FE61+FD62-FM61)))</f>
        <v>216.0175000000003</v>
      </c>
      <c r="FF62" s="17">
        <f>FE62*VLOOKUP('Données projet'!$B$16,Paramètres!$A$1:$I$89,3,0)*VLOOKUP('Données projet'!$B$16,Paramètres!$A$1:$I$89,5,0)</f>
        <v>246.00072900000035</v>
      </c>
      <c r="FG62" s="13">
        <f t="shared" si="47"/>
        <v>59.728755053112948</v>
      </c>
      <c r="FH62" s="20">
        <f t="shared" si="22"/>
        <v>532.4788513925057</v>
      </c>
      <c r="FI62" s="59">
        <f t="shared" si="23"/>
        <v>793.16825858634843</v>
      </c>
      <c r="FJ62" s="59">
        <f ca="1">AVERAGE(OFFSET($FI$3,0,0,'Données projet'!$E$16+1,1))-AVERAGE(OFFSET($H$3,0,0,'Données projet'!$E$16+1,1))</f>
        <v>833.39050463936144</v>
      </c>
      <c r="FK62" s="59">
        <f t="shared" si="48"/>
        <v>362.56178526355507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44.652041829625219</v>
      </c>
      <c r="FS62" s="21">
        <f>EXP(-LN(2)/2)*FS61+(1-EXP(-LN(2)/2))/(LN(2)/2)*FM62*FP62*VLOOKUP('Données projet'!$B$16,Paramètres!$A$1:$I$89,3,0)*0.475*44/12</f>
        <v>7.6449047431202608</v>
      </c>
      <c r="FT62" s="22">
        <f t="shared" si="24"/>
        <v>52.296946572745483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705.99239080924474</v>
      </c>
      <c r="S63" s="59">
        <f ca="1">AVERAGE(OFFSET($R$3,0,0,'Données projet'!$E$9+1,1))-AVERAGE(OFFSET($H$3,0,0,'Données projet'!$E$9+1,1))</f>
        <v>681.47578137804555</v>
      </c>
      <c r="T63" s="59">
        <f t="shared" si="34"/>
        <v>300.88511065995885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229.29075000000029</v>
      </c>
      <c r="AK63" s="13">
        <f t="shared" si="35"/>
        <v>56.129297544192028</v>
      </c>
      <c r="AL63" s="20">
        <f t="shared" si="4"/>
        <v>497.1065828061349</v>
      </c>
      <c r="AM63" s="59">
        <f t="shared" si="5"/>
        <v>758.36228913761238</v>
      </c>
      <c r="AN63" s="59">
        <f ca="1">AVERAGE(OFFSET($AM$3,0,0,'Données projet'!$E$10+1,1))-AVERAGE(OFFSET($H$3,0,0,'Données projet'!$E$10+1,1))</f>
        <v>752.45542076695506</v>
      </c>
      <c r="AO63" s="59">
        <f t="shared" si="36"/>
        <v>329.70629768420724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38.671464532149919</v>
      </c>
      <c r="AW63" s="21">
        <f>EXP(-LN(2)/2)*AW62+(1-EXP(-LN(2)/2))/(LN(2)/2)*AQ63*AT63*VLOOKUP('Données projet'!$B$10,Paramètres!$A$1:$I$89,3,0)*0.475*44/12</f>
        <v>4.8133514938364375</v>
      </c>
      <c r="AX63" s="21">
        <f t="shared" si="6"/>
        <v>43.484816025986355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215.18055000000027</v>
      </c>
      <c r="BF63" s="13">
        <f t="shared" si="37"/>
        <v>53.066055556356247</v>
      </c>
      <c r="BG63" s="20">
        <f t="shared" si="7"/>
        <v>467.19617134398754</v>
      </c>
      <c r="BH63" s="59">
        <f t="shared" si="8"/>
        <v>728.45187767546508</v>
      </c>
      <c r="BI63" s="59">
        <f ca="1">AVERAGE(OFFSET($BH$3,0,0,'Données projet'!$E$11+1,1))-AVERAGE(OFFSET($H$3,0,0,'Données projet'!$E$11+1,1))</f>
        <v>711.91538686535682</v>
      </c>
      <c r="BJ63" s="59">
        <f t="shared" si="38"/>
        <v>313.24593837351722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36.29168209940223</v>
      </c>
      <c r="BR63" s="21">
        <f>EXP(-LN(2)/2)*BR62+(1-EXP(-LN(2)/2))/(LN(2)/2)*BL63*BO63*VLOOKUP('Données projet'!$B$11,Paramètres!$A$1:$I$89,3,0)*0.475*44/12</f>
        <v>4.5171452480618877</v>
      </c>
      <c r="BS63" s="22">
        <f t="shared" si="9"/>
        <v>40.808827347464117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10.107499999999998</v>
      </c>
      <c r="BY63" s="12">
        <f>IF('Données projet'!$A$114&gt;35,BY62+BX63-CG62,IF(A63&lt;'Données projet'!$A$114,$BV$205^A63,IF(A63='Données projet'!$A$114,'Données projet'!$B$114,BY62+BX63-CG62)))</f>
        <v>226.12500000000028</v>
      </c>
      <c r="BZ63" s="13">
        <f>BY63*VLOOKUP('Données projet'!$B$12,Paramètres!$A$1:$I$89,3,0)*VLOOKUP('Données projet'!$B$12,Paramètres!$A$1:$I$89,5,0)</f>
        <v>218.70810000000026</v>
      </c>
      <c r="CA63" s="13">
        <f t="shared" si="39"/>
        <v>53.834001464366089</v>
      </c>
      <c r="CB63" s="20">
        <f t="shared" si="10"/>
        <v>474.67749338377138</v>
      </c>
      <c r="CC63" s="59">
        <f t="shared" si="11"/>
        <v>735.93319971524886</v>
      </c>
      <c r="CD63" s="59">
        <f ca="1">AVERAGE(OFFSET($CC$3,0,0,'Données projet'!$E$12+1,1))-AVERAGE(OFFSET($H$3,0,0,'Données projet'!$E$12+1,1))</f>
        <v>722.05521609092671</v>
      </c>
      <c r="CE63" s="59">
        <f t="shared" si="40"/>
        <v>317.36319714884644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36.886627707589149</v>
      </c>
      <c r="CM63" s="21">
        <f>EXP(-LN(2)/2)*CM62+(1-EXP(-LN(2)/2))/(LN(2)/2)*CG63*CJ63*VLOOKUP('Données projet'!$B$12,Paramètres!$A$1:$I$89,3,0)*0.475*44/12</f>
        <v>4.5911968095055258</v>
      </c>
      <c r="CN63" s="22">
        <f t="shared" si="12"/>
        <v>41.477824517094675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10.107499999999998</v>
      </c>
      <c r="CT63" s="12">
        <f>IF('Données projet'!$A$140&gt;35,CT62+CS63-DB62,IF(A63&lt;'Données projet'!$A$140,$CQ$205^A63,IF(A63='Données projet'!$A$140,'Données projet'!$B$140,CT62+CS63-DB62)))</f>
        <v>226.12500000000028</v>
      </c>
      <c r="CU63" s="17">
        <f>CT63*VLOOKUP('Données projet'!$B$13,Paramètres!$A$1:$I$89,3,0)*VLOOKUP('Données projet'!$B$13,Paramètres!$A$1:$I$89,5,0)</f>
        <v>243.40095000000028</v>
      </c>
      <c r="CV63" s="13">
        <f t="shared" si="41"/>
        <v>59.170661120047022</v>
      </c>
      <c r="CW63" s="20">
        <f t="shared" si="13"/>
        <v>526.97888936741572</v>
      </c>
      <c r="CX63" s="59">
        <f t="shared" si="14"/>
        <v>788.23459569889314</v>
      </c>
      <c r="CY63" s="59">
        <f ca="1">AVERAGE(OFFSET($CX$3,0,0,'Données projet'!$E$13+1,1))-AVERAGE(OFFSET($H$3,0,0,'Données projet'!$E$13+1,1))</f>
        <v>792.94606354161886</v>
      </c>
      <c r="CZ63" s="59">
        <f t="shared" si="42"/>
        <v>346.14443498270919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41.051246964897594</v>
      </c>
      <c r="DH63" s="21">
        <f>EXP(-LN(2)/2)*DH62+(1-EXP(-LN(2)/2))/(LN(2)/2)*DB63*DE63*VLOOKUP('Données projet'!$B$13,Paramètres!$A$1:$I$89,3,0)*0.475*44/12</f>
        <v>5.1095577396109881</v>
      </c>
      <c r="DI63" s="22">
        <f t="shared" si="15"/>
        <v>46.160804704508578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121.15384615384616</v>
      </c>
      <c r="DM63" s="12">
        <f>VLOOKUP(A63,'Données projet'!$A$165:$I$185,9,0)</f>
        <v>3.2051282051282071</v>
      </c>
      <c r="DN63" s="12">
        <f t="array" ref="DN63">INDEX(DM:DM,MIN(IF(ISNUMBER(DM63:DM259),ROW(DM63:DM259),"")))</f>
        <v>3.2051282051282071</v>
      </c>
      <c r="DO63" s="12">
        <f>IF('Données projet'!$A$166&gt;35,DO62+DN63-DW62,IF(A63&lt;'Données projet'!$A$166,$DL$205^A63,IF(A63='Données projet'!$A$166,'Données projet'!$B$166,DO62+DN63-DW62)))</f>
        <v>121.15384615384609</v>
      </c>
      <c r="DP63" s="17">
        <f>DO63*VLOOKUP('Données projet'!$B$14,Paramètres!$A$1:$I$89,3,0)*VLOOKUP('Données projet'!$B$14,Paramètres!$A$1:$I$89,5,0)</f>
        <v>126.62999999999995</v>
      </c>
      <c r="DQ63" s="13">
        <f t="shared" si="43"/>
        <v>33.216464931527199</v>
      </c>
      <c r="DR63" s="20">
        <f t="shared" si="16"/>
        <v>278.39925975574312</v>
      </c>
      <c r="DS63" s="59">
        <f t="shared" si="17"/>
        <v>539.6549660872206</v>
      </c>
      <c r="DT63" s="59">
        <f ca="1">AVERAGE(OFFSET($DS$3,0,0,'Données projet'!$E$14+1,1))-AVERAGE(OFFSET($H$3,0,0,'Données projet'!$E$14+1,1))</f>
        <v>269.21114382490202</v>
      </c>
      <c r="DU63" s="59">
        <f t="shared" si="44"/>
        <v>233.07776944102309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10.256410256410255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16.485708619100112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16.485708619100112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10.107499999999998</v>
      </c>
      <c r="FE63" s="12">
        <f>IF('Données projet'!$A$218&gt;35,FE62+FD63-FM62,IF(A63&lt;'Données projet'!$A$218,$FB$205^A63,IF(A63='Données projet'!$A$218,'Données projet'!$B$218,FE62+FD63-FM62)))</f>
        <v>226.12500000000028</v>
      </c>
      <c r="FF63" s="17">
        <f>FE63*VLOOKUP('Données projet'!$B$16,Paramètres!$A$1:$I$89,3,0)*VLOOKUP('Données projet'!$B$16,Paramètres!$A$1:$I$89,5,0)</f>
        <v>257.51115000000033</v>
      </c>
      <c r="FG63" s="13">
        <f t="shared" si="47"/>
        <v>62.191559090344555</v>
      </c>
      <c r="FH63" s="20">
        <f t="shared" si="22"/>
        <v>556.81555166568398</v>
      </c>
      <c r="FI63" s="59">
        <f t="shared" si="23"/>
        <v>818.07125799716141</v>
      </c>
      <c r="FJ63" s="59">
        <f ca="1">AVERAGE(OFFSET($FI$3,0,0,'Données projet'!$E$16+1,1))-AVERAGE(OFFSET($H$3,0,0,'Données projet'!$E$16+1,1))</f>
        <v>833.39050463936144</v>
      </c>
      <c r="FK63" s="59">
        <f t="shared" si="48"/>
        <v>362.56178526355507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43.43102939764529</v>
      </c>
      <c r="FS63" s="21">
        <f>EXP(-LN(2)/2)*FS62+(1-EXP(-LN(2)/2))/(LN(2)/2)*FM63*FP63*VLOOKUP('Données projet'!$B$16,Paramètres!$A$1:$I$89,3,0)*0.475*44/12</f>
        <v>5.4057639853855379</v>
      </c>
      <c r="FT63" s="22">
        <f t="shared" si="24"/>
        <v>48.83679338303083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725.95918056238668</v>
      </c>
      <c r="S64" s="59">
        <f ca="1">AVERAGE(OFFSET($R$3,0,0,'Données projet'!$E$9+1,1))-AVERAGE(OFFSET($H$3,0,0,'Données projet'!$E$9+1,1))</f>
        <v>681.47578137804555</v>
      </c>
      <c r="T64" s="59">
        <f t="shared" si="34"/>
        <v>300.88511065995885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239.5397550000003</v>
      </c>
      <c r="AK64" s="13">
        <f t="shared" si="35"/>
        <v>58.340495468530364</v>
      </c>
      <c r="AL64" s="20">
        <f t="shared" si="4"/>
        <v>518.80810289935755</v>
      </c>
      <c r="AM64" s="59">
        <f t="shared" si="5"/>
        <v>780.62028434448689</v>
      </c>
      <c r="AN64" s="59">
        <f ca="1">AVERAGE(OFFSET($AM$3,0,0,'Données projet'!$E$10+1,1))-AVERAGE(OFFSET($H$3,0,0,'Données projet'!$E$10+1,1))</f>
        <v>752.45542076695506</v>
      </c>
      <c r="AO64" s="59">
        <f t="shared" si="36"/>
        <v>329.70629768420724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37.613991300874346</v>
      </c>
      <c r="AW64" s="21">
        <f>EXP(-LN(2)/2)*AW63+(1-EXP(-LN(2)/2))/(LN(2)/2)*AQ64*AT64*VLOOKUP('Données projet'!$B$10,Paramètres!$A$1:$I$89,3,0)*0.475*44/12</f>
        <v>3.4035534815261435</v>
      </c>
      <c r="AX64" s="21">
        <f t="shared" si="6"/>
        <v>41.017544782400492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224.79884700000025</v>
      </c>
      <c r="BF64" s="13">
        <f t="shared" si="37"/>
        <v>55.156577922267701</v>
      </c>
      <c r="BG64" s="20">
        <f t="shared" si="7"/>
        <v>487.5890317396167</v>
      </c>
      <c r="BH64" s="59">
        <f t="shared" si="8"/>
        <v>749.40121318474598</v>
      </c>
      <c r="BI64" s="59">
        <f ca="1">AVERAGE(OFFSET($BH$3,0,0,'Données projet'!$E$11+1,1))-AVERAGE(OFFSET($H$3,0,0,'Données projet'!$E$11+1,1))</f>
        <v>711.91538686535682</v>
      </c>
      <c r="BJ64" s="59">
        <f t="shared" si="38"/>
        <v>313.24593837351722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35.299284143897459</v>
      </c>
      <c r="BR64" s="21">
        <f>EXP(-LN(2)/2)*BR63+(1-EXP(-LN(2)/2))/(LN(2)/2)*BL64*BO64*VLOOKUP('Données projet'!$B$11,Paramètres!$A$1:$I$89,3,0)*0.475*44/12</f>
        <v>3.1941040365091502</v>
      </c>
      <c r="BS64" s="22">
        <f t="shared" si="9"/>
        <v>38.493388180406612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10.107499999999998</v>
      </c>
      <c r="BY64" s="12">
        <f>IF('Données projet'!$A$114&gt;35,BY63+BX64-CG63,IF(A64&lt;'Données projet'!$A$114,$BV$205^A64,IF(A64='Données projet'!$A$114,'Données projet'!$B$114,BY63+BX64-CG63)))</f>
        <v>236.23250000000027</v>
      </c>
      <c r="BZ64" s="13">
        <f>BY64*VLOOKUP('Données projet'!$B$12,Paramètres!$A$1:$I$89,3,0)*VLOOKUP('Données projet'!$B$12,Paramètres!$A$1:$I$89,5,0)</f>
        <v>228.48407400000025</v>
      </c>
      <c r="CA64" s="13">
        <f t="shared" si="39"/>
        <v>55.954776843803295</v>
      </c>
      <c r="CB64" s="20">
        <f t="shared" si="10"/>
        <v>495.39766521962451</v>
      </c>
      <c r="CC64" s="59">
        <f t="shared" si="11"/>
        <v>757.20984666475385</v>
      </c>
      <c r="CD64" s="59">
        <f ca="1">AVERAGE(OFFSET($CC$3,0,0,'Données projet'!$E$12+1,1))-AVERAGE(OFFSET($H$3,0,0,'Données projet'!$E$12+1,1))</f>
        <v>722.05521609092671</v>
      </c>
      <c r="CE64" s="59">
        <f t="shared" si="40"/>
        <v>317.36319714884644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35.877960933141679</v>
      </c>
      <c r="CM64" s="21">
        <f>EXP(-LN(2)/2)*CM63+(1-EXP(-LN(2)/2))/(LN(2)/2)*CG64*CJ64*VLOOKUP('Données projet'!$B$12,Paramètres!$A$1:$I$89,3,0)*0.475*44/12</f>
        <v>3.246466397763399</v>
      </c>
      <c r="CN64" s="22">
        <f t="shared" si="12"/>
        <v>39.124427330905078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10.107499999999998</v>
      </c>
      <c r="CT64" s="12">
        <f>IF('Données projet'!$A$140&gt;35,CT63+CS64-DB63,IF(A64&lt;'Données projet'!$A$140,$CQ$205^A64,IF(A64='Données projet'!$A$140,'Données projet'!$B$140,CT63+CS64-DB63)))</f>
        <v>236.23250000000027</v>
      </c>
      <c r="CU64" s="17">
        <f>CT64*VLOOKUP('Données projet'!$B$13,Paramètres!$A$1:$I$89,3,0)*VLOOKUP('Données projet'!$B$13,Paramètres!$A$1:$I$89,5,0)</f>
        <v>254.28066300000029</v>
      </c>
      <c r="CV64" s="13">
        <f t="shared" si="41"/>
        <v>61.501672708912224</v>
      </c>
      <c r="CW64" s="20">
        <f t="shared" si="13"/>
        <v>549.98756802635592</v>
      </c>
      <c r="CX64" s="59">
        <f t="shared" si="14"/>
        <v>811.79974947148526</v>
      </c>
      <c r="CY64" s="59">
        <f ca="1">AVERAGE(OFFSET($CX$3,0,0,'Données projet'!$E$13+1,1))-AVERAGE(OFFSET($H$3,0,0,'Données projet'!$E$13+1,1))</f>
        <v>792.94606354161886</v>
      </c>
      <c r="CZ64" s="59">
        <f t="shared" si="42"/>
        <v>346.14443498270919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39.928698457851212</v>
      </c>
      <c r="DH64" s="21">
        <f>EXP(-LN(2)/2)*DH63+(1-EXP(-LN(2)/2))/(LN(2)/2)*DB64*DE64*VLOOKUP('Données projet'!$B$13,Paramètres!$A$1:$I$89,3,0)*0.475*44/12</f>
        <v>3.6130029265431376</v>
      </c>
      <c r="DI64" s="22">
        <f t="shared" si="15"/>
        <v>43.541701384394351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2.8205128205128176</v>
      </c>
      <c r="DO64" s="12">
        <f>IF('Données projet'!$A$166&gt;35,DO63+DN64-DW63,IF(A64&lt;'Données projet'!$A$166,$DL$205^A64,IF(A64='Données projet'!$A$166,'Données projet'!$B$166,DO63+DN64-DW63)))</f>
        <v>113.71794871794864</v>
      </c>
      <c r="DP64" s="17">
        <f>DO64*VLOOKUP('Données projet'!$B$14,Paramètres!$A$1:$I$89,3,0)*VLOOKUP('Données projet'!$B$14,Paramètres!$A$1:$I$89,5,0)</f>
        <v>118.85799999999992</v>
      </c>
      <c r="DQ64" s="13">
        <f t="shared" si="43"/>
        <v>31.408498497995616</v>
      </c>
      <c r="DR64" s="20">
        <f t="shared" si="16"/>
        <v>261.71415155067552</v>
      </c>
      <c r="DS64" s="59">
        <f t="shared" si="17"/>
        <v>523.52633299580486</v>
      </c>
      <c r="DT64" s="59">
        <f ca="1">AVERAGE(OFFSET($DS$3,0,0,'Données projet'!$E$14+1,1))-AVERAGE(OFFSET($H$3,0,0,'Données projet'!$E$14+1,1))</f>
        <v>269.21114382490202</v>
      </c>
      <c r="DU64" s="59">
        <f t="shared" si="44"/>
        <v>233.07776944102309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16.03490604996508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16.03490604996508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10.107499999999998</v>
      </c>
      <c r="FE64" s="12">
        <f>IF('Données projet'!$A$218&gt;35,FE63+FD64-FM63,IF(A64&lt;'Données projet'!$A$218,$FB$205^A64,IF(A64='Données projet'!$A$218,'Données projet'!$B$218,FE63+FD64-FM63)))</f>
        <v>236.23250000000027</v>
      </c>
      <c r="FF64" s="17">
        <f>FE64*VLOOKUP('Données projet'!$B$16,Paramètres!$A$1:$I$89,3,0)*VLOOKUP('Données projet'!$B$16,Paramètres!$A$1:$I$89,5,0)</f>
        <v>269.02157100000034</v>
      </c>
      <c r="FG64" s="13">
        <f t="shared" si="47"/>
        <v>64.641578106949211</v>
      </c>
      <c r="FH64" s="20">
        <f t="shared" si="22"/>
        <v>581.12998469460376</v>
      </c>
      <c r="FI64" s="59">
        <f t="shared" si="23"/>
        <v>842.9421661397331</v>
      </c>
      <c r="FJ64" s="59">
        <f ca="1">AVERAGE(OFFSET($FI$3,0,0,'Données projet'!$E$16+1,1))-AVERAGE(OFFSET($H$3,0,0,'Données projet'!$E$16+1,1))</f>
        <v>833.39050463936144</v>
      </c>
      <c r="FK64" s="59">
        <f t="shared" si="48"/>
        <v>362.56178526355507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42.243405614828106</v>
      </c>
      <c r="FS64" s="21">
        <f>EXP(-LN(2)/2)*FS63+(1-EXP(-LN(2)/2))/(LN(2)/2)*FM64*FP64*VLOOKUP('Données projet'!$B$16,Paramètres!$A$1:$I$89,3,0)*0.475*44/12</f>
        <v>3.8224523715601308</v>
      </c>
      <c r="FT64" s="22">
        <f t="shared" si="24"/>
        <v>46.065857986388238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745.89901124565245</v>
      </c>
      <c r="S65" s="59">
        <f ca="1">AVERAGE(OFFSET($R$3,0,0,'Données projet'!$E$9+1,1))-AVERAGE(OFFSET($H$3,0,0,'Données projet'!$E$9+1,1))</f>
        <v>681.47578137804555</v>
      </c>
      <c r="T65" s="59">
        <f t="shared" si="34"/>
        <v>300.88511065995885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249.78876000000028</v>
      </c>
      <c r="AK65" s="13">
        <f t="shared" si="35"/>
        <v>60.540704760493632</v>
      </c>
      <c r="AL65" s="20">
        <f t="shared" si="4"/>
        <v>540.49048445786013</v>
      </c>
      <c r="AM65" s="59">
        <f t="shared" si="5"/>
        <v>802.84948741751145</v>
      </c>
      <c r="AN65" s="59">
        <f ca="1">AVERAGE(OFFSET($AM$3,0,0,'Données projet'!$E$10+1,1))-AVERAGE(OFFSET($H$3,0,0,'Données projet'!$E$10+1,1))</f>
        <v>752.45542076695506</v>
      </c>
      <c r="AO65" s="59">
        <f t="shared" si="36"/>
        <v>329.70629768420724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36.585434730718106</v>
      </c>
      <c r="AW65" s="21">
        <f>EXP(-LN(2)/2)*AW64+(1-EXP(-LN(2)/2))/(LN(2)/2)*AQ65*AT65*VLOOKUP('Données projet'!$B$10,Paramètres!$A$1:$I$89,3,0)*0.475*44/12</f>
        <v>2.4066757469182187</v>
      </c>
      <c r="AX65" s="21">
        <f t="shared" si="6"/>
        <v>38.992110477636324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234.41714400000023</v>
      </c>
      <c r="BF65" s="13">
        <f t="shared" si="37"/>
        <v>57.236711357591943</v>
      </c>
      <c r="BG65" s="20">
        <f t="shared" si="7"/>
        <v>507.96379808113971</v>
      </c>
      <c r="BH65" s="59">
        <f t="shared" si="8"/>
        <v>770.32280104079109</v>
      </c>
      <c r="BI65" s="59">
        <f ca="1">AVERAGE(OFFSET($BH$3,0,0,'Données projet'!$E$11+1,1))-AVERAGE(OFFSET($H$3,0,0,'Données projet'!$E$11+1,1))</f>
        <v>711.91538686535682</v>
      </c>
      <c r="BJ65" s="59">
        <f t="shared" si="38"/>
        <v>313.24593837351722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34.334023362673911</v>
      </c>
      <c r="BR65" s="21">
        <f>EXP(-LN(2)/2)*BR64+(1-EXP(-LN(2)/2))/(LN(2)/2)*BL65*BO65*VLOOKUP('Données projet'!$B$11,Paramètres!$A$1:$I$89,3,0)*0.475*44/12</f>
        <v>2.2585726240309438</v>
      </c>
      <c r="BS65" s="22">
        <f t="shared" si="9"/>
        <v>36.592595986704858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10.107499999999998</v>
      </c>
      <c r="BY65" s="12">
        <f>IF('Données projet'!$A$114&gt;35,BY64+BX65-CG64,IF(A65&lt;'Données projet'!$A$114,$BV$205^A65,IF(A65='Données projet'!$A$114,'Données projet'!$B$114,BY64+BX65-CG64)))</f>
        <v>246.34000000000026</v>
      </c>
      <c r="BZ65" s="13">
        <f>BY65*VLOOKUP('Données projet'!$B$12,Paramètres!$A$1:$I$89,3,0)*VLOOKUP('Données projet'!$B$12,Paramètres!$A$1:$I$89,5,0)</f>
        <v>238.26004800000027</v>
      </c>
      <c r="CA65" s="13">
        <f t="shared" si="39"/>
        <v>58.065012949149342</v>
      </c>
      <c r="CB65" s="20">
        <f t="shared" si="10"/>
        <v>516.09948115310215</v>
      </c>
      <c r="CC65" s="59">
        <f t="shared" si="11"/>
        <v>778.45848411275347</v>
      </c>
      <c r="CD65" s="59">
        <f ca="1">AVERAGE(OFFSET($CC$3,0,0,'Données projet'!$E$12+1,1))-AVERAGE(OFFSET($H$3,0,0,'Données projet'!$E$12+1,1))</f>
        <v>722.05521609092671</v>
      </c>
      <c r="CE65" s="59">
        <f t="shared" si="40"/>
        <v>317.36319714884644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34.896876204684958</v>
      </c>
      <c r="CM65" s="21">
        <f>EXP(-LN(2)/2)*CM64+(1-EXP(-LN(2)/2))/(LN(2)/2)*CG65*CJ65*VLOOKUP('Données projet'!$B$12,Paramètres!$A$1:$I$89,3,0)*0.475*44/12</f>
        <v>2.2955984047527629</v>
      </c>
      <c r="CN65" s="22">
        <f t="shared" si="12"/>
        <v>37.192474609437724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10.107499999999998</v>
      </c>
      <c r="CT65" s="12">
        <f>IF('Données projet'!$A$140&gt;35,CT64+CS65-DB64,IF(A65&lt;'Données projet'!$A$140,$CQ$205^A65,IF(A65='Données projet'!$A$140,'Données projet'!$B$140,CT64+CS65-DB64)))</f>
        <v>246.34000000000026</v>
      </c>
      <c r="CU65" s="17">
        <f>CT65*VLOOKUP('Données projet'!$B$13,Paramètres!$A$1:$I$89,3,0)*VLOOKUP('Données projet'!$B$13,Paramètres!$A$1:$I$89,5,0)</f>
        <v>265.16037600000027</v>
      </c>
      <c r="CV65" s="13">
        <f t="shared" si="41"/>
        <v>63.821100246829246</v>
      </c>
      <c r="CW65" s="20">
        <f t="shared" si="13"/>
        <v>572.97607112989465</v>
      </c>
      <c r="CX65" s="59">
        <f t="shared" si="14"/>
        <v>835.33507408954597</v>
      </c>
      <c r="CY65" s="59">
        <f ca="1">AVERAGE(OFFSET($CX$3,0,0,'Données projet'!$E$13+1,1))-AVERAGE(OFFSET($H$3,0,0,'Données projet'!$E$13+1,1))</f>
        <v>792.94606354161886</v>
      </c>
      <c r="CZ65" s="59">
        <f t="shared" si="42"/>
        <v>346.14443498270919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38.83684609876228</v>
      </c>
      <c r="DH65" s="21">
        <f>EXP(-LN(2)/2)*DH64+(1-EXP(-LN(2)/2))/(LN(2)/2)*DB65*DE65*VLOOKUP('Données projet'!$B$13,Paramètres!$A$1:$I$89,3,0)*0.475*44/12</f>
        <v>2.5547788698054945</v>
      </c>
      <c r="DI65" s="22">
        <f t="shared" si="15"/>
        <v>41.391624968567776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2.8205128205128176</v>
      </c>
      <c r="DO65" s="12">
        <f>IF('Données projet'!$A$166&gt;35,DO64+DN65-DW64,IF(A65&lt;'Données projet'!$A$166,$DL$205^A65,IF(A65='Données projet'!$A$166,'Données projet'!$B$166,DO64+DN65-DW64)))</f>
        <v>116.53846153846146</v>
      </c>
      <c r="DP65" s="17">
        <f>DO65*VLOOKUP('Données projet'!$B$14,Paramètres!$A$1:$I$89,3,0)*VLOOKUP('Données projet'!$B$14,Paramètres!$A$1:$I$89,5,0)</f>
        <v>121.80599999999993</v>
      </c>
      <c r="DQ65" s="13">
        <f t="shared" si="43"/>
        <v>32.09585223561038</v>
      </c>
      <c r="DR65" s="20">
        <f t="shared" si="16"/>
        <v>268.04572597702128</v>
      </c>
      <c r="DS65" s="59">
        <f t="shared" si="17"/>
        <v>530.40472893667265</v>
      </c>
      <c r="DT65" s="59">
        <f ca="1">AVERAGE(OFFSET($DS$3,0,0,'Données projet'!$E$14+1,1))-AVERAGE(OFFSET($H$3,0,0,'Données projet'!$E$14+1,1))</f>
        <v>269.21114382490202</v>
      </c>
      <c r="DU65" s="59">
        <f t="shared" si="44"/>
        <v>233.07776944102309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15.596430700789725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15.596430700789725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10.107499999999998</v>
      </c>
      <c r="FE65" s="12">
        <f>IF('Données projet'!$A$218&gt;35,FE64+FD65-FM64,IF(A65&lt;'Données projet'!$A$218,$FB$205^A65,IF(A65='Données projet'!$A$218,'Données projet'!$B$218,FE64+FD65-FM64)))</f>
        <v>246.34000000000026</v>
      </c>
      <c r="FF65" s="17">
        <f>FE65*VLOOKUP('Données projet'!$B$16,Paramètres!$A$1:$I$89,3,0)*VLOOKUP('Données projet'!$B$16,Paramètres!$A$1:$I$89,5,0)</f>
        <v>280.53199200000029</v>
      </c>
      <c r="FG65" s="13">
        <f t="shared" si="47"/>
        <v>67.079421660657118</v>
      </c>
      <c r="FH65" s="20">
        <f t="shared" si="22"/>
        <v>605.42321212564491</v>
      </c>
      <c r="FI65" s="59">
        <f t="shared" si="23"/>
        <v>867.78221508529623</v>
      </c>
      <c r="FJ65" s="59">
        <f ca="1">AVERAGE(OFFSET($FI$3,0,0,'Données projet'!$E$16+1,1))-AVERAGE(OFFSET($H$3,0,0,'Données projet'!$E$16+1,1))</f>
        <v>833.39050463936144</v>
      </c>
      <c r="FK65" s="59">
        <f t="shared" si="48"/>
        <v>362.56178526355507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41.088257466806482</v>
      </c>
      <c r="FS65" s="21">
        <f>EXP(-LN(2)/2)*FS64+(1-EXP(-LN(2)/2))/(LN(2)/2)*FM65*FP65*VLOOKUP('Données projet'!$B$16,Paramètres!$A$1:$I$89,3,0)*0.475*44/12</f>
        <v>2.7028819926927694</v>
      </c>
      <c r="FT65" s="22">
        <f t="shared" si="24"/>
        <v>43.791139459499249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765.81284159595975</v>
      </c>
      <c r="S66" s="59">
        <f ca="1">AVERAGE(OFFSET($R$3,0,0,'Données projet'!$E$9+1,1))-AVERAGE(OFFSET($H$3,0,0,'Données projet'!$E$9+1,1))</f>
        <v>681.47578137804555</v>
      </c>
      <c r="T66" s="59">
        <f t="shared" si="34"/>
        <v>300.88511065995885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260.03776500000026</v>
      </c>
      <c r="AK66" s="13">
        <f t="shared" si="35"/>
        <v>62.730427859997341</v>
      </c>
      <c r="AL66" s="20">
        <f t="shared" si="4"/>
        <v>562.1546025644958</v>
      </c>
      <c r="AM66" s="59">
        <f t="shared" si="5"/>
        <v>825.05094090790192</v>
      </c>
      <c r="AN66" s="59">
        <f ca="1">AVERAGE(OFFSET($AM$3,0,0,'Données projet'!$E$10+1,1))-AVERAGE(OFFSET($H$3,0,0,'Données projet'!$E$10+1,1))</f>
        <v>752.45542076695506</v>
      </c>
      <c r="AO66" s="59">
        <f t="shared" si="36"/>
        <v>329.70629768420724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35.585004094062221</v>
      </c>
      <c r="AW66" s="21">
        <f>EXP(-LN(2)/2)*AW65+(1-EXP(-LN(2)/2))/(LN(2)/2)*AQ66*AT66*VLOOKUP('Données projet'!$B$10,Paramètres!$A$1:$I$89,3,0)*0.475*44/12</f>
        <v>1.7017767407630717</v>
      </c>
      <c r="AX66" s="21">
        <f t="shared" si="6"/>
        <v>37.286780834825294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244.03544100000028</v>
      </c>
      <c r="BF66" s="13">
        <f t="shared" si="37"/>
        <v>59.306930881715026</v>
      </c>
      <c r="BG66" s="20">
        <f t="shared" si="7"/>
        <v>528.3212976939875</v>
      </c>
      <c r="BH66" s="59">
        <f t="shared" si="8"/>
        <v>791.21763603739362</v>
      </c>
      <c r="BI66" s="59">
        <f ca="1">AVERAGE(OFFSET($BH$3,0,0,'Données projet'!$E$11+1,1))-AVERAGE(OFFSET($H$3,0,0,'Données projet'!$E$11+1,1))</f>
        <v>711.91538686535682</v>
      </c>
      <c r="BJ66" s="59">
        <f t="shared" si="38"/>
        <v>313.24593837351722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33.395157688273777</v>
      </c>
      <c r="BR66" s="21">
        <f>EXP(-LN(2)/2)*BR65+(1-EXP(-LN(2)/2))/(LN(2)/2)*BL66*BO66*VLOOKUP('Données projet'!$B$11,Paramètres!$A$1:$I$89,3,0)*0.475*44/12</f>
        <v>1.5970520182545751</v>
      </c>
      <c r="BS66" s="22">
        <f t="shared" si="9"/>
        <v>34.992209706528349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10.107499999999998</v>
      </c>
      <c r="BY66" s="12">
        <f>IF('Données projet'!$A$114&gt;35,BY65+BX66-CG65,IF(A66&lt;'Données projet'!$A$114,$BV$205^A66,IF(A66='Données projet'!$A$114,'Données projet'!$B$114,BY65+BX66-CG65)))</f>
        <v>256.44750000000028</v>
      </c>
      <c r="BZ66" s="13">
        <f>BY66*VLOOKUP('Données projet'!$B$12,Paramètres!$A$1:$I$89,3,0)*VLOOKUP('Données projet'!$B$12,Paramètres!$A$1:$I$89,5,0)</f>
        <v>248.03602200000026</v>
      </c>
      <c r="CA66" s="13">
        <f t="shared" si="39"/>
        <v>60.165191674037722</v>
      </c>
      <c r="CB66" s="20">
        <f t="shared" si="10"/>
        <v>536.78378048228285</v>
      </c>
      <c r="CC66" s="59">
        <f t="shared" si="11"/>
        <v>799.68011882568896</v>
      </c>
      <c r="CD66" s="59">
        <f ca="1">AVERAGE(OFFSET($CC$3,0,0,'Données projet'!$E$12+1,1))-AVERAGE(OFFSET($H$3,0,0,'Données projet'!$E$12+1,1))</f>
        <v>722.05521609092671</v>
      </c>
      <c r="CE66" s="59">
        <f t="shared" si="40"/>
        <v>317.36319714884644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33.942619289720888</v>
      </c>
      <c r="CM66" s="21">
        <f>EXP(-LN(2)/2)*CM65+(1-EXP(-LN(2)/2))/(LN(2)/2)*CG66*CJ66*VLOOKUP('Données projet'!$B$12,Paramètres!$A$1:$I$89,3,0)*0.475*44/12</f>
        <v>1.6232331988816995</v>
      </c>
      <c r="CN66" s="22">
        <f t="shared" si="12"/>
        <v>35.565852488602587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10.107499999999998</v>
      </c>
      <c r="CT66" s="12">
        <f>IF('Données projet'!$A$140&gt;35,CT65+CS66-DB65,IF(A66&lt;'Données projet'!$A$140,$CQ$205^A66,IF(A66='Données projet'!$A$140,'Données projet'!$B$140,CT65+CS66-DB65)))</f>
        <v>256.44750000000028</v>
      </c>
      <c r="CU66" s="17">
        <f>CT66*VLOOKUP('Données projet'!$B$13,Paramètres!$A$1:$I$89,3,0)*VLOOKUP('Données projet'!$B$13,Paramètres!$A$1:$I$89,5,0)</f>
        <v>276.04008900000031</v>
      </c>
      <c r="CV66" s="13">
        <f t="shared" si="41"/>
        <v>66.129473398398872</v>
      </c>
      <c r="CW66" s="20">
        <f t="shared" si="13"/>
        <v>595.94532117721189</v>
      </c>
      <c r="CX66" s="59">
        <f t="shared" si="14"/>
        <v>858.84165952061801</v>
      </c>
      <c r="CY66" s="59">
        <f ca="1">AVERAGE(OFFSET($CX$3,0,0,'Données projet'!$E$13+1,1))-AVERAGE(OFFSET($H$3,0,0,'Données projet'!$E$13+1,1))</f>
        <v>792.94606354161886</v>
      </c>
      <c r="CZ66" s="59">
        <f t="shared" si="42"/>
        <v>346.14443498270919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37.77485049985065</v>
      </c>
      <c r="DH66" s="21">
        <f>EXP(-LN(2)/2)*DH65+(1-EXP(-LN(2)/2))/(LN(2)/2)*DB66*DE66*VLOOKUP('Données projet'!$B$13,Paramètres!$A$1:$I$89,3,0)*0.475*44/12</f>
        <v>1.806501463271569</v>
      </c>
      <c r="DI66" s="22">
        <f t="shared" si="15"/>
        <v>39.581351963122216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2.8205128205128176</v>
      </c>
      <c r="DO66" s="12">
        <f>IF('Données projet'!$A$166&gt;35,DO65+DN66-DW65,IF(A66&lt;'Données projet'!$A$166,$DL$205^A66,IF(A66='Données projet'!$A$166,'Données projet'!$B$166,DO65+DN66-DW65)))</f>
        <v>119.35897435897428</v>
      </c>
      <c r="DP66" s="17">
        <f>DO66*VLOOKUP('Données projet'!$B$14,Paramètres!$A$1:$I$89,3,0)*VLOOKUP('Données projet'!$B$14,Paramètres!$A$1:$I$89,5,0)</f>
        <v>124.75399999999992</v>
      </c>
      <c r="DQ66" s="13">
        <f t="shared" si="43"/>
        <v>32.781272112057259</v>
      </c>
      <c r="DR66" s="20">
        <f t="shared" si="16"/>
        <v>274.37393226183292</v>
      </c>
      <c r="DS66" s="59">
        <f t="shared" si="17"/>
        <v>537.27027060523903</v>
      </c>
      <c r="DT66" s="59">
        <f ca="1">AVERAGE(OFFSET($DS$3,0,0,'Données projet'!$E$14+1,1))-AVERAGE(OFFSET($H$3,0,0,'Données projet'!$E$14+1,1))</f>
        <v>269.21114382490202</v>
      </c>
      <c r="DU66" s="59">
        <f t="shared" si="44"/>
        <v>233.07776944102309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15.169945483095985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15.169945483095985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10.107499999999998</v>
      </c>
      <c r="FE66" s="12">
        <f>IF('Données projet'!$A$218&gt;35,FE65+FD66-FM65,IF(A66&lt;'Données projet'!$A$218,$FB$205^A66,IF(A66='Données projet'!$A$218,'Données projet'!$B$218,FE65+FD66-FM65)))</f>
        <v>256.44750000000028</v>
      </c>
      <c r="FF66" s="17">
        <f>FE66*VLOOKUP('Données projet'!$B$16,Paramètres!$A$1:$I$89,3,0)*VLOOKUP('Données projet'!$B$16,Paramètres!$A$1:$I$89,5,0)</f>
        <v>292.04241300000029</v>
      </c>
      <c r="FG66" s="13">
        <f t="shared" si="47"/>
        <v>69.505646457556708</v>
      </c>
      <c r="FH66" s="20">
        <f t="shared" si="22"/>
        <v>629.69620355524501</v>
      </c>
      <c r="FI66" s="59">
        <f t="shared" si="23"/>
        <v>892.59254189865112</v>
      </c>
      <c r="FJ66" s="59">
        <f ca="1">AVERAGE(OFFSET($FI$3,0,0,'Données projet'!$E$16+1,1))-AVERAGE(OFFSET($H$3,0,0,'Données projet'!$E$16+1,1))</f>
        <v>833.39050463936144</v>
      </c>
      <c r="FK66" s="59">
        <f t="shared" si="48"/>
        <v>362.56178526355507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39.964696905639109</v>
      </c>
      <c r="FS66" s="21">
        <f>EXP(-LN(2)/2)*FS65+(1-EXP(-LN(2)/2))/(LN(2)/2)*FM66*FP66*VLOOKUP('Données projet'!$B$16,Paramètres!$A$1:$I$89,3,0)*0.475*44/12</f>
        <v>1.9112261857800659</v>
      </c>
      <c r="FT66" s="22">
        <f t="shared" si="24"/>
        <v>41.875923091419175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785.70156154047936</v>
      </c>
      <c r="S67" s="59">
        <f ca="1">AVERAGE(OFFSET($R$3,0,0,'Données projet'!$E$9+1,1))-AVERAGE(OFFSET($H$3,0,0,'Données projet'!$E$9+1,1))</f>
        <v>681.47578137804555</v>
      </c>
      <c r="T67" s="59">
        <f t="shared" si="34"/>
        <v>300.88511065995885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270.28677000000033</v>
      </c>
      <c r="AK67" s="13">
        <f t="shared" si="35"/>
        <v>64.910125358871667</v>
      </c>
      <c r="AL67" s="20">
        <f t="shared" si="4"/>
        <v>583.80125941670201</v>
      </c>
      <c r="AM67" s="59">
        <f t="shared" si="5"/>
        <v>847.22561157625682</v>
      </c>
      <c r="AN67" s="59">
        <f ca="1">AVERAGE(OFFSET($AM$3,0,0,'Données projet'!$E$10+1,1))-AVERAGE(OFFSET($H$3,0,0,'Données projet'!$E$10+1,1))</f>
        <v>752.45542076695506</v>
      </c>
      <c r="AO67" s="59">
        <f t="shared" si="36"/>
        <v>329.70629768420724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34.611930285776054</v>
      </c>
      <c r="AW67" s="21">
        <f>EXP(-LN(2)/2)*AW66+(1-EXP(-LN(2)/2))/(LN(2)/2)*AQ67*AT67*VLOOKUP('Données projet'!$B$10,Paramètres!$A$1:$I$89,3,0)*0.475*44/12</f>
        <v>1.2033378734591094</v>
      </c>
      <c r="AX67" s="21">
        <f t="shared" si="6"/>
        <v>35.815268159235167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253.65373800000029</v>
      </c>
      <c r="BF67" s="13">
        <f t="shared" si="37"/>
        <v>61.36767194978637</v>
      </c>
      <c r="BG67" s="20">
        <f t="shared" si="7"/>
        <v>548.66228899587838</v>
      </c>
      <c r="BH67" s="59">
        <f t="shared" si="8"/>
        <v>812.0866411554332</v>
      </c>
      <c r="BI67" s="59">
        <f ca="1">AVERAGE(OFFSET($BH$3,0,0,'Données projet'!$E$11+1,1))-AVERAGE(OFFSET($H$3,0,0,'Données projet'!$E$11+1,1))</f>
        <v>711.91538686535682</v>
      </c>
      <c r="BJ67" s="59">
        <f t="shared" si="38"/>
        <v>313.24593837351722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32.481965345112911</v>
      </c>
      <c r="BR67" s="21">
        <f>EXP(-LN(2)/2)*BR66+(1-EXP(-LN(2)/2))/(LN(2)/2)*BL67*BO67*VLOOKUP('Données projet'!$B$11,Paramètres!$A$1:$I$89,3,0)*0.475*44/12</f>
        <v>1.1292863120154719</v>
      </c>
      <c r="BS67" s="22">
        <f t="shared" si="9"/>
        <v>33.611251657128385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10.107499999999998</v>
      </c>
      <c r="BY67" s="12">
        <f>IF('Données projet'!$A$114&gt;35,BY66+BX67-CG66,IF(A67&lt;'Données projet'!$A$114,$BV$205^A67,IF(A67='Données projet'!$A$114,'Données projet'!$B$114,BY66+BX67-CG66)))</f>
        <v>266.55500000000029</v>
      </c>
      <c r="BZ67" s="13">
        <f>BY67*VLOOKUP('Données projet'!$B$12,Paramètres!$A$1:$I$89,3,0)*VLOOKUP('Données projet'!$B$12,Paramètres!$A$1:$I$89,5,0)</f>
        <v>257.81199600000031</v>
      </c>
      <c r="CA67" s="13">
        <f t="shared" si="39"/>
        <v>62.255754775310869</v>
      </c>
      <c r="CB67" s="20">
        <f t="shared" si="10"/>
        <v>557.45133260033356</v>
      </c>
      <c r="CC67" s="59">
        <f t="shared" si="11"/>
        <v>820.87568475988837</v>
      </c>
      <c r="CD67" s="59">
        <f ca="1">AVERAGE(OFFSET($CC$3,0,0,'Données projet'!$E$12+1,1))-AVERAGE(OFFSET($H$3,0,0,'Données projet'!$E$12+1,1))</f>
        <v>722.05521609092671</v>
      </c>
      <c r="CE67" s="59">
        <f t="shared" si="40"/>
        <v>317.36319714884644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33.014456580278697</v>
      </c>
      <c r="CM67" s="21">
        <f>EXP(-LN(2)/2)*CM66+(1-EXP(-LN(2)/2))/(LN(2)/2)*CG67*CJ67*VLOOKUP('Données projet'!$B$12,Paramètres!$A$1:$I$89,3,0)*0.475*44/12</f>
        <v>1.1477992023763814</v>
      </c>
      <c r="CN67" s="22">
        <f t="shared" si="12"/>
        <v>34.16225578265508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10.107499999999998</v>
      </c>
      <c r="CT67" s="12">
        <f>IF('Données projet'!$A$140&gt;35,CT66+CS67-DB66,IF(A67&lt;'Données projet'!$A$140,$CQ$205^A67,IF(A67='Données projet'!$A$140,'Données projet'!$B$140,CT66+CS67-DB66)))</f>
        <v>266.55500000000029</v>
      </c>
      <c r="CU67" s="17">
        <f>CT67*VLOOKUP('Données projet'!$B$13,Paramètres!$A$1:$I$89,3,0)*VLOOKUP('Données projet'!$B$13,Paramètres!$A$1:$I$89,5,0)</f>
        <v>286.91980200000029</v>
      </c>
      <c r="CV67" s="13">
        <f t="shared" si="41"/>
        <v>68.427277712599647</v>
      </c>
      <c r="CW67" s="20">
        <f t="shared" si="13"/>
        <v>618.89616383277814</v>
      </c>
      <c r="CX67" s="59">
        <f t="shared" si="14"/>
        <v>882.32051599233296</v>
      </c>
      <c r="CY67" s="59">
        <f ca="1">AVERAGE(OFFSET($CX$3,0,0,'Données projet'!$E$13+1,1))-AVERAGE(OFFSET($H$3,0,0,'Données projet'!$E$13+1,1))</f>
        <v>792.94606354161886</v>
      </c>
      <c r="CZ67" s="59">
        <f t="shared" si="42"/>
        <v>346.14443498270919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36.741895226439183</v>
      </c>
      <c r="DH67" s="21">
        <f>EXP(-LN(2)/2)*DH66+(1-EXP(-LN(2)/2))/(LN(2)/2)*DB67*DE67*VLOOKUP('Données projet'!$B$13,Paramètres!$A$1:$I$89,3,0)*0.475*44/12</f>
        <v>1.2773894349027473</v>
      </c>
      <c r="DI67" s="22">
        <f t="shared" si="15"/>
        <v>38.019284661341928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2.8205128205128176</v>
      </c>
      <c r="DO67" s="12">
        <f>IF('Données projet'!$A$166&gt;35,DO66+DN67-DW66,IF(A67&lt;'Données projet'!$A$166,$DL$205^A67,IF(A67='Données projet'!$A$166,'Données projet'!$B$166,DO66+DN67-DW66)))</f>
        <v>122.1794871794871</v>
      </c>
      <c r="DP67" s="17">
        <f>DO67*VLOOKUP('Données projet'!$B$14,Paramètres!$A$1:$I$89,3,0)*VLOOKUP('Données projet'!$B$14,Paramètres!$A$1:$I$89,5,0)</f>
        <v>127.70199999999991</v>
      </c>
      <c r="DQ67" s="13">
        <f t="shared" si="43"/>
        <v>33.464809084200624</v>
      </c>
      <c r="DR67" s="20">
        <f t="shared" si="16"/>
        <v>280.69885915498259</v>
      </c>
      <c r="DS67" s="59">
        <f t="shared" si="17"/>
        <v>544.12321131453734</v>
      </c>
      <c r="DT67" s="59">
        <f ca="1">AVERAGE(OFFSET($DS$3,0,0,'Données projet'!$E$14+1,1))-AVERAGE(OFFSET($H$3,0,0,'Données projet'!$E$14+1,1))</f>
        <v>269.21114382490202</v>
      </c>
      <c r="DU67" s="59">
        <f t="shared" si="44"/>
        <v>233.07776944102309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14.755122526107964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14.755122526107964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10.107499999999998</v>
      </c>
      <c r="FE67" s="12">
        <f>IF('Données projet'!$A$218&gt;35,FE66+FD67-FM66,IF(A67&lt;'Données projet'!$A$218,$FB$205^A67,IF(A67='Données projet'!$A$218,'Données projet'!$B$218,FE66+FD67-FM66)))</f>
        <v>266.55500000000029</v>
      </c>
      <c r="FF67" s="17">
        <f>FE67*VLOOKUP('Données projet'!$B$16,Paramètres!$A$1:$I$89,3,0)*VLOOKUP('Données projet'!$B$16,Paramètres!$A$1:$I$89,5,0)</f>
        <v>303.5528340000003</v>
      </c>
      <c r="FG67" s="13">
        <f t="shared" si="47"/>
        <v>71.920762835836456</v>
      </c>
      <c r="FH67" s="20">
        <f t="shared" si="22"/>
        <v>653.94984782241556</v>
      </c>
      <c r="FI67" s="59">
        <f t="shared" si="23"/>
        <v>917.37419998197038</v>
      </c>
      <c r="FJ67" s="59">
        <f ca="1">AVERAGE(OFFSET($FI$3,0,0,'Données projet'!$E$16+1,1))-AVERAGE(OFFSET($H$3,0,0,'Données projet'!$E$16+1,1))</f>
        <v>833.39050463936144</v>
      </c>
      <c r="FK67" s="59">
        <f t="shared" si="48"/>
        <v>362.56178526355507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38.871860167102341</v>
      </c>
      <c r="FS67" s="21">
        <f>EXP(-LN(2)/2)*FS66+(1-EXP(-LN(2)/2))/(LN(2)/2)*FM67*FP67*VLOOKUP('Données projet'!$B$16,Paramètres!$A$1:$I$89,3,0)*0.475*44/12</f>
        <v>1.3514409963463849</v>
      </c>
      <c r="FT67" s="22">
        <f t="shared" si="24"/>
        <v>40.223301163448724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805.5660000255416</v>
      </c>
      <c r="S68" s="59">
        <f ca="1">AVERAGE(OFFSET($R$3,0,0,'Données projet'!$E$9+1,1))-AVERAGE(OFFSET($H$3,0,0,'Données projet'!$E$9+1,1))</f>
        <v>681.47578137804555</v>
      </c>
      <c r="T68" s="59">
        <f t="shared" si="34"/>
        <v>300.88511065995885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280.53577500000034</v>
      </c>
      <c r="AK68" s="13">
        <f t="shared" si="35"/>
        <v>67.080220940060286</v>
      </c>
      <c r="AL68" s="20">
        <f t="shared" ref="AL68:AL131" si="58">(AJ68+AK68)*0.475*44/12</f>
        <v>605.43119292893903</v>
      </c>
      <c r="AM68" s="59">
        <f t="shared" ref="AM68:AM131" si="59">AL68+(AD68+AE68)*44/12</f>
        <v>869.37439904539428</v>
      </c>
      <c r="AN68" s="59">
        <f ca="1">AVERAGE(OFFSET($AM$3,0,0,'Données projet'!$E$10+1,1))-AVERAGE(OFFSET($H$3,0,0,'Données projet'!$E$10+1,1))</f>
        <v>752.45542076695506</v>
      </c>
      <c r="AO68" s="59">
        <f t="shared" si="36"/>
        <v>329.70629768420724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33.665465231949199</v>
      </c>
      <c r="AW68" s="21">
        <f>EXP(-LN(2)/2)*AW67+(1-EXP(-LN(2)/2))/(LN(2)/2)*AQ68*AT68*VLOOKUP('Données projet'!$B$10,Paramètres!$A$1:$I$89,3,0)*0.475*44/12</f>
        <v>0.85088837038153586</v>
      </c>
      <c r="AX68" s="21">
        <f t="shared" ref="AX68:AX131" si="60">SUM(AU68:AW68)</f>
        <v>34.516353602330732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263.2720350000003</v>
      </c>
      <c r="BF68" s="13">
        <f t="shared" si="37"/>
        <v>63.419335122362007</v>
      </c>
      <c r="BG68" s="20">
        <f t="shared" ref="BG68:BG131" si="61">(BE68+BF68)*0.475*44/12</f>
        <v>568.987469629781</v>
      </c>
      <c r="BH68" s="59">
        <f t="shared" ref="BH68:BH131" si="62">BG68+(AY68+AZ68)*44/12</f>
        <v>832.93067574623615</v>
      </c>
      <c r="BI68" s="59">
        <f ca="1">AVERAGE(OFFSET($BH$3,0,0,'Données projet'!$E$11+1,1))-AVERAGE(OFFSET($H$3,0,0,'Données projet'!$E$11+1,1))</f>
        <v>711.91538686535682</v>
      </c>
      <c r="BJ68" s="59">
        <f t="shared" si="38"/>
        <v>313.24593837351722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31.59374429459848</v>
      </c>
      <c r="BR68" s="21">
        <f>EXP(-LN(2)/2)*BR67+(1-EXP(-LN(2)/2))/(LN(2)/2)*BL68*BO68*VLOOKUP('Données projet'!$B$11,Paramètres!$A$1:$I$89,3,0)*0.475*44/12</f>
        <v>0.79852600912728755</v>
      </c>
      <c r="BS68" s="22">
        <f t="shared" ref="BS68:BS131" si="63">SUM(BP68:BR68)</f>
        <v>32.392270303725766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10.107499999999998</v>
      </c>
      <c r="BY68" s="12">
        <f>IF('Données projet'!$A$114&gt;35,BY67+BX68-CG67,IF(A68&lt;'Données projet'!$A$114,$BV$205^A68,IF(A68='Données projet'!$A$114,'Données projet'!$B$114,BY67+BX68-CG67)))</f>
        <v>276.66250000000031</v>
      </c>
      <c r="BZ68" s="13">
        <f>BY68*VLOOKUP('Données projet'!$B$12,Paramètres!$A$1:$I$89,3,0)*VLOOKUP('Données projet'!$B$12,Paramètres!$A$1:$I$89,5,0)</f>
        <v>267.58797000000027</v>
      </c>
      <c r="CA68" s="13">
        <f t="shared" si="39"/>
        <v>64.337108610240719</v>
      </c>
      <c r="CB68" s="20">
        <f t="shared" ref="CB68:CB131" si="64">(BZ68+CA68)*0.475*44/12</f>
        <v>578.10284524616964</v>
      </c>
      <c r="CC68" s="59">
        <f t="shared" ref="CC68:CC131" si="65">CB68+(BT68+BU68)*44/12</f>
        <v>842.04605136262489</v>
      </c>
      <c r="CD68" s="59">
        <f ca="1">AVERAGE(OFFSET($CC$3,0,0,'Données projet'!$E$12+1,1))-AVERAGE(OFFSET($H$3,0,0,'Données projet'!$E$12+1,1))</f>
        <v>722.05521609092671</v>
      </c>
      <c r="CE68" s="59">
        <f t="shared" si="40"/>
        <v>317.36319714884644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32.111674528936163</v>
      </c>
      <c r="CM68" s="21">
        <f>EXP(-LN(2)/2)*CM67+(1-EXP(-LN(2)/2))/(LN(2)/2)*CG68*CJ68*VLOOKUP('Données projet'!$B$12,Paramètres!$A$1:$I$89,3,0)*0.475*44/12</f>
        <v>0.81161659944084974</v>
      </c>
      <c r="CN68" s="22">
        <f t="shared" ref="CN68:CN131" si="66">SUM(CK68:CM68)</f>
        <v>32.923291128377016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10.107499999999998</v>
      </c>
      <c r="CT68" s="12">
        <f>IF('Données projet'!$A$140&gt;35,CT67+CS68-DB67,IF(A68&lt;'Données projet'!$A$140,$CQ$205^A68,IF(A68='Données projet'!$A$140,'Données projet'!$B$140,CT67+CS68-DB67)))</f>
        <v>276.66250000000031</v>
      </c>
      <c r="CU68" s="17">
        <f>CT68*VLOOKUP('Données projet'!$B$13,Paramètres!$A$1:$I$89,3,0)*VLOOKUP('Données projet'!$B$13,Paramètres!$A$1:$I$89,5,0)</f>
        <v>297.79951500000033</v>
      </c>
      <c r="CV68" s="13">
        <f t="shared" si="41"/>
        <v>70.714959829617527</v>
      </c>
      <c r="CW68" s="20">
        <f t="shared" ref="CW68:CW131" si="67">(CU68+CV68)*0.475*44/12</f>
        <v>641.82937699491765</v>
      </c>
      <c r="CX68" s="59">
        <f t="shared" ref="CX68:CX131" si="68">CW68+(CO68+CP68)*44/12</f>
        <v>905.7725831113728</v>
      </c>
      <c r="CY68" s="59">
        <f ca="1">AVERAGE(OFFSET($CX$3,0,0,'Données projet'!$E$13+1,1))-AVERAGE(OFFSET($H$3,0,0,'Données projet'!$E$13+1,1))</f>
        <v>792.94606354161886</v>
      </c>
      <c r="CZ68" s="59">
        <f t="shared" si="42"/>
        <v>346.14443498270919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35.73718616929991</v>
      </c>
      <c r="DH68" s="21">
        <f>EXP(-LN(2)/2)*DH67+(1-EXP(-LN(2)/2))/(LN(2)/2)*DB68*DE68*VLOOKUP('Données projet'!$B$13,Paramètres!$A$1:$I$89,3,0)*0.475*44/12</f>
        <v>0.90325073163578451</v>
      </c>
      <c r="DI68" s="22">
        <f t="shared" ref="DI68:DI131" si="69">SUM(DF68:DH68)</f>
        <v>36.640436900935697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125</v>
      </c>
      <c r="DM68" s="12">
        <f>VLOOKUP(A68,'Données projet'!$A$165:$I$185,9,0)</f>
        <v>2.8205128205128176</v>
      </c>
      <c r="DN68" s="12">
        <f t="array" ref="DN68">INDEX(DM:DM,MIN(IF(ISNUMBER(DM68:DM264),ROW(DM68:DM264),"")))</f>
        <v>2.8205128205128176</v>
      </c>
      <c r="DO68" s="12">
        <f>IF('Données projet'!$A$166&gt;35,DO67+DN68-DW67,IF(A68&lt;'Données projet'!$A$166,$DL$205^A68,IF(A68='Données projet'!$A$166,'Données projet'!$B$166,DO67+DN68-DW67)))</f>
        <v>124.99999999999991</v>
      </c>
      <c r="DP68" s="17">
        <f>DO68*VLOOKUP('Données projet'!$B$14,Paramètres!$A$1:$I$89,3,0)*VLOOKUP('Données projet'!$B$14,Paramètres!$A$1:$I$89,5,0)</f>
        <v>130.64999999999992</v>
      </c>
      <c r="DQ68" s="13">
        <f t="shared" si="43"/>
        <v>34.146511621978362</v>
      </c>
      <c r="DR68" s="20">
        <f t="shared" ref="DR68:DR131" si="70">(DP68+DQ68)*0.475*44/12</f>
        <v>287.02059107494546</v>
      </c>
      <c r="DS68" s="59">
        <f t="shared" ref="DS68:DS131" si="71">DR68+(DJ68+DK68)*44/12</f>
        <v>550.96379719140066</v>
      </c>
      <c r="DT68" s="59">
        <f ca="1">AVERAGE(OFFSET($DS$3,0,0,'Données projet'!$E$14+1,1))-AVERAGE(OFFSET($H$3,0,0,'Données projet'!$E$14+1,1))</f>
        <v>269.21114382490202</v>
      </c>
      <c r="DU68" s="59">
        <f t="shared" si="44"/>
        <v>233.07776944102309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9.615384615384615</v>
      </c>
      <c r="DX68" s="16">
        <f>IF(ISNA(VLOOKUP(A68,'Données projet'!$A$165:$I$185,5,0)),0%,VLOOKUP(A68,'Données projet'!$A$165:$I$185,5,0)*VLOOKUP('Données projet'!$B$14,Paramètres!$A$1:$I$89,7,0))</f>
        <v>4.3000000000000003E-2</v>
      </c>
      <c r="DY68" s="16">
        <f>IF(ISNA(VLOOKUP(A68,'Données projet'!$A$165:$I$185,6,0)),0%,VLOOKUP(A68,'Données projet'!$A$165:$I$185,6,0)*VLOOKUP('Données projet'!$B$14,Paramètres!$A$1:$I$89,7,0))</f>
        <v>0.215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0.47772902451516441</v>
      </c>
      <c r="EB68" s="21">
        <f>EXP(-LN(2)/25)*EB67+(1-EXP(-LN(2)/25))/(LN(2)/25)*Calculateur!DW68*Calculateur!DY68*VLOOKUP('Données projet'!$B$14,Paramètres!$A$1:$I$89,3,0)*0.475*44/12</f>
        <v>16.730883041276467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17.20861206579163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10.107499999999998</v>
      </c>
      <c r="FE68" s="12">
        <f>IF('Données projet'!$A$218&gt;35,FE67+FD68-FM67,IF(A68&lt;'Données projet'!$A$218,$FB$205^A68,IF(A68='Données projet'!$A$218,'Données projet'!$B$218,FE67+FD68-FM67)))</f>
        <v>276.66250000000031</v>
      </c>
      <c r="FF68" s="17">
        <f>FE68*VLOOKUP('Données projet'!$B$16,Paramètres!$A$1:$I$89,3,0)*VLOOKUP('Données projet'!$B$16,Paramètres!$A$1:$I$89,5,0)</f>
        <v>315.06325500000031</v>
      </c>
      <c r="FG68" s="13">
        <f t="shared" si="47"/>
        <v>74.325240238442987</v>
      </c>
      <c r="FH68" s="20">
        <f t="shared" ref="FH68:FH131" si="76">(FF68+FG68)*0.475*44/12</f>
        <v>678.18496254028867</v>
      </c>
      <c r="FI68" s="59">
        <f t="shared" ref="FI68:FI131" si="77">FH68+(EZ68+FA68)*44/12</f>
        <v>942.12816865674381</v>
      </c>
      <c r="FJ68" s="59">
        <f ca="1">AVERAGE(OFFSET($FI$3,0,0,'Données projet'!$E$16+1,1))-AVERAGE(OFFSET($H$3,0,0,'Données projet'!$E$16+1,1))</f>
        <v>833.39050463936144</v>
      </c>
      <c r="FK68" s="59">
        <f t="shared" si="48"/>
        <v>362.56178526355507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37.808907106650643</v>
      </c>
      <c r="FS68" s="21">
        <f>EXP(-LN(2)/2)*FS67+(1-EXP(-LN(2)/2))/(LN(2)/2)*FM68*FP68*VLOOKUP('Données projet'!$B$16,Paramètres!$A$1:$I$89,3,0)*0.475*44/12</f>
        <v>0.95561309289003304</v>
      </c>
      <c r="FT68" s="22">
        <f t="shared" ref="FT68:FT131" si="78">SUM(FQ68:FS68)</f>
        <v>38.764520199540677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825.40693167601057</v>
      </c>
      <c r="S69" s="59">
        <f ca="1">AVERAGE(OFFSET($R$3,0,0,'Données projet'!$E$9+1,1))-AVERAGE(OFFSET($H$3,0,0,'Données projet'!$E$9+1,1))</f>
        <v>681.47578137804555</v>
      </c>
      <c r="T69" s="59">
        <f t="shared" ref="T69:T132" si="88">$T$3</f>
        <v>300.88511065995885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290.78478000000035</v>
      </c>
      <c r="AK69" s="13">
        <f t="shared" ref="AK69:AK132" si="89">EXP(-1.0587+0.8836*LN(AJ69)+0.284)</f>
        <v>69.241105574743742</v>
      </c>
      <c r="AL69" s="20">
        <f t="shared" si="58"/>
        <v>627.04508404267926</v>
      </c>
      <c r="AM69" s="59">
        <f t="shared" si="59"/>
        <v>891.49814315986634</v>
      </c>
      <c r="AN69" s="59">
        <f ca="1">AVERAGE(OFFSET($AM$3,0,0,'Données projet'!$E$10+1,1))-AVERAGE(OFFSET($H$3,0,0,'Données projet'!$E$10+1,1))</f>
        <v>752.45542076695506</v>
      </c>
      <c r="AO69" s="59">
        <f t="shared" ref="AO69:AO132" si="90">$AO$3</f>
        <v>329.70629768420724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9.0559511774797787</v>
      </c>
      <c r="AV69" s="21">
        <f>EXP(-LN(2)/25)*AV68+(1-EXP(-LN(2)/25))/(LN(2)/25)*Calculateur!AQ69*Calculateur!AS69*VLOOKUP('Données projet'!$B$10,Paramètres!$A$1:$I$89,3,0)*0.475*44/12</f>
        <v>37.899335284566604</v>
      </c>
      <c r="AW69" s="21">
        <f>EXP(-LN(2)/2)*AW68+(1-EXP(-LN(2)/2))/(LN(2)/2)*AQ69*AT69*VLOOKUP('Données projet'!$B$10,Paramètres!$A$1:$I$89,3,0)*0.475*44/12</f>
        <v>5.7374293490177015</v>
      </c>
      <c r="AX69" s="21">
        <f t="shared" si="60"/>
        <v>52.692715811064083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272.89033200000034</v>
      </c>
      <c r="BF69" s="13">
        <f t="shared" ref="BF69:BF132" si="91">EXP(-1.0587+0.8836*LN(BE69)+0.284)</f>
        <v>65.462290033470751</v>
      </c>
      <c r="BG69" s="20">
        <f t="shared" si="61"/>
        <v>589.2974833749621</v>
      </c>
      <c r="BH69" s="59">
        <f t="shared" si="62"/>
        <v>853.75054249214918</v>
      </c>
      <c r="BI69" s="59">
        <f ca="1">AVERAGE(OFFSET($BH$3,0,0,'Données projet'!$E$11+1,1))-AVERAGE(OFFSET($H$3,0,0,'Données projet'!$E$11+1,1))</f>
        <v>711.91538686535682</v>
      </c>
      <c r="BJ69" s="59">
        <f t="shared" ref="BJ69:BJ132" si="92">$BJ$3</f>
        <v>313.24593837351722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8.4986618742502529</v>
      </c>
      <c r="BQ69" s="21">
        <f>EXP(-LN(2)/25)*BQ68+(1-EXP(-LN(2)/25))/(LN(2)/25)*Calculateur!BL69*Calculateur!BN69*VLOOKUP('Données projet'!$B$11,Paramètres!$A$1:$I$89,3,0)*0.475*44/12</f>
        <v>35.567068497824039</v>
      </c>
      <c r="BR69" s="21">
        <f>EXP(-LN(2)/2)*BR68+(1-EXP(-LN(2)/2))/(LN(2)/2)*BL69*BO69*VLOOKUP('Données projet'!$B$11,Paramètres!$A$1:$I$89,3,0)*0.475*44/12</f>
        <v>5.3843567736935345</v>
      </c>
      <c r="BS69" s="22">
        <f t="shared" si="63"/>
        <v>49.450087145767824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10.107499999999998</v>
      </c>
      <c r="BX69" s="12">
        <f t="array" ref="BX69">INDEX(BW:BW,MIN(IF(ISNUMBER(BW69:BW265),ROW(BW69:BW265),"")))</f>
        <v>10.107499999999998</v>
      </c>
      <c r="BY69" s="12">
        <f>IF('Données projet'!$A$114&gt;35,BY68+BX69-CG68,IF(A69&lt;'Données projet'!$A$114,$BV$205^A69,IF(A69='Données projet'!$A$114,'Données projet'!$B$114,BY68+BX69-CG68)))</f>
        <v>286.77000000000032</v>
      </c>
      <c r="BZ69" s="13">
        <f>BY69*VLOOKUP('Données projet'!$B$12,Paramètres!$A$1:$I$89,3,0)*VLOOKUP('Données projet'!$B$12,Paramètres!$A$1:$I$89,5,0)</f>
        <v>277.36394400000034</v>
      </c>
      <c r="CA69" s="13">
        <f t="shared" ref="CA69:CA132" si="93">EXP(-1.0587+0.8836*LN(BZ69)+0.284)</f>
        <v>66.409628162018265</v>
      </c>
      <c r="CB69" s="20">
        <f t="shared" si="64"/>
        <v>598.73897151551569</v>
      </c>
      <c r="CC69" s="59">
        <f t="shared" si="65"/>
        <v>863.19203063270277</v>
      </c>
      <c r="CD69" s="59">
        <f ca="1">AVERAGE(OFFSET($CC$3,0,0,'Données projet'!$E$12+1,1))-AVERAGE(OFFSET($H$3,0,0,'Données projet'!$E$12+1,1))</f>
        <v>722.05521609092671</v>
      </c>
      <c r="CE69" s="59">
        <f t="shared" ref="CE69:CE132" si="94">$CE$3</f>
        <v>317.36319714884644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53.679999999999978</v>
      </c>
      <c r="CH69" s="16">
        <f>IF(ISNA(VLOOKUP(A69,'Données projet'!$A$113:$I$133,5,0)),0%,VLOOKUP(A69,'Données projet'!$A$113:$I$133,5,0)*VLOOKUP('Données projet'!$B$12,Paramètres!$A$1:$I$89,7,0))</f>
        <v>0.15049999999999999</v>
      </c>
      <c r="CI69" s="16">
        <f>IF(ISNA(VLOOKUP(A69,'Données projet'!$A$113:$I$133,6,0)),0%,VLOOKUP(A69,'Données projet'!$A$113:$I$133,6,0)*VLOOKUP('Données projet'!$B$12,Paramètres!$A$1:$I$89,7,0))</f>
        <v>8.6000000000000007E-2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8.6379842000576357</v>
      </c>
      <c r="CL69" s="21">
        <f>EXP(-LN(2)/25)*CL68+(1-EXP(-LN(2)/25))/(LN(2)/25)*Calculateur!CG69*Calculateur!CI69*VLOOKUP('Données projet'!$B$12,Paramètres!$A$1:$I$89,3,0)*0.475*44/12</f>
        <v>36.150135194509687</v>
      </c>
      <c r="CM69" s="21">
        <f>EXP(-LN(2)/2)*CM68+(1-EXP(-LN(2)/2))/(LN(2)/2)*CG69*CJ69*VLOOKUP('Données projet'!$B$12,Paramètres!$A$1:$I$89,3,0)*0.475*44/12</f>
        <v>5.472624917524576</v>
      </c>
      <c r="CN69" s="22">
        <f t="shared" si="66"/>
        <v>50.260744312091902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286.77</v>
      </c>
      <c r="CR69" s="12">
        <f>VLOOKUP(A69,'Données projet'!$A$139:$I$159,9,0)</f>
        <v>10.107499999999998</v>
      </c>
      <c r="CS69" s="12">
        <f t="array" ref="CS69">INDEX(CR:CR,MIN(IF(ISNUMBER(CR69:CR265),ROW(CR69:CR265),"")))</f>
        <v>10.107499999999998</v>
      </c>
      <c r="CT69" s="12">
        <f>IF('Données projet'!$A$140&gt;35,CT68+CS69-DB68,IF(A69&lt;'Données projet'!$A$140,$CQ$205^A69,IF(A69='Données projet'!$A$140,'Données projet'!$B$140,CT68+CS69-DB68)))</f>
        <v>286.77000000000032</v>
      </c>
      <c r="CU69" s="17">
        <f>CT69*VLOOKUP('Données projet'!$B$13,Paramètres!$A$1:$I$89,3,0)*VLOOKUP('Données projet'!$B$13,Paramètres!$A$1:$I$89,5,0)</f>
        <v>308.67922800000036</v>
      </c>
      <c r="CV69" s="13">
        <f t="shared" ref="CV69:CV132" si="95">EXP(-1.0587+0.8836*LN(CU69)+0.284)</f>
        <v>72.992931905389653</v>
      </c>
      <c r="CW69" s="20">
        <f t="shared" si="67"/>
        <v>664.7456785018876</v>
      </c>
      <c r="CX69" s="59">
        <f t="shared" si="68"/>
        <v>929.19873761907468</v>
      </c>
      <c r="CY69" s="59">
        <f ca="1">AVERAGE(OFFSET($CX$3,0,0,'Données projet'!$E$13+1,1))-AVERAGE(OFFSET($H$3,0,0,'Données projet'!$E$13+1,1))</f>
        <v>792.94606354161886</v>
      </c>
      <c r="CZ69" s="59">
        <f t="shared" ref="CZ69:CZ132" si="96">$CZ$3</f>
        <v>346.14443498270919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53.679999999999978</v>
      </c>
      <c r="DC69" s="16">
        <f>IF(ISNA(VLOOKUP(A69,'Données projet'!$A$139:$I$159,5,0)),0%,VLOOKUP(A69,'Données projet'!$A$139:$I$159,5,0)*VLOOKUP('Données projet'!$B$13,Paramètres!$A$1:$I$89,7,0))</f>
        <v>0.15049999999999999</v>
      </c>
      <c r="DD69" s="16">
        <f>IF(ISNA(VLOOKUP(A69,'Données projet'!$A$139:$I$159,6,0)),0%,VLOOKUP(A69,'Données projet'!$A$139:$I$159,6,0)*VLOOKUP('Données projet'!$B$13,Paramètres!$A$1:$I$89,7,0))</f>
        <v>8.6000000000000007E-2</v>
      </c>
      <c r="DE69" s="16">
        <f>IF(ISNA(VLOOKUP(A69,'Données projet'!$A$139:$I$159,7,0)),0%,VLOOKUP(A69,'Données projet'!$A$139:$I$159,7,0))</f>
        <v>0.1</v>
      </c>
      <c r="DF69" s="21">
        <f>EXP(-LN(2)/35)*DF68+(1-EXP(-LN(2)/35))/(LN(2)/35)*DB69*DC69*VLOOKUP('Données projet'!$B$13,Paramètres!$A$1:$I$89,3,0)*0.475*44/12</f>
        <v>9.6132404807093046</v>
      </c>
      <c r="DG69" s="21">
        <f>EXP(-LN(2)/25)*DG68+(1-EXP(-LN(2)/25))/(LN(2)/25)*Calculateur!DB69*Calculateur!DD69*VLOOKUP('Données projet'!$B$13,Paramètres!$A$1:$I$89,3,0)*0.475*44/12</f>
        <v>40.231602071309155</v>
      </c>
      <c r="DH69" s="21">
        <f>EXP(-LN(2)/2)*DH68+(1-EXP(-LN(2)/2))/(LN(2)/2)*DB69*DE69*VLOOKUP('Données projet'!$B$13,Paramètres!$A$1:$I$89,3,0)*0.475*44/12</f>
        <v>6.0905019243418677</v>
      </c>
      <c r="DI69" s="22">
        <f t="shared" si="69"/>
        <v>55.935344476360328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2.6923076923076907</v>
      </c>
      <c r="DO69" s="12">
        <f>IF('Données projet'!$A$166&gt;35,DO68+DN69-DW68,IF(A69&lt;'Données projet'!$A$166,$DL$205^A69,IF(A69='Données projet'!$A$166,'Données projet'!$B$166,DO68+DN69-DW68)))</f>
        <v>118.07692307692299</v>
      </c>
      <c r="DP69" s="17">
        <f>DO69*VLOOKUP('Données projet'!$B$14,Paramètres!$A$1:$I$89,3,0)*VLOOKUP('Données projet'!$B$14,Paramètres!$A$1:$I$89,5,0)</f>
        <v>123.41399999999993</v>
      </c>
      <c r="DQ69" s="13">
        <f t="shared" ref="DQ69:DQ132" si="97">EXP(-1.0587+0.8836*LN(DP69)+0.284)</f>
        <v>32.469954043567462</v>
      </c>
      <c r="DR69" s="20">
        <f t="shared" si="70"/>
        <v>271.49788662587986</v>
      </c>
      <c r="DS69" s="59">
        <f t="shared" si="71"/>
        <v>535.950945743067</v>
      </c>
      <c r="DT69" s="59">
        <f ca="1">AVERAGE(OFFSET($DS$3,0,0,'Données projet'!$E$14+1,1))-AVERAGE(OFFSET($H$3,0,0,'Données projet'!$E$14+1,1))</f>
        <v>269.21114382490202</v>
      </c>
      <c r="DU69" s="59">
        <f t="shared" ref="DU69:DU132" si="98">$DU$3</f>
        <v>233.07776944102309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0.46836104973035503</v>
      </c>
      <c r="EB69" s="21">
        <f>EXP(-LN(2)/25)*EB68+(1-EXP(-LN(2)/25))/(LN(2)/25)*Calculateur!DW69*Calculateur!DY69*VLOOKUP('Données projet'!$B$14,Paramètres!$A$1:$I$89,3,0)*0.475*44/12</f>
        <v>16.273376164673863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16.741737214404218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286.77</v>
      </c>
      <c r="FC69" s="12">
        <f>VLOOKUP(A69,'Données projet'!$A$217:$I$237,9,0)</f>
        <v>10.107499999999998</v>
      </c>
      <c r="FD69" s="12">
        <f t="array" ref="FD69">INDEX(FC:FC,MIN(IF(ISNUMBER(FC69:FC265),ROW(FC69:FC265),"")))</f>
        <v>10.107499999999998</v>
      </c>
      <c r="FE69" s="12">
        <f>IF('Données projet'!$A$218&gt;35,FE68+FD69-FM68,IF(A69&lt;'Données projet'!$A$218,$FB$205^A69,IF(A69='Données projet'!$A$218,'Données projet'!$B$218,FE68+FD69-FM68)))</f>
        <v>286.77000000000032</v>
      </c>
      <c r="FF69" s="17">
        <f>FE69*VLOOKUP('Données projet'!$B$16,Paramètres!$A$1:$I$89,3,0)*VLOOKUP('Données projet'!$B$16,Paramètres!$A$1:$I$89,5,0)</f>
        <v>326.57367600000038</v>
      </c>
      <c r="FG69" s="13">
        <f t="shared" ref="FG69:FG132" si="101">EXP(-1.0587+0.8836*LN(FF69)+0.284)</f>
        <v>76.719511863515947</v>
      </c>
      <c r="FH69" s="20">
        <f t="shared" si="76"/>
        <v>702.4023021956242</v>
      </c>
      <c r="FI69" s="59">
        <f t="shared" si="77"/>
        <v>966.85536131281128</v>
      </c>
      <c r="FJ69" s="59">
        <f ca="1">AVERAGE(OFFSET($FI$3,0,0,'Données projet'!$E$16+1,1))-AVERAGE(OFFSET($H$3,0,0,'Données projet'!$E$16+1,1))</f>
        <v>833.39050463936144</v>
      </c>
      <c r="FK69" s="59">
        <f t="shared" ref="FK69:FK132" si="102">$FK$3</f>
        <v>362.56178526355507</v>
      </c>
      <c r="FL69" s="15">
        <f>IF(ISNA(VLOOKUP(A69,'Données projet'!$A$217:$I$237,3,0)),0,VLOOKUP(A69,'Données projet'!$A$217:$I$237,3,0))</f>
        <v>4</v>
      </c>
      <c r="FM69" s="15">
        <f>IF(ISNA(VLOOKUP(A69,'Données projet'!$A$217:$I$237,4,0)),0,VLOOKUP(A69,'Données projet'!$A$217:$I$237,4,0))</f>
        <v>53.679999999999978</v>
      </c>
      <c r="FN69" s="16">
        <f>IF(ISNA(VLOOKUP(A69,'Données projet'!$A$217:$I$237,5,0)),0%,VLOOKUP(A69,'Données projet'!$A$217:$I$237,5,0)*VLOOKUP('Données projet'!$B$16,Paramètres!$A$1:$I$89,7,0))</f>
        <v>0.15049999999999999</v>
      </c>
      <c r="FO69" s="16">
        <f>IF(ISNA(VLOOKUP(A69,'Données projet'!$A$217:$I$237,6,0)),0%,VLOOKUP(A69,'Données projet'!$A$217:$I$237,6,0)*VLOOKUP('Données projet'!$B$16,Paramètres!$A$1:$I$89,7,0))</f>
        <v>8.6000000000000007E-2</v>
      </c>
      <c r="FP69" s="16">
        <f>IF(ISNA(VLOOKUP(A69,'Données projet'!$A$217:$I$237,7,0)),0%,VLOOKUP(A69,'Données projet'!$A$217:$I$237,7,0))</f>
        <v>0.1</v>
      </c>
      <c r="FQ69" s="21">
        <f>EXP(-LN(2)/35)*FQ68+(1-EXP(-LN(2)/35))/(LN(2)/35)*FM69*FN69*VLOOKUP('Données projet'!$B$16,Paramètres!$A$1:$I$89,3,0)*0.475*44/12</f>
        <v>10.170529783938829</v>
      </c>
      <c r="FR69" s="21">
        <f>EXP(-LN(2)/25)*FR68+(1-EXP(-LN(2)/25))/(LN(2)/25)*Calculateur!FM69*Calculateur!FO69*VLOOKUP('Données projet'!$B$16,Paramètres!$A$1:$I$89,3,0)*0.475*44/12</f>
        <v>42.563868858051727</v>
      </c>
      <c r="FS69" s="21">
        <f>EXP(-LN(2)/2)*FS68+(1-EXP(-LN(2)/2))/(LN(2)/2)*FM69*FP69*VLOOKUP('Données projet'!$B$16,Paramètres!$A$1:$I$89,3,0)*0.475*44/12</f>
        <v>6.4435744996660347</v>
      </c>
      <c r="FT69" s="22">
        <f t="shared" si="78"/>
        <v>59.177973141656587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741.74944613631033</v>
      </c>
      <c r="S70" s="59">
        <f ca="1">AVERAGE(OFFSET($R$3,0,0,'Données projet'!$E$9+1,1))-AVERAGE(OFFSET($H$3,0,0,'Données projet'!$E$9+1,1))</f>
        <v>681.47578137804555</v>
      </c>
      <c r="T70" s="59">
        <f t="shared" si="88"/>
        <v>300.88511065995885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246.22328250000032</v>
      </c>
      <c r="AK70" s="13">
        <f t="shared" si="89"/>
        <v>59.776498563165894</v>
      </c>
      <c r="AL70" s="20">
        <f t="shared" si="58"/>
        <v>532.94961868501457</v>
      </c>
      <c r="AM70" s="59">
        <f t="shared" si="59"/>
        <v>797.90368599323142</v>
      </c>
      <c r="AN70" s="59">
        <f ca="1">AVERAGE(OFFSET($AM$3,0,0,'Données projet'!$E$10+1,1))-AVERAGE(OFFSET($H$3,0,0,'Données projet'!$E$10+1,1))</f>
        <v>752.45542076695506</v>
      </c>
      <c r="AO70" s="59">
        <f t="shared" si="90"/>
        <v>329.70629768420724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8.8783694984742105</v>
      </c>
      <c r="AV70" s="21">
        <f>EXP(-LN(2)/25)*AV69+(1-EXP(-LN(2)/25))/(LN(2)/25)*Calculateur!AQ70*Calculateur!AS70*VLOOKUP('Données projet'!$B$10,Paramètres!$A$1:$I$89,3,0)*0.475*44/12</f>
        <v>36.862975968170709</v>
      </c>
      <c r="AW70" s="21">
        <f>EXP(-LN(2)/2)*AW69+(1-EXP(-LN(2)/2))/(LN(2)/2)*AQ70*AT70*VLOOKUP('Données projet'!$B$10,Paramètres!$A$1:$I$89,3,0)*0.475*44/12</f>
        <v>4.0569751992691359</v>
      </c>
      <c r="AX70" s="21">
        <f t="shared" si="60"/>
        <v>49.798320665914048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231.07108050000033</v>
      </c>
      <c r="BF70" s="13">
        <f t="shared" si="91"/>
        <v>56.514211517076802</v>
      </c>
      <c r="BG70" s="20">
        <f t="shared" si="61"/>
        <v>500.87771692974269</v>
      </c>
      <c r="BH70" s="59">
        <f t="shared" si="62"/>
        <v>765.8317842379596</v>
      </c>
      <c r="BI70" s="59">
        <f ca="1">AVERAGE(OFFSET($BH$3,0,0,'Données projet'!$E$11+1,1))-AVERAGE(OFFSET($H$3,0,0,'Données projet'!$E$11+1,1))</f>
        <v>711.91538686535682</v>
      </c>
      <c r="BJ70" s="59">
        <f t="shared" si="92"/>
        <v>313.24593837351722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8.3320082985681037</v>
      </c>
      <c r="BQ70" s="21">
        <f>EXP(-LN(2)/25)*BQ69+(1-EXP(-LN(2)/25))/(LN(2)/25)*Calculateur!BL70*Calculateur!BN70*VLOOKUP('Données projet'!$B$11,Paramètres!$A$1:$I$89,3,0)*0.475*44/12</f>
        <v>34.594485139360195</v>
      </c>
      <c r="BR70" s="21">
        <f>EXP(-LN(2)/2)*BR69+(1-EXP(-LN(2)/2))/(LN(2)/2)*BL70*BO70*VLOOKUP('Données projet'!$B$11,Paramètres!$A$1:$I$89,3,0)*0.475*44/12</f>
        <v>3.8073151870064192</v>
      </c>
      <c r="BS70" s="22">
        <f t="shared" si="63"/>
        <v>46.733808624934717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9.733749999999997</v>
      </c>
      <c r="BY70" s="12">
        <f>IF('Données projet'!$A$114&gt;35,BY69+BX70-CG69,IF(A70&lt;'Données projet'!$A$114,$BV$205^A70,IF(A70='Données projet'!$A$114,'Données projet'!$B$114,BY69+BX70-CG69)))</f>
        <v>242.82375000000033</v>
      </c>
      <c r="BZ70" s="13">
        <f>BY70*VLOOKUP('Données projet'!$B$12,Paramètres!$A$1:$I$89,3,0)*VLOOKUP('Données projet'!$B$12,Paramètres!$A$1:$I$89,5,0)</f>
        <v>234.85913100000033</v>
      </c>
      <c r="CA70" s="13">
        <f t="shared" si="93"/>
        <v>57.332057445588504</v>
      </c>
      <c r="CB70" s="20">
        <f t="shared" si="64"/>
        <v>508.89965320940058</v>
      </c>
      <c r="CC70" s="59">
        <f t="shared" si="65"/>
        <v>773.85372051761749</v>
      </c>
      <c r="CD70" s="59">
        <f ca="1">AVERAGE(OFFSET($CC$3,0,0,'Données projet'!$E$12+1,1))-AVERAGE(OFFSET($H$3,0,0,'Données projet'!$E$12+1,1))</f>
        <v>722.05521609092671</v>
      </c>
      <c r="CE70" s="59">
        <f t="shared" si="94"/>
        <v>317.36319714884644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8.4685985985446308</v>
      </c>
      <c r="CL70" s="21">
        <f>EXP(-LN(2)/25)*CL69+(1-EXP(-LN(2)/25))/(LN(2)/25)*Calculateur!CG70*Calculateur!CI70*VLOOKUP('Données projet'!$B$12,Paramètres!$A$1:$I$89,3,0)*0.475*44/12</f>
        <v>35.161607846562831</v>
      </c>
      <c r="CM70" s="21">
        <f>EXP(-LN(2)/2)*CM69+(1-EXP(-LN(2)/2))/(LN(2)/2)*CG70*CJ70*VLOOKUP('Données projet'!$B$12,Paramètres!$A$1:$I$89,3,0)*0.475*44/12</f>
        <v>3.8697301900720982</v>
      </c>
      <c r="CN70" s="22">
        <f t="shared" si="66"/>
        <v>47.499936635179559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9.733749999999997</v>
      </c>
      <c r="CT70" s="12">
        <f>IF('Données projet'!$A$140&gt;35,CT69+CS70-DB69,IF(A70&lt;'Données projet'!$A$140,$CQ$205^A70,IF(A70='Données projet'!$A$140,'Données projet'!$B$140,CT69+CS70-DB69)))</f>
        <v>242.82375000000033</v>
      </c>
      <c r="CU70" s="17">
        <f>CT70*VLOOKUP('Données projet'!$B$13,Paramètres!$A$1:$I$89,3,0)*VLOOKUP('Données projet'!$B$13,Paramètres!$A$1:$I$89,5,0)</f>
        <v>261.37548450000037</v>
      </c>
      <c r="CV70" s="13">
        <f t="shared" si="95"/>
        <v>63.015485569533226</v>
      </c>
      <c r="CW70" s="20">
        <f t="shared" si="67"/>
        <v>564.98093953777095</v>
      </c>
      <c r="CX70" s="59">
        <f t="shared" si="68"/>
        <v>829.9350068459878</v>
      </c>
      <c r="CY70" s="59">
        <f ca="1">AVERAGE(OFFSET($CX$3,0,0,'Données projet'!$E$13+1,1))-AVERAGE(OFFSET($H$3,0,0,'Données projet'!$E$13+1,1))</f>
        <v>792.94606354161886</v>
      </c>
      <c r="CZ70" s="59">
        <f t="shared" si="96"/>
        <v>346.14443498270919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9.4247306983803156</v>
      </c>
      <c r="DG70" s="21">
        <f>EXP(-LN(2)/25)*DG69+(1-EXP(-LN(2)/25))/(LN(2)/25)*Calculateur!DB70*Calculateur!DD70*VLOOKUP('Données projet'!$B$13,Paramètres!$A$1:$I$89,3,0)*0.475*44/12</f>
        <v>39.131466796981201</v>
      </c>
      <c r="DH70" s="21">
        <f>EXP(-LN(2)/2)*DH69+(1-EXP(-LN(2)/2))/(LN(2)/2)*DB70*DE70*VLOOKUP('Données projet'!$B$13,Paramètres!$A$1:$I$89,3,0)*0.475*44/12</f>
        <v>4.3066352115318516</v>
      </c>
      <c r="DI70" s="22">
        <f t="shared" si="69"/>
        <v>52.862832706893371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2.6923076923076907</v>
      </c>
      <c r="DO70" s="12">
        <f>IF('Données projet'!$A$166&gt;35,DO69+DN70-DW69,IF(A70&lt;'Données projet'!$A$166,$DL$205^A70,IF(A70='Données projet'!$A$166,'Données projet'!$B$166,DO69+DN70-DW69)))</f>
        <v>120.76923076923069</v>
      </c>
      <c r="DP70" s="17">
        <f>DO70*VLOOKUP('Données projet'!$B$14,Paramètres!$A$1:$I$89,3,0)*VLOOKUP('Données projet'!$B$14,Paramètres!$A$1:$I$89,5,0)</f>
        <v>126.22799999999992</v>
      </c>
      <c r="DQ70" s="13">
        <f t="shared" si="97"/>
        <v>33.123272875637802</v>
      </c>
      <c r="DR70" s="20">
        <f t="shared" si="70"/>
        <v>277.53680025840237</v>
      </c>
      <c r="DS70" s="59">
        <f t="shared" si="71"/>
        <v>542.49086756661927</v>
      </c>
      <c r="DT70" s="59">
        <f ca="1">AVERAGE(OFFSET($DS$3,0,0,'Données projet'!$E$14+1,1))-AVERAGE(OFFSET($H$3,0,0,'Données projet'!$E$14+1,1))</f>
        <v>269.21114382490202</v>
      </c>
      <c r="DU70" s="59">
        <f t="shared" si="98"/>
        <v>233.07776944102309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0.45917677521717531</v>
      </c>
      <c r="EB70" s="21">
        <f>EXP(-LN(2)/25)*EB69+(1-EXP(-LN(2)/25))/(LN(2)/25)*Calculateur!DW70*Calculateur!DY70*VLOOKUP('Données projet'!$B$14,Paramètres!$A$1:$I$89,3,0)*0.475*44/12</f>
        <v>15.828379837671196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16.287556612888373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9.733749999999997</v>
      </c>
      <c r="FE70" s="12">
        <f>IF('Données projet'!$A$218&gt;35,FE69+FD70-FM69,IF(A70&lt;'Données projet'!$A$218,$FB$205^A70,IF(A70='Données projet'!$A$218,'Données projet'!$B$218,FE69+FD70-FM69)))</f>
        <v>242.82375000000033</v>
      </c>
      <c r="FF70" s="17">
        <f>FE70*VLOOKUP('Données projet'!$B$16,Paramètres!$A$1:$I$89,3,0)*VLOOKUP('Données projet'!$B$16,Paramètres!$A$1:$I$89,5,0)</f>
        <v>276.52768650000036</v>
      </c>
      <c r="FG70" s="13">
        <f t="shared" si="101"/>
        <v>66.232677144731198</v>
      </c>
      <c r="FH70" s="20">
        <f t="shared" si="76"/>
        <v>596.97430001457417</v>
      </c>
      <c r="FI70" s="59">
        <f t="shared" si="77"/>
        <v>861.92836732279102</v>
      </c>
      <c r="FJ70" s="59">
        <f ca="1">AVERAGE(OFFSET($FI$3,0,0,'Données projet'!$E$16+1,1))-AVERAGE(OFFSET($H$3,0,0,'Données projet'!$E$16+1,1))</f>
        <v>833.39050463936144</v>
      </c>
      <c r="FK70" s="59">
        <f t="shared" si="102"/>
        <v>362.56178526355507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9.9710918982864207</v>
      </c>
      <c r="FR70" s="21">
        <f>EXP(-LN(2)/25)*FR69+(1-EXP(-LN(2)/25))/(LN(2)/25)*Calculateur!FM70*Calculateur!FO70*VLOOKUP('Données projet'!$B$16,Paramètres!$A$1:$I$89,3,0)*0.475*44/12</f>
        <v>41.399957625791721</v>
      </c>
      <c r="FS70" s="21">
        <f>EXP(-LN(2)/2)*FS69+(1-EXP(-LN(2)/2))/(LN(2)/2)*FM70*FP70*VLOOKUP('Données projet'!$B$16,Paramètres!$A$1:$I$89,3,0)*0.475*44/12</f>
        <v>4.5562952237945682</v>
      </c>
      <c r="FT70" s="22">
        <f t="shared" si="78"/>
        <v>55.927344747872716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760.9075039416382</v>
      </c>
      <c r="S71" s="59">
        <f ca="1">AVERAGE(OFFSET($R$3,0,0,'Données projet'!$E$9+1,1))-AVERAGE(OFFSET($H$3,0,0,'Données projet'!$E$9+1,1))</f>
        <v>681.47578137804555</v>
      </c>
      <c r="T71" s="59">
        <f t="shared" si="88"/>
        <v>300.88511065995885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256.09330500000038</v>
      </c>
      <c r="AK71" s="13">
        <f t="shared" si="89"/>
        <v>61.888896112284726</v>
      </c>
      <c r="AL71" s="20">
        <f t="shared" si="58"/>
        <v>553.81900027056327</v>
      </c>
      <c r="AM71" s="59">
        <f t="shared" si="59"/>
        <v>819.2653843977821</v>
      </c>
      <c r="AN71" s="59">
        <f ca="1">AVERAGE(OFFSET($AM$3,0,0,'Données projet'!$E$10+1,1))-AVERAGE(OFFSET($H$3,0,0,'Données projet'!$E$10+1,1))</f>
        <v>752.45542076695506</v>
      </c>
      <c r="AO71" s="59">
        <f t="shared" si="90"/>
        <v>329.70629768420724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8.7042700878798112</v>
      </c>
      <c r="AV71" s="21">
        <f>EXP(-LN(2)/25)*AV70+(1-EXP(-LN(2)/25))/(LN(2)/25)*Calculateur!AQ71*Calculateur!AS71*VLOOKUP('Données projet'!$B$10,Paramètres!$A$1:$I$89,3,0)*0.475*44/12</f>
        <v>35.854955951781427</v>
      </c>
      <c r="AW71" s="21">
        <f>EXP(-LN(2)/2)*AW70+(1-EXP(-LN(2)/2))/(LN(2)/2)*AQ71*AT71*VLOOKUP('Données projet'!$B$10,Paramètres!$A$1:$I$89,3,0)*0.475*44/12</f>
        <v>2.8687146745088512</v>
      </c>
      <c r="AX71" s="21">
        <f t="shared" si="60"/>
        <v>47.427940714170091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240.33371700000029</v>
      </c>
      <c r="BF71" s="13">
        <f t="shared" si="91"/>
        <v>58.511325512853986</v>
      </c>
      <c r="BG71" s="20">
        <f t="shared" si="61"/>
        <v>520.48844904322118</v>
      </c>
      <c r="BH71" s="59">
        <f t="shared" si="62"/>
        <v>785.93483317044002</v>
      </c>
      <c r="BI71" s="59">
        <f ca="1">AVERAGE(OFFSET($BH$3,0,0,'Données projet'!$E$11+1,1))-AVERAGE(OFFSET($H$3,0,0,'Données projet'!$E$11+1,1))</f>
        <v>711.91538686535682</v>
      </c>
      <c r="BJ71" s="59">
        <f t="shared" si="92"/>
        <v>313.24593837351722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8.1686226978564367</v>
      </c>
      <c r="BQ71" s="21">
        <f>EXP(-LN(2)/25)*BQ70+(1-EXP(-LN(2)/25))/(LN(2)/25)*Calculateur!BL71*Calculateur!BN71*VLOOKUP('Données projet'!$B$11,Paramètres!$A$1:$I$89,3,0)*0.475*44/12</f>
        <v>33.648497123979482</v>
      </c>
      <c r="BR71" s="21">
        <f>EXP(-LN(2)/2)*BR70+(1-EXP(-LN(2)/2))/(LN(2)/2)*BL71*BO71*VLOOKUP('Données projet'!$B$11,Paramètres!$A$1:$I$89,3,0)*0.475*44/12</f>
        <v>2.6921783868467677</v>
      </c>
      <c r="BS71" s="22">
        <f t="shared" si="63"/>
        <v>44.509298208682686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9.733749999999997</v>
      </c>
      <c r="BY71" s="12">
        <f>IF('Données projet'!$A$114&gt;35,BY70+BX71-CG70,IF(A71&lt;'Données projet'!$A$114,$BV$205^A71,IF(A71='Données projet'!$A$114,'Données projet'!$B$114,BY70+BX71-CG70)))</f>
        <v>252.55750000000032</v>
      </c>
      <c r="BZ71" s="13">
        <f>BY71*VLOOKUP('Données projet'!$B$12,Paramètres!$A$1:$I$89,3,0)*VLOOKUP('Données projet'!$B$12,Paramètres!$A$1:$I$89,5,0)</f>
        <v>244.27361400000029</v>
      </c>
      <c r="CA71" s="13">
        <f t="shared" si="93"/>
        <v>59.358072694809287</v>
      </c>
      <c r="CB71" s="20">
        <f t="shared" si="64"/>
        <v>528.82518766012663</v>
      </c>
      <c r="CC71" s="59">
        <f t="shared" si="65"/>
        <v>794.27157178734547</v>
      </c>
      <c r="CD71" s="59">
        <f ca="1">AVERAGE(OFFSET($CC$3,0,0,'Données projet'!$E$12+1,1))-AVERAGE(OFFSET($H$3,0,0,'Données projet'!$E$12+1,1))</f>
        <v>722.05521609092671</v>
      </c>
      <c r="CE71" s="59">
        <f t="shared" si="94"/>
        <v>317.36319714884644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8.3025345453622812</v>
      </c>
      <c r="CL71" s="21">
        <f>EXP(-LN(2)/25)*CL70+(1-EXP(-LN(2)/25))/(LN(2)/25)*Calculateur!CG71*Calculateur!CI71*VLOOKUP('Données projet'!$B$12,Paramètres!$A$1:$I$89,3,0)*0.475*44/12</f>
        <v>34.200111830929977</v>
      </c>
      <c r="CM71" s="21">
        <f>EXP(-LN(2)/2)*CM70+(1-EXP(-LN(2)/2))/(LN(2)/2)*CG71*CJ71*VLOOKUP('Données projet'!$B$12,Paramètres!$A$1:$I$89,3,0)*0.475*44/12</f>
        <v>2.7363124587622885</v>
      </c>
      <c r="CN71" s="22">
        <f t="shared" si="66"/>
        <v>45.238958835054547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9.733749999999997</v>
      </c>
      <c r="CT71" s="12">
        <f>IF('Données projet'!$A$140&gt;35,CT70+CS71-DB70,IF(A71&lt;'Données projet'!$A$140,$CQ$205^A71,IF(A71='Données projet'!$A$140,'Données projet'!$B$140,CT70+CS71-DB70)))</f>
        <v>252.55750000000032</v>
      </c>
      <c r="CU71" s="17">
        <f>CT71*VLOOKUP('Données projet'!$B$13,Paramètres!$A$1:$I$89,3,0)*VLOOKUP('Données projet'!$B$13,Paramètres!$A$1:$I$89,5,0)</f>
        <v>271.85289300000034</v>
      </c>
      <c r="CV71" s="13">
        <f t="shared" si="95"/>
        <v>65.242343289092531</v>
      </c>
      <c r="CW71" s="20">
        <f t="shared" si="67"/>
        <v>587.10753653683673</v>
      </c>
      <c r="CX71" s="59">
        <f t="shared" si="68"/>
        <v>852.55392066405557</v>
      </c>
      <c r="CY71" s="59">
        <f ca="1">AVERAGE(OFFSET($CX$3,0,0,'Données projet'!$E$13+1,1))-AVERAGE(OFFSET($H$3,0,0,'Données projet'!$E$13+1,1))</f>
        <v>792.94606354161886</v>
      </c>
      <c r="CZ71" s="59">
        <f t="shared" si="96"/>
        <v>346.14443498270919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9.2399174779031839</v>
      </c>
      <c r="DG71" s="21">
        <f>EXP(-LN(2)/25)*DG70+(1-EXP(-LN(2)/25))/(LN(2)/25)*Calculateur!DB71*Calculateur!DD71*VLOOKUP('Données projet'!$B$13,Paramètres!$A$1:$I$89,3,0)*0.475*44/12</f>
        <v>38.061414779583345</v>
      </c>
      <c r="DH71" s="21">
        <f>EXP(-LN(2)/2)*DH70+(1-EXP(-LN(2)/2))/(LN(2)/2)*DB71*DE71*VLOOKUP('Données projet'!$B$13,Paramètres!$A$1:$I$89,3,0)*0.475*44/12</f>
        <v>3.0452509621709338</v>
      </c>
      <c r="DI71" s="22">
        <f t="shared" si="69"/>
        <v>50.346583219657461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2.6923076923076907</v>
      </c>
      <c r="DO71" s="12">
        <f>IF('Données projet'!$A$166&gt;35,DO70+DN71-DW70,IF(A71&lt;'Données projet'!$A$166,$DL$205^A71,IF(A71='Données projet'!$A$166,'Données projet'!$B$166,DO70+DN71-DW70)))</f>
        <v>123.46153846153838</v>
      </c>
      <c r="DP71" s="17">
        <f>DO71*VLOOKUP('Données projet'!$B$14,Paramètres!$A$1:$I$89,3,0)*VLOOKUP('Données projet'!$B$14,Paramètres!$A$1:$I$89,5,0)</f>
        <v>129.04199999999992</v>
      </c>
      <c r="DQ71" s="13">
        <f t="shared" si="97"/>
        <v>33.77489845718803</v>
      </c>
      <c r="DR71" s="20">
        <f t="shared" si="70"/>
        <v>283.5727648129357</v>
      </c>
      <c r="DS71" s="59">
        <f t="shared" si="71"/>
        <v>549.01914894015454</v>
      </c>
      <c r="DT71" s="59">
        <f ca="1">AVERAGE(OFFSET($DS$3,0,0,'Données projet'!$E$14+1,1))-AVERAGE(OFFSET($H$3,0,0,'Données projet'!$E$14+1,1))</f>
        <v>269.21114382490202</v>
      </c>
      <c r="DU71" s="59">
        <f t="shared" si="98"/>
        <v>233.07776944102309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0.45017259872534476</v>
      </c>
      <c r="EB71" s="21">
        <f>EXP(-LN(2)/25)*EB70+(1-EXP(-LN(2)/25))/(LN(2)/25)*Calculateur!DW71*Calculateur!DY71*VLOOKUP('Données projet'!$B$14,Paramètres!$A$1:$I$89,3,0)*0.475*44/12</f>
        <v>15.395551958631758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15.845724557357103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9.733749999999997</v>
      </c>
      <c r="FE71" s="12">
        <f>IF('Données projet'!$A$218&gt;35,FE70+FD71-FM70,IF(A71&lt;'Données projet'!$A$218,$FB$205^A71,IF(A71='Données projet'!$A$218,'Données projet'!$B$218,FE70+FD71-FM70)))</f>
        <v>252.55750000000032</v>
      </c>
      <c r="FF71" s="17">
        <f>FE71*VLOOKUP('Données projet'!$B$16,Paramètres!$A$1:$I$89,3,0)*VLOOKUP('Données projet'!$B$16,Paramètres!$A$1:$I$89,5,0)</f>
        <v>287.61248100000034</v>
      </c>
      <c r="FG71" s="13">
        <f t="shared" si="101"/>
        <v>68.573224822080732</v>
      </c>
      <c r="FH71" s="20">
        <f t="shared" si="76"/>
        <v>620.35677097345786</v>
      </c>
      <c r="FI71" s="59">
        <f t="shared" si="77"/>
        <v>885.80315510067669</v>
      </c>
      <c r="FJ71" s="59">
        <f ca="1">AVERAGE(OFFSET($FI$3,0,0,'Données projet'!$E$16+1,1))-AVERAGE(OFFSET($H$3,0,0,'Données projet'!$E$16+1,1))</f>
        <v>833.39050463936144</v>
      </c>
      <c r="FK71" s="59">
        <f t="shared" si="102"/>
        <v>362.56178526355507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9.7755648679265583</v>
      </c>
      <c r="FR71" s="21">
        <f>EXP(-LN(2)/25)*FR70+(1-EXP(-LN(2)/25))/(LN(2)/25)*Calculateur!FM71*Calculateur!FO71*VLOOKUP('Données projet'!$B$16,Paramètres!$A$1:$I$89,3,0)*0.475*44/12</f>
        <v>40.267873607385297</v>
      </c>
      <c r="FS71" s="21">
        <f>EXP(-LN(2)/2)*FS70+(1-EXP(-LN(2)/2))/(LN(2)/2)*FM71*FP71*VLOOKUP('Données projet'!$B$16,Paramètres!$A$1:$I$89,3,0)*0.475*44/12</f>
        <v>3.2217872498330173</v>
      </c>
      <c r="FT71" s="22">
        <f t="shared" si="78"/>
        <v>53.265225725144873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780.0421265759544</v>
      </c>
      <c r="S72" s="59">
        <f ca="1">AVERAGE(OFFSET($R$3,0,0,'Données projet'!$E$9+1,1))-AVERAGE(OFFSET($H$3,0,0,'Données projet'!$E$9+1,1))</f>
        <v>681.47578137804555</v>
      </c>
      <c r="T72" s="59">
        <f t="shared" si="88"/>
        <v>300.88511065995885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265.96332750000033</v>
      </c>
      <c r="AK72" s="13">
        <f t="shared" si="89"/>
        <v>63.991835900335317</v>
      </c>
      <c r="AL72" s="20">
        <f t="shared" si="58"/>
        <v>574.67190958891786</v>
      </c>
      <c r="AM72" s="59">
        <f t="shared" si="59"/>
        <v>840.60206993898441</v>
      </c>
      <c r="AN72" s="59">
        <f ca="1">AVERAGE(OFFSET($AM$3,0,0,'Données projet'!$E$10+1,1))-AVERAGE(OFFSET($H$3,0,0,'Données projet'!$E$10+1,1))</f>
        <v>752.45542076695506</v>
      </c>
      <c r="AO72" s="59">
        <f t="shared" si="90"/>
        <v>329.70629768420724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8.5335846605370129</v>
      </c>
      <c r="AV72" s="21">
        <f>EXP(-LN(2)/25)*AV71+(1-EXP(-LN(2)/25))/(LN(2)/25)*Calculateur!AQ72*Calculateur!AS72*VLOOKUP('Données projet'!$B$10,Paramètres!$A$1:$I$89,3,0)*0.475*44/12</f>
        <v>34.874500295749776</v>
      </c>
      <c r="AW72" s="21">
        <f>EXP(-LN(2)/2)*AW71+(1-EXP(-LN(2)/2))/(LN(2)/2)*AQ72*AT72*VLOOKUP('Données projet'!$B$10,Paramètres!$A$1:$I$89,3,0)*0.475*44/12</f>
        <v>2.0284875996345684</v>
      </c>
      <c r="AX72" s="21">
        <f t="shared" si="60"/>
        <v>45.436572555921352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249.5963535000003</v>
      </c>
      <c r="BF72" s="13">
        <f t="shared" si="91"/>
        <v>60.49949790244262</v>
      </c>
      <c r="BG72" s="20">
        <f t="shared" si="61"/>
        <v>540.0836078592547</v>
      </c>
      <c r="BH72" s="59">
        <f t="shared" si="62"/>
        <v>806.01376820932126</v>
      </c>
      <c r="BI72" s="59">
        <f ca="1">AVERAGE(OFFSET($BH$3,0,0,'Données projet'!$E$11+1,1))-AVERAGE(OFFSET($H$3,0,0,'Données projet'!$E$11+1,1))</f>
        <v>711.91538686535682</v>
      </c>
      <c r="BJ72" s="59">
        <f t="shared" si="92"/>
        <v>313.24593837351722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8.0084409891193502</v>
      </c>
      <c r="BQ72" s="21">
        <f>EXP(-LN(2)/25)*BQ71+(1-EXP(-LN(2)/25))/(LN(2)/25)*Calculateur!BL72*Calculateur!BN72*VLOOKUP('Données projet'!$B$11,Paramètres!$A$1:$I$89,3,0)*0.475*44/12</f>
        <v>32.728377200626703</v>
      </c>
      <c r="BR72" s="21">
        <f>EXP(-LN(2)/2)*BR71+(1-EXP(-LN(2)/2))/(LN(2)/2)*BL72*BO72*VLOOKUP('Données projet'!$B$11,Paramètres!$A$1:$I$89,3,0)*0.475*44/12</f>
        <v>1.9036575935032101</v>
      </c>
      <c r="BS72" s="22">
        <f t="shared" si="63"/>
        <v>42.640475783249265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9.733749999999997</v>
      </c>
      <c r="BY72" s="12">
        <f>IF('Données projet'!$A$114&gt;35,BY71+BX72-CG71,IF(A72&lt;'Données projet'!$A$114,$BV$205^A72,IF(A72='Données projet'!$A$114,'Données projet'!$B$114,BY71+BX72-CG71)))</f>
        <v>262.29125000000033</v>
      </c>
      <c r="BZ72" s="13">
        <f>BY72*VLOOKUP('Données projet'!$B$12,Paramètres!$A$1:$I$89,3,0)*VLOOKUP('Données projet'!$B$12,Paramètres!$A$1:$I$89,5,0)</f>
        <v>253.68809700000031</v>
      </c>
      <c r="CA72" s="13">
        <f t="shared" si="93"/>
        <v>61.37501693930583</v>
      </c>
      <c r="CB72" s="20">
        <f t="shared" si="64"/>
        <v>548.73492344429144</v>
      </c>
      <c r="CC72" s="59">
        <f t="shared" si="65"/>
        <v>814.665083794358</v>
      </c>
      <c r="CD72" s="59">
        <f ca="1">AVERAGE(OFFSET($CC$3,0,0,'Données projet'!$E$12+1,1))-AVERAGE(OFFSET($H$3,0,0,'Données projet'!$E$12+1,1))</f>
        <v>722.05521609092671</v>
      </c>
      <c r="CE72" s="59">
        <f t="shared" si="94"/>
        <v>317.36319714884644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8.1397269069737668</v>
      </c>
      <c r="CL72" s="21">
        <f>EXP(-LN(2)/25)*CL71+(1-EXP(-LN(2)/25))/(LN(2)/25)*Calculateur!CG72*Calculateur!CI72*VLOOKUP('Données projet'!$B$12,Paramètres!$A$1:$I$89,3,0)*0.475*44/12</f>
        <v>33.264907974407478</v>
      </c>
      <c r="CM72" s="21">
        <f>EXP(-LN(2)/2)*CM71+(1-EXP(-LN(2)/2))/(LN(2)/2)*CG72*CJ72*VLOOKUP('Données projet'!$B$12,Paramètres!$A$1:$I$89,3,0)*0.475*44/12</f>
        <v>1.9348650950360495</v>
      </c>
      <c r="CN72" s="22">
        <f t="shared" si="66"/>
        <v>43.339499976417294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9.733749999999997</v>
      </c>
      <c r="CT72" s="12">
        <f>IF('Données projet'!$A$140&gt;35,CT71+CS72-DB71,IF(A72&lt;'Données projet'!$A$140,$CQ$205^A72,IF(A72='Données projet'!$A$140,'Données projet'!$B$140,CT71+CS72-DB71)))</f>
        <v>262.29125000000033</v>
      </c>
      <c r="CU72" s="17">
        <f>CT72*VLOOKUP('Données projet'!$B$13,Paramètres!$A$1:$I$89,3,0)*VLOOKUP('Données projet'!$B$13,Paramètres!$A$1:$I$89,5,0)</f>
        <v>282.3303015000003</v>
      </c>
      <c r="CV72" s="13">
        <f t="shared" si="95"/>
        <v>67.459230779206578</v>
      </c>
      <c r="CW72" s="20">
        <f t="shared" si="67"/>
        <v>609.2167687196187</v>
      </c>
      <c r="CX72" s="59">
        <f t="shared" si="68"/>
        <v>875.14692906968526</v>
      </c>
      <c r="CY72" s="59">
        <f ca="1">AVERAGE(OFFSET($CX$3,0,0,'Données projet'!$E$13+1,1))-AVERAGE(OFFSET($H$3,0,0,'Données projet'!$E$13+1,1))</f>
        <v>792.94606354161886</v>
      </c>
      <c r="CZ72" s="59">
        <f t="shared" si="96"/>
        <v>346.14443498270919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9.0587283319546756</v>
      </c>
      <c r="DG72" s="21">
        <f>EXP(-LN(2)/25)*DG71+(1-EXP(-LN(2)/25))/(LN(2)/25)*Calculateur!DB72*Calculateur!DD72*VLOOKUP('Données projet'!$B$13,Paramètres!$A$1:$I$89,3,0)*0.475*44/12</f>
        <v>37.020623390872828</v>
      </c>
      <c r="DH72" s="21">
        <f>EXP(-LN(2)/2)*DH71+(1-EXP(-LN(2)/2))/(LN(2)/2)*DB72*DE72*VLOOKUP('Données projet'!$B$13,Paramètres!$A$1:$I$89,3,0)*0.475*44/12</f>
        <v>2.1533176057659258</v>
      </c>
      <c r="DI72" s="22">
        <f t="shared" si="69"/>
        <v>48.232669328593431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2.6923076923076907</v>
      </c>
      <c r="DO72" s="12">
        <f>IF('Données projet'!$A$166&gt;35,DO71+DN72-DW71,IF(A72&lt;'Données projet'!$A$166,$DL$205^A72,IF(A72='Données projet'!$A$166,'Données projet'!$B$166,DO71+DN72-DW71)))</f>
        <v>126.15384615384608</v>
      </c>
      <c r="DP72" s="17">
        <f>DO72*VLOOKUP('Données projet'!$B$14,Paramètres!$A$1:$I$89,3,0)*VLOOKUP('Données projet'!$B$14,Paramètres!$A$1:$I$89,5,0)</f>
        <v>131.85599999999994</v>
      </c>
      <c r="DQ72" s="13">
        <f t="shared" si="97"/>
        <v>34.424871965010759</v>
      </c>
      <c r="DR72" s="20">
        <f t="shared" si="70"/>
        <v>289.60585200572694</v>
      </c>
      <c r="DS72" s="59">
        <f t="shared" si="71"/>
        <v>555.53601235579345</v>
      </c>
      <c r="DT72" s="59">
        <f ca="1">AVERAGE(OFFSET($DS$3,0,0,'Données projet'!$E$14+1,1))-AVERAGE(OFFSET($H$3,0,0,'Données projet'!$E$14+1,1))</f>
        <v>269.21114382490202</v>
      </c>
      <c r="DU72" s="59">
        <f t="shared" si="98"/>
        <v>233.07776944102309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0.44134498864251365</v>
      </c>
      <c r="EB72" s="21">
        <f>EXP(-LN(2)/25)*EB71+(1-EXP(-LN(2)/25))/(LN(2)/25)*Calculateur!DW72*Calculateur!DY72*VLOOKUP('Données projet'!$B$14,Paramètres!$A$1:$I$89,3,0)*0.475*44/12</f>
        <v>14.974559780706082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15.415904769348597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9.733749999999997</v>
      </c>
      <c r="FE72" s="12">
        <f>IF('Données projet'!$A$218&gt;35,FE71+FD72-FM71,IF(A72&lt;'Données projet'!$A$218,$FB$205^A72,IF(A72='Données projet'!$A$218,'Données projet'!$B$218,FE71+FD72-FM71)))</f>
        <v>262.29125000000033</v>
      </c>
      <c r="FF72" s="17">
        <f>FE72*VLOOKUP('Données projet'!$B$16,Paramètres!$A$1:$I$89,3,0)*VLOOKUP('Données projet'!$B$16,Paramètres!$A$1:$I$89,5,0)</f>
        <v>298.69727550000039</v>
      </c>
      <c r="FG72" s="13">
        <f t="shared" si="101"/>
        <v>70.903293250053096</v>
      </c>
      <c r="FH72" s="20">
        <f t="shared" si="76"/>
        <v>643.72099057300977</v>
      </c>
      <c r="FI72" s="59">
        <f t="shared" si="77"/>
        <v>909.65115092307633</v>
      </c>
      <c r="FJ72" s="59">
        <f ca="1">AVERAGE(OFFSET($FI$3,0,0,'Données projet'!$E$16+1,1))-AVERAGE(OFFSET($H$3,0,0,'Données projet'!$E$16+1,1))</f>
        <v>833.39050463936144</v>
      </c>
      <c r="FK72" s="59">
        <f t="shared" si="102"/>
        <v>362.56178526355507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9.5838720033723401</v>
      </c>
      <c r="FR72" s="21">
        <f>EXP(-LN(2)/25)*FR71+(1-EXP(-LN(2)/25))/(LN(2)/25)*Calculateur!FM72*Calculateur!FO72*VLOOKUP('Données projet'!$B$16,Paramètres!$A$1:$I$89,3,0)*0.475*44/12</f>
        <v>39.166746485995908</v>
      </c>
      <c r="FS72" s="21">
        <f>EXP(-LN(2)/2)*FS71+(1-EXP(-LN(2)/2))/(LN(2)/2)*FM72*FP72*VLOOKUP('Données projet'!$B$16,Paramètres!$A$1:$I$89,3,0)*0.475*44/12</f>
        <v>2.2781476118972841</v>
      </c>
      <c r="FT72" s="22">
        <f t="shared" si="78"/>
        <v>51.028766101265532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799.15407824042381</v>
      </c>
      <c r="S73" s="59">
        <f ca="1">AVERAGE(OFFSET($R$3,0,0,'Données projet'!$E$9+1,1))-AVERAGE(OFFSET($H$3,0,0,'Données projet'!$E$9+1,1))</f>
        <v>681.47578137804555</v>
      </c>
      <c r="T73" s="59">
        <f t="shared" si="88"/>
        <v>300.88511065995885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275.83335000000034</v>
      </c>
      <c r="AK73" s="13">
        <f t="shared" si="89"/>
        <v>66.085709101140665</v>
      </c>
      <c r="AL73" s="20">
        <f t="shared" si="58"/>
        <v>595.50902793448722</v>
      </c>
      <c r="AM73" s="59">
        <f t="shared" si="59"/>
        <v>861.91457207149665</v>
      </c>
      <c r="AN73" s="59">
        <f ca="1">AVERAGE(OFFSET($AM$3,0,0,'Données projet'!$E$10+1,1))-AVERAGE(OFFSET($H$3,0,0,'Données projet'!$E$10+1,1))</f>
        <v>752.45542076695506</v>
      </c>
      <c r="AO73" s="59">
        <f t="shared" si="90"/>
        <v>329.70629768420724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8.3662462703165765</v>
      </c>
      <c r="AV73" s="21">
        <f>EXP(-LN(2)/25)*AV72+(1-EXP(-LN(2)/25))/(LN(2)/25)*Calculateur!AQ73*Calculateur!AS73*VLOOKUP('Données projet'!$B$10,Paramètres!$A$1:$I$89,3,0)*0.475*44/12</f>
        <v>33.920855251192236</v>
      </c>
      <c r="AW73" s="21">
        <f>EXP(-LN(2)/2)*AW72+(1-EXP(-LN(2)/2))/(LN(2)/2)*AQ73*AT73*VLOOKUP('Données projet'!$B$10,Paramètres!$A$1:$I$89,3,0)*0.475*44/12</f>
        <v>1.4343573372544258</v>
      </c>
      <c r="AX73" s="21">
        <f t="shared" si="60"/>
        <v>43.721458858763242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258.85899000000029</v>
      </c>
      <c r="BF73" s="13">
        <f t="shared" si="91"/>
        <v>62.47909851145463</v>
      </c>
      <c r="BG73" s="20">
        <f t="shared" si="61"/>
        <v>559.66383749078398</v>
      </c>
      <c r="BH73" s="59">
        <f t="shared" si="62"/>
        <v>826.06938162779352</v>
      </c>
      <c r="BI73" s="59">
        <f ca="1">AVERAGE(OFFSET($BH$3,0,0,'Données projet'!$E$11+1,1))-AVERAGE(OFFSET($H$3,0,0,'Données projet'!$E$11+1,1))</f>
        <v>711.91538686535682</v>
      </c>
      <c r="BJ73" s="59">
        <f t="shared" si="92"/>
        <v>313.24593837351722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7.8514003459894024</v>
      </c>
      <c r="BQ73" s="21">
        <f>EXP(-LN(2)/25)*BQ72+(1-EXP(-LN(2)/25))/(LN(2)/25)*Calculateur!BL73*Calculateur!BN73*VLOOKUP('Données projet'!$B$11,Paramètres!$A$1:$I$89,3,0)*0.475*44/12</f>
        <v>31.833418004965012</v>
      </c>
      <c r="BR73" s="21">
        <f>EXP(-LN(2)/2)*BR72+(1-EXP(-LN(2)/2))/(LN(2)/2)*BL73*BO73*VLOOKUP('Données projet'!$B$11,Paramètres!$A$1:$I$89,3,0)*0.475*44/12</f>
        <v>1.3460891934233841</v>
      </c>
      <c r="BS73" s="22">
        <f t="shared" si="63"/>
        <v>41.030907544377797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9.733749999999997</v>
      </c>
      <c r="BY73" s="12">
        <f>IF('Données projet'!$A$114&gt;35,BY72+BX73-CG72,IF(A73&lt;'Données projet'!$A$114,$BV$205^A73,IF(A73='Données projet'!$A$114,'Données projet'!$B$114,BY72+BX73-CG72)))</f>
        <v>272.02500000000032</v>
      </c>
      <c r="BZ73" s="13">
        <f>BY73*VLOOKUP('Données projet'!$B$12,Paramètres!$A$1:$I$89,3,0)*VLOOKUP('Données projet'!$B$12,Paramètres!$A$1:$I$89,5,0)</f>
        <v>263.10258000000033</v>
      </c>
      <c r="CA73" s="13">
        <f t="shared" si="93"/>
        <v>63.383265356624797</v>
      </c>
      <c r="CB73" s="20">
        <f t="shared" si="64"/>
        <v>568.62951399612211</v>
      </c>
      <c r="CC73" s="59">
        <f t="shared" si="65"/>
        <v>835.03505813313154</v>
      </c>
      <c r="CD73" s="59">
        <f ca="1">AVERAGE(OFFSET($CC$3,0,0,'Données projet'!$E$12+1,1))-AVERAGE(OFFSET($H$3,0,0,'Données projet'!$E$12+1,1))</f>
        <v>722.05521609092671</v>
      </c>
      <c r="CE73" s="59">
        <f t="shared" si="94"/>
        <v>317.36319714884644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7.9801118270711964</v>
      </c>
      <c r="CL73" s="21">
        <f>EXP(-LN(2)/25)*CL72+(1-EXP(-LN(2)/25))/(LN(2)/25)*Calculateur!CG73*Calculateur!CI73*VLOOKUP('Données projet'!$B$12,Paramètres!$A$1:$I$89,3,0)*0.475*44/12</f>
        <v>32.355277316521821</v>
      </c>
      <c r="CM73" s="21">
        <f>EXP(-LN(2)/2)*CM72+(1-EXP(-LN(2)/2))/(LN(2)/2)*CG73*CJ73*VLOOKUP('Données projet'!$B$12,Paramètres!$A$1:$I$89,3,0)*0.475*44/12</f>
        <v>1.3681562293811445</v>
      </c>
      <c r="CN73" s="22">
        <f t="shared" si="66"/>
        <v>41.703545372974162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9.733749999999997</v>
      </c>
      <c r="CT73" s="12">
        <f>IF('Données projet'!$A$140&gt;35,CT72+CS73-DB72,IF(A73&lt;'Données projet'!$A$140,$CQ$205^A73,IF(A73='Données projet'!$A$140,'Données projet'!$B$140,CT72+CS73-DB72)))</f>
        <v>272.02500000000032</v>
      </c>
      <c r="CU73" s="17">
        <f>CT73*VLOOKUP('Données projet'!$B$13,Paramètres!$A$1:$I$89,3,0)*VLOOKUP('Données projet'!$B$13,Paramètres!$A$1:$I$89,5,0)</f>
        <v>292.80771000000033</v>
      </c>
      <c r="CV73" s="13">
        <f t="shared" si="95"/>
        <v>69.666560409434922</v>
      </c>
      <c r="CW73" s="20">
        <f t="shared" si="67"/>
        <v>631.30935429643307</v>
      </c>
      <c r="CX73" s="59">
        <f t="shared" si="68"/>
        <v>897.71489843344261</v>
      </c>
      <c r="CY73" s="59">
        <f ca="1">AVERAGE(OFFSET($CX$3,0,0,'Données projet'!$E$13+1,1))-AVERAGE(OFFSET($H$3,0,0,'Données projet'!$E$13+1,1))</f>
        <v>792.94606354161886</v>
      </c>
      <c r="CZ73" s="59">
        <f t="shared" si="96"/>
        <v>346.14443498270919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8.8810921946437507</v>
      </c>
      <c r="DG73" s="21">
        <f>EXP(-LN(2)/25)*DG72+(1-EXP(-LN(2)/25))/(LN(2)/25)*Calculateur!DB73*Calculateur!DD73*VLOOKUP('Données projet'!$B$13,Paramètres!$A$1:$I$89,3,0)*0.475*44/12</f>
        <v>36.00829249741944</v>
      </c>
      <c r="DH73" s="21">
        <f>EXP(-LN(2)/2)*DH72+(1-EXP(-LN(2)/2))/(LN(2)/2)*DB73*DE73*VLOOKUP('Données projet'!$B$13,Paramètres!$A$1:$I$89,3,0)*0.475*44/12</f>
        <v>1.5226254810854669</v>
      </c>
      <c r="DI73" s="22">
        <f t="shared" si="69"/>
        <v>46.412010173148659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128.84615384615384</v>
      </c>
      <c r="DM73" s="12">
        <f>VLOOKUP(A73,'Données projet'!$A$165:$I$185,9,0)</f>
        <v>2.6923076923076907</v>
      </c>
      <c r="DN73" s="12">
        <f t="array" ref="DN73">INDEX(DM:DM,MIN(IF(ISNUMBER(DM73:DM269),ROW(DM73:DM269),"")))</f>
        <v>2.6923076923076907</v>
      </c>
      <c r="DO73" s="12">
        <f>IF('Données projet'!$A$166&gt;35,DO72+DN73-DW72,IF(A73&lt;'Données projet'!$A$166,$DL$205^A73,IF(A73='Données projet'!$A$166,'Données projet'!$B$166,DO72+DN73-DW72)))</f>
        <v>128.84615384615375</v>
      </c>
      <c r="DP73" s="17">
        <f>DO73*VLOOKUP('Données projet'!$B$14,Paramètres!$A$1:$I$89,3,0)*VLOOKUP('Données projet'!$B$14,Paramètres!$A$1:$I$89,5,0)</f>
        <v>134.66999999999993</v>
      </c>
      <c r="DQ73" s="13">
        <f t="shared" si="97"/>
        <v>35.07323271794791</v>
      </c>
      <c r="DR73" s="20">
        <f t="shared" si="70"/>
        <v>295.63613031709252</v>
      </c>
      <c r="DS73" s="59">
        <f t="shared" si="71"/>
        <v>562.04167445410201</v>
      </c>
      <c r="DT73" s="59">
        <f ca="1">AVERAGE(OFFSET($DS$3,0,0,'Données projet'!$E$14+1,1))-AVERAGE(OFFSET($H$3,0,0,'Données projet'!$E$14+1,1))</f>
        <v>269.21114382490202</v>
      </c>
      <c r="DU73" s="59">
        <f t="shared" si="98"/>
        <v>233.07776944102309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8.9743589743589745</v>
      </c>
      <c r="DX73" s="16">
        <f>IF(ISNA(VLOOKUP(A73,'Données projet'!$A$165:$I$185,5,0)),0%,VLOOKUP(A73,'Données projet'!$A$165:$I$185,5,0)*VLOOKUP('Données projet'!$B$14,Paramètres!$A$1:$I$89,7,0))</f>
        <v>4.3000000000000003E-2</v>
      </c>
      <c r="DY73" s="16">
        <f>IF(ISNA(VLOOKUP(A73,'Données projet'!$A$165:$I$185,6,0)),0%,VLOOKUP(A73,'Données projet'!$A$165:$I$185,6,0)*VLOOKUP('Données projet'!$B$14,Paramètres!$A$1:$I$89,7,0))</f>
        <v>0.215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0.87857090548991645</v>
      </c>
      <c r="EB73" s="21">
        <f>EXP(-LN(2)/25)*EB72+(1-EXP(-LN(2)/25))/(LN(2)/25)*Calculateur!DW73*Calculateur!DY73*VLOOKUP('Données projet'!$B$14,Paramètres!$A$1:$I$89,3,0)*0.475*44/12</f>
        <v>16.785703764835688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17.664274670325604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9.733749999999997</v>
      </c>
      <c r="FE73" s="12">
        <f>IF('Données projet'!$A$218&gt;35,FE72+FD73-FM72,IF(A73&lt;'Données projet'!$A$218,$FB$205^A73,IF(A73='Données projet'!$A$218,'Données projet'!$B$218,FE72+FD73-FM72)))</f>
        <v>272.02500000000032</v>
      </c>
      <c r="FF73" s="17">
        <f>FE73*VLOOKUP('Données projet'!$B$16,Paramètres!$A$1:$I$89,3,0)*VLOOKUP('Données projet'!$B$16,Paramètres!$A$1:$I$89,5,0)</f>
        <v>309.78207000000037</v>
      </c>
      <c r="FG73" s="13">
        <f t="shared" si="101"/>
        <v>73.223315851316627</v>
      </c>
      <c r="FH73" s="20">
        <f t="shared" si="76"/>
        <v>667.06771369104376</v>
      </c>
      <c r="FI73" s="59">
        <f t="shared" si="77"/>
        <v>933.47325782805319</v>
      </c>
      <c r="FJ73" s="59">
        <f ca="1">AVERAGE(OFFSET($FI$3,0,0,'Données projet'!$E$16+1,1))-AVERAGE(OFFSET($H$3,0,0,'Données projet'!$E$16+1,1))</f>
        <v>833.39050463936144</v>
      </c>
      <c r="FK73" s="59">
        <f t="shared" si="102"/>
        <v>362.56178526355507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9.3959381189709266</v>
      </c>
      <c r="FR73" s="21">
        <f>EXP(-LN(2)/25)*FR72+(1-EXP(-LN(2)/25))/(LN(2)/25)*Calculateur!FM73*Calculateur!FO73*VLOOKUP('Données projet'!$B$16,Paramètres!$A$1:$I$89,3,0)*0.475*44/12</f>
        <v>38.095729743646672</v>
      </c>
      <c r="FS73" s="21">
        <f>EXP(-LN(2)/2)*FS72+(1-EXP(-LN(2)/2))/(LN(2)/2)*FM73*FP73*VLOOKUP('Données projet'!$B$16,Paramètres!$A$1:$I$89,3,0)*0.475*44/12</f>
        <v>1.6108936249165087</v>
      </c>
      <c r="FT73" s="22">
        <f t="shared" si="78"/>
        <v>49.102561487534103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818.24407397977234</v>
      </c>
      <c r="S74" s="59">
        <f ca="1">AVERAGE(OFFSET($R$3,0,0,'Données projet'!$E$9+1,1))-AVERAGE(OFFSET($H$3,0,0,'Données projet'!$E$9+1,1))</f>
        <v>681.47578137804555</v>
      </c>
      <c r="T74" s="59">
        <f t="shared" si="88"/>
        <v>300.88511065995885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285.70337250000034</v>
      </c>
      <c r="AK74" s="13">
        <f t="shared" si="89"/>
        <v>68.170877307212365</v>
      </c>
      <c r="AL74" s="20">
        <f t="shared" si="58"/>
        <v>616.3309850808954</v>
      </c>
      <c r="AM74" s="59">
        <f t="shared" si="59"/>
        <v>883.20366615894341</v>
      </c>
      <c r="AN74" s="59">
        <f ca="1">AVERAGE(OFFSET($AM$3,0,0,'Données projet'!$E$10+1,1))-AVERAGE(OFFSET($H$3,0,0,'Données projet'!$E$10+1,1))</f>
        <v>752.45542076695506</v>
      </c>
      <c r="AO74" s="59">
        <f t="shared" si="90"/>
        <v>329.70629768420724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8.2021892838620225</v>
      </c>
      <c r="AV74" s="21">
        <f>EXP(-LN(2)/25)*AV73+(1-EXP(-LN(2)/25))/(LN(2)/25)*Calculateur!AQ74*Calculateur!AS74*VLOOKUP('Données projet'!$B$10,Paramètres!$A$1:$I$89,3,0)*0.475*44/12</f>
        <v>32.993287680528134</v>
      </c>
      <c r="AW74" s="21">
        <f>EXP(-LN(2)/2)*AW73+(1-EXP(-LN(2)/2))/(LN(2)/2)*AQ74*AT74*VLOOKUP('Données projet'!$B$10,Paramètres!$A$1:$I$89,3,0)*0.475*44/12</f>
        <v>1.0142437998172844</v>
      </c>
      <c r="AX74" s="21">
        <f t="shared" si="60"/>
        <v>42.209720764207439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268.12162650000027</v>
      </c>
      <c r="BF74" s="13">
        <f t="shared" si="91"/>
        <v>64.450469198583448</v>
      </c>
      <c r="BG74" s="20">
        <f t="shared" si="61"/>
        <v>579.2297333416999</v>
      </c>
      <c r="BH74" s="59">
        <f t="shared" si="62"/>
        <v>846.1024144197479</v>
      </c>
      <c r="BI74" s="59">
        <f ca="1">AVERAGE(OFFSET($BH$3,0,0,'Données projet'!$E$11+1,1))-AVERAGE(OFFSET($H$3,0,0,'Données projet'!$E$11+1,1))</f>
        <v>711.91538686535682</v>
      </c>
      <c r="BJ74" s="59">
        <f t="shared" si="92"/>
        <v>313.24593837351722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7.6974391740858987</v>
      </c>
      <c r="BQ74" s="21">
        <f>EXP(-LN(2)/25)*BQ73+(1-EXP(-LN(2)/25))/(LN(2)/25)*Calculateur!BL74*Calculateur!BN74*VLOOKUP('Données projet'!$B$11,Paramètres!$A$1:$I$89,3,0)*0.475*44/12</f>
        <v>30.962931515572546</v>
      </c>
      <c r="BR74" s="21">
        <f>EXP(-LN(2)/2)*BR73+(1-EXP(-LN(2)/2))/(LN(2)/2)*BL74*BO74*VLOOKUP('Données projet'!$B$11,Paramètres!$A$1:$I$89,3,0)*0.475*44/12</f>
        <v>0.95182879675160514</v>
      </c>
      <c r="BS74" s="22">
        <f t="shared" si="63"/>
        <v>39.612199486410049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9.733749999999997</v>
      </c>
      <c r="BY74" s="12">
        <f>IF('Données projet'!$A$114&gt;35,BY73+BX74-CG73,IF(A74&lt;'Données projet'!$A$114,$BV$205^A74,IF(A74='Données projet'!$A$114,'Données projet'!$B$114,BY73+BX74-CG73)))</f>
        <v>281.7587500000003</v>
      </c>
      <c r="BZ74" s="13">
        <f>BY74*VLOOKUP('Données projet'!$B$12,Paramètres!$A$1:$I$89,3,0)*VLOOKUP('Données projet'!$B$12,Paramètres!$A$1:$I$89,5,0)</f>
        <v>272.51706300000029</v>
      </c>
      <c r="CA74" s="13">
        <f t="shared" si="93"/>
        <v>65.383164752670808</v>
      </c>
      <c r="CB74" s="20">
        <f t="shared" si="64"/>
        <v>588.50956333590204</v>
      </c>
      <c r="CC74" s="59">
        <f t="shared" si="65"/>
        <v>855.38224441395005</v>
      </c>
      <c r="CD74" s="59">
        <f ca="1">AVERAGE(OFFSET($CC$3,0,0,'Données projet'!$E$12+1,1))-AVERAGE(OFFSET($H$3,0,0,'Données projet'!$E$12+1,1))</f>
        <v>722.05521609092671</v>
      </c>
      <c r="CE74" s="59">
        <f t="shared" si="94"/>
        <v>317.36319714884644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7.8236267015299301</v>
      </c>
      <c r="CL74" s="21">
        <f>EXP(-LN(2)/25)*CL73+(1-EXP(-LN(2)/25))/(LN(2)/25)*Calculateur!CG74*Calculateur!CI74*VLOOKUP('Données projet'!$B$12,Paramètres!$A$1:$I$89,3,0)*0.475*44/12</f>
        <v>31.470520556811447</v>
      </c>
      <c r="CM74" s="21">
        <f>EXP(-LN(2)/2)*CM73+(1-EXP(-LN(2)/2))/(LN(2)/2)*CG74*CJ74*VLOOKUP('Données projet'!$B$12,Paramètres!$A$1:$I$89,3,0)*0.475*44/12</f>
        <v>0.96743254751802488</v>
      </c>
      <c r="CN74" s="22">
        <f t="shared" si="66"/>
        <v>40.261579805859398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9.733749999999997</v>
      </c>
      <c r="CT74" s="12">
        <f>IF('Données projet'!$A$140&gt;35,CT73+CS74-DB73,IF(A74&lt;'Données projet'!$A$140,$CQ$205^A74,IF(A74='Données projet'!$A$140,'Données projet'!$B$140,CT73+CS74-DB73)))</f>
        <v>281.7587500000003</v>
      </c>
      <c r="CU74" s="17">
        <f>CT74*VLOOKUP('Données projet'!$B$13,Paramètres!$A$1:$I$89,3,0)*VLOOKUP('Données projet'!$B$13,Paramètres!$A$1:$I$89,5,0)</f>
        <v>303.28511850000029</v>
      </c>
      <c r="CV74" s="13">
        <f t="shared" si="95"/>
        <v>71.864713365163979</v>
      </c>
      <c r="CW74" s="20">
        <f t="shared" si="67"/>
        <v>653.38595716516113</v>
      </c>
      <c r="CX74" s="59">
        <f t="shared" si="68"/>
        <v>920.25863824320913</v>
      </c>
      <c r="CY74" s="59">
        <f ca="1">AVERAGE(OFFSET($CX$3,0,0,'Données projet'!$E$13+1,1))-AVERAGE(OFFSET($H$3,0,0,'Données projet'!$E$13+1,1))</f>
        <v>792.94606354161886</v>
      </c>
      <c r="CZ74" s="59">
        <f t="shared" si="96"/>
        <v>346.14443498270919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8.7069393936381481</v>
      </c>
      <c r="DG74" s="21">
        <f>EXP(-LN(2)/25)*DG73+(1-EXP(-LN(2)/25))/(LN(2)/25)*Calculateur!DB74*Calculateur!DD74*VLOOKUP('Données projet'!$B$13,Paramètres!$A$1:$I$89,3,0)*0.475*44/12</f>
        <v>35.023643845483704</v>
      </c>
      <c r="DH74" s="21">
        <f>EXP(-LN(2)/2)*DH73+(1-EXP(-LN(2)/2))/(LN(2)/2)*DB74*DE74*VLOOKUP('Données projet'!$B$13,Paramètres!$A$1:$I$89,3,0)*0.475*44/12</f>
        <v>1.0766588028829629</v>
      </c>
      <c r="DI74" s="22">
        <f t="shared" si="69"/>
        <v>44.807242042004816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2.1794871794871766</v>
      </c>
      <c r="DO74" s="12">
        <f>IF('Données projet'!$A$166&gt;35,DO73+DN74-DW73,IF(A74&lt;'Données projet'!$A$166,$DL$205^A74,IF(A74='Données projet'!$A$166,'Données projet'!$B$166,DO73+DN74-DW73)))</f>
        <v>122.05128205128196</v>
      </c>
      <c r="DP74" s="17">
        <f>DO74*VLOOKUP('Données projet'!$B$14,Paramètres!$A$1:$I$89,3,0)*VLOOKUP('Données projet'!$B$14,Paramètres!$A$1:$I$89,5,0)</f>
        <v>127.56799999999991</v>
      </c>
      <c r="DQ74" s="13">
        <f t="shared" si="97"/>
        <v>33.43377937608831</v>
      </c>
      <c r="DR74" s="20">
        <f t="shared" si="70"/>
        <v>280.41143241335362</v>
      </c>
      <c r="DS74" s="59">
        <f t="shared" si="71"/>
        <v>547.28411349140151</v>
      </c>
      <c r="DT74" s="59">
        <f ca="1">AVERAGE(OFFSET($DS$3,0,0,'Données projet'!$E$14+1,1))-AVERAGE(OFFSET($H$3,0,0,'Données projet'!$E$14+1,1))</f>
        <v>269.21114382490202</v>
      </c>
      <c r="DU74" s="59">
        <f t="shared" si="98"/>
        <v>233.07776944102309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0.8613426659085982</v>
      </c>
      <c r="EB74" s="21">
        <f>EXP(-LN(2)/25)*EB73+(1-EXP(-LN(2)/25))/(LN(2)/25)*Calculateur!DW74*Calculateur!DY74*VLOOKUP('Données projet'!$B$14,Paramètres!$A$1:$I$89,3,0)*0.475*44/12</f>
        <v>16.32669781266446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17.188040478573058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9.733749999999997</v>
      </c>
      <c r="FE74" s="12">
        <f>IF('Données projet'!$A$218&gt;35,FE73+FD74-FM73,IF(A74&lt;'Données projet'!$A$218,$FB$205^A74,IF(A74='Données projet'!$A$218,'Données projet'!$B$218,FE73+FD74-FM73)))</f>
        <v>281.7587500000003</v>
      </c>
      <c r="FF74" s="17">
        <f>FE74*VLOOKUP('Données projet'!$B$16,Paramètres!$A$1:$I$89,3,0)*VLOOKUP('Données projet'!$B$16,Paramètres!$A$1:$I$89,5,0)</f>
        <v>320.86686450000036</v>
      </c>
      <c r="FG74" s="13">
        <f t="shared" si="101"/>
        <v>75.533693272290378</v>
      </c>
      <c r="FH74" s="20">
        <f t="shared" si="76"/>
        <v>690.39763812007311</v>
      </c>
      <c r="FI74" s="59">
        <f t="shared" si="77"/>
        <v>957.27031919812111</v>
      </c>
      <c r="FJ74" s="59">
        <f ca="1">AVERAGE(OFFSET($FI$3,0,0,'Données projet'!$E$16+1,1))-AVERAGE(OFFSET($H$3,0,0,'Données projet'!$E$16+1,1))</f>
        <v>833.39050463936144</v>
      </c>
      <c r="FK74" s="59">
        <f t="shared" si="102"/>
        <v>362.56178526355507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9.2116895034142736</v>
      </c>
      <c r="FR74" s="21">
        <f>EXP(-LN(2)/25)*FR73+(1-EXP(-LN(2)/25))/(LN(2)/25)*Calculateur!FM74*Calculateur!FO74*VLOOKUP('Données projet'!$B$16,Paramètres!$A$1:$I$89,3,0)*0.475*44/12</f>
        <v>37.054000010439296</v>
      </c>
      <c r="FS74" s="21">
        <f>EXP(-LN(2)/2)*FS73+(1-EXP(-LN(2)/2))/(LN(2)/2)*FM74*FP74*VLOOKUP('Données projet'!$B$16,Paramètres!$A$1:$I$89,3,0)*0.475*44/12</f>
        <v>1.139073805948642</v>
      </c>
      <c r="FT74" s="22">
        <f t="shared" si="78"/>
        <v>47.404763319802214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837.31278473637394</v>
      </c>
      <c r="S75" s="59">
        <f ca="1">AVERAGE(OFFSET($R$3,0,0,'Données projet'!$E$9+1,1))-AVERAGE(OFFSET($H$3,0,0,'Données projet'!$E$9+1,1))</f>
        <v>681.47578137804555</v>
      </c>
      <c r="T75" s="59">
        <f t="shared" si="88"/>
        <v>300.88511065995885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295.57339500000029</v>
      </c>
      <c r="AK75" s="13">
        <f t="shared" si="89"/>
        <v>70.247675710683964</v>
      </c>
      <c r="AL75" s="20">
        <f t="shared" si="58"/>
        <v>637.13836482110844</v>
      </c>
      <c r="AM75" s="59">
        <f t="shared" si="59"/>
        <v>904.47007905862961</v>
      </c>
      <c r="AN75" s="59">
        <f ca="1">AVERAGE(OFFSET($AM$3,0,0,'Données projet'!$E$10+1,1))-AVERAGE(OFFSET($H$3,0,0,'Données projet'!$E$10+1,1))</f>
        <v>752.45542076695506</v>
      </c>
      <c r="AO75" s="59">
        <f t="shared" si="90"/>
        <v>329.70629768420724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8.041349354846961</v>
      </c>
      <c r="AV75" s="21">
        <f>EXP(-LN(2)/25)*AV74+(1-EXP(-LN(2)/25))/(LN(2)/25)*Calculateur!AQ75*Calculateur!AS75*VLOOKUP('Données projet'!$B$10,Paramètres!$A$1:$I$89,3,0)*0.475*44/12</f>
        <v>32.091084493862503</v>
      </c>
      <c r="AW75" s="21">
        <f>EXP(-LN(2)/2)*AW74+(1-EXP(-LN(2)/2))/(LN(2)/2)*AQ75*AT75*VLOOKUP('Données projet'!$B$10,Paramètres!$A$1:$I$89,3,0)*0.475*44/12</f>
        <v>0.71717866862721313</v>
      </c>
      <c r="AX75" s="21">
        <f t="shared" si="60"/>
        <v>40.849612517336681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277.38426300000032</v>
      </c>
      <c r="BF75" s="13">
        <f t="shared" si="91"/>
        <v>66.413926862937842</v>
      </c>
      <c r="BG75" s="20">
        <f t="shared" si="61"/>
        <v>598.78184734461729</v>
      </c>
      <c r="BH75" s="59">
        <f t="shared" si="62"/>
        <v>866.11356158213835</v>
      </c>
      <c r="BI75" s="59">
        <f ca="1">AVERAGE(OFFSET($BH$3,0,0,'Données projet'!$E$11+1,1))-AVERAGE(OFFSET($H$3,0,0,'Données projet'!$E$11+1,1))</f>
        <v>711.91538686535682</v>
      </c>
      <c r="BJ75" s="59">
        <f t="shared" si="92"/>
        <v>313.24593837351722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7.5464970868563803</v>
      </c>
      <c r="BQ75" s="21">
        <f>EXP(-LN(2)/25)*BQ74+(1-EXP(-LN(2)/25))/(LN(2)/25)*Calculateur!BL75*Calculateur!BN75*VLOOKUP('Données projet'!$B$11,Paramètres!$A$1:$I$89,3,0)*0.475*44/12</f>
        <v>30.116248525009414</v>
      </c>
      <c r="BR75" s="21">
        <f>EXP(-LN(2)/2)*BR74+(1-EXP(-LN(2)/2))/(LN(2)/2)*BL75*BO75*VLOOKUP('Données projet'!$B$11,Paramètres!$A$1:$I$89,3,0)*0.475*44/12</f>
        <v>0.67304459671169214</v>
      </c>
      <c r="BS75" s="22">
        <f t="shared" si="63"/>
        <v>38.335790208577485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9.733749999999997</v>
      </c>
      <c r="BY75" s="12">
        <f>IF('Données projet'!$A$114&gt;35,BY74+BX75-CG74,IF(A75&lt;'Données projet'!$A$114,$BV$205^A75,IF(A75='Données projet'!$A$114,'Données projet'!$B$114,BY74+BX75-CG74)))</f>
        <v>291.49250000000029</v>
      </c>
      <c r="BZ75" s="13">
        <f>BY75*VLOOKUP('Données projet'!$B$12,Paramètres!$A$1:$I$89,3,0)*VLOOKUP('Données projet'!$B$12,Paramètres!$A$1:$I$89,5,0)</f>
        <v>281.93154600000031</v>
      </c>
      <c r="CA75" s="13">
        <f t="shared" si="93"/>
        <v>67.375036612561004</v>
      </c>
      <c r="CB75" s="20">
        <f t="shared" si="64"/>
        <v>608.37563138354426</v>
      </c>
      <c r="CC75" s="59">
        <f t="shared" si="65"/>
        <v>875.70734562106531</v>
      </c>
      <c r="CD75" s="59">
        <f ca="1">AVERAGE(OFFSET($CC$3,0,0,'Données projet'!$E$12+1,1))-AVERAGE(OFFSET($H$3,0,0,'Données projet'!$E$12+1,1))</f>
        <v>722.05521609092671</v>
      </c>
      <c r="CE75" s="59">
        <f t="shared" si="94"/>
        <v>317.36319714884644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7.6702101538540264</v>
      </c>
      <c r="CL75" s="21">
        <f>EXP(-LN(2)/25)*CL74+(1-EXP(-LN(2)/25))/(LN(2)/25)*Calculateur!CG75*Calculateur!CI75*VLOOKUP('Données projet'!$B$12,Paramètres!$A$1:$I$89,3,0)*0.475*44/12</f>
        <v>30.609957517222689</v>
      </c>
      <c r="CM75" s="21">
        <f>EXP(-LN(2)/2)*CM74+(1-EXP(-LN(2)/2))/(LN(2)/2)*CG75*CJ75*VLOOKUP('Données projet'!$B$12,Paramètres!$A$1:$I$89,3,0)*0.475*44/12</f>
        <v>0.68407811469057234</v>
      </c>
      <c r="CN75" s="22">
        <f t="shared" si="66"/>
        <v>38.964245785767289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9.733749999999997</v>
      </c>
      <c r="CT75" s="12">
        <f>IF('Données projet'!$A$140&gt;35,CT74+CS75-DB74,IF(A75&lt;'Données projet'!$A$140,$CQ$205^A75,IF(A75='Données projet'!$A$140,'Données projet'!$B$140,CT74+CS75-DB74)))</f>
        <v>291.49250000000029</v>
      </c>
      <c r="CU75" s="17">
        <f>CT75*VLOOKUP('Données projet'!$B$13,Paramètres!$A$1:$I$89,3,0)*VLOOKUP('Données projet'!$B$13,Paramètres!$A$1:$I$89,5,0)</f>
        <v>313.76252700000032</v>
      </c>
      <c r="CV75" s="13">
        <f t="shared" si="95"/>
        <v>74.054043000898787</v>
      </c>
      <c r="CW75" s="20">
        <f t="shared" si="67"/>
        <v>675.44719275156592</v>
      </c>
      <c r="CX75" s="59">
        <f t="shared" si="68"/>
        <v>942.77890698908709</v>
      </c>
      <c r="CY75" s="59">
        <f ca="1">AVERAGE(OFFSET($CX$3,0,0,'Données projet'!$E$13+1,1))-AVERAGE(OFFSET($H$3,0,0,'Données projet'!$E$13+1,1))</f>
        <v>792.94606354161886</v>
      </c>
      <c r="CZ75" s="59">
        <f t="shared" si="96"/>
        <v>346.14443498270919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8.5362016228375452</v>
      </c>
      <c r="DG75" s="21">
        <f>EXP(-LN(2)/25)*DG74+(1-EXP(-LN(2)/25))/(LN(2)/25)*Calculateur!DB75*Calculateur!DD75*VLOOKUP('Données projet'!$B$13,Paramètres!$A$1:$I$89,3,0)*0.475*44/12</f>
        <v>34.065920462715567</v>
      </c>
      <c r="DH75" s="21">
        <f>EXP(-LN(2)/2)*DH74+(1-EXP(-LN(2)/2))/(LN(2)/2)*DB75*DE75*VLOOKUP('Données projet'!$B$13,Paramètres!$A$1:$I$89,3,0)*0.475*44/12</f>
        <v>0.76131274054273346</v>
      </c>
      <c r="DI75" s="22">
        <f t="shared" si="69"/>
        <v>43.363434826095848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2.1794871794871766</v>
      </c>
      <c r="DO75" s="12">
        <f>IF('Données projet'!$A$166&gt;35,DO74+DN75-DW74,IF(A75&lt;'Données projet'!$A$166,$DL$205^A75,IF(A75='Données projet'!$A$166,'Données projet'!$B$166,DO74+DN75-DW74)))</f>
        <v>124.23076923076914</v>
      </c>
      <c r="DP75" s="17">
        <f>DO75*VLOOKUP('Données projet'!$B$14,Paramètres!$A$1:$I$89,3,0)*VLOOKUP('Données projet'!$B$14,Paramètres!$A$1:$I$89,5,0)</f>
        <v>129.84599999999992</v>
      </c>
      <c r="DQ75" s="13">
        <f t="shared" si="97"/>
        <v>33.960771999433035</v>
      </c>
      <c r="DR75" s="20">
        <f t="shared" si="70"/>
        <v>285.29679456567902</v>
      </c>
      <c r="DS75" s="59">
        <f t="shared" si="71"/>
        <v>552.62850880320013</v>
      </c>
      <c r="DT75" s="59">
        <f ca="1">AVERAGE(OFFSET($DS$3,0,0,'Données projet'!$E$14+1,1))-AVERAGE(OFFSET($H$3,0,0,'Données projet'!$E$14+1,1))</f>
        <v>269.21114382490202</v>
      </c>
      <c r="DU75" s="59">
        <f t="shared" si="98"/>
        <v>233.07776944102309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0.84445226159728115</v>
      </c>
      <c r="EB75" s="21">
        <f>EXP(-LN(2)/25)*EB74+(1-EXP(-LN(2)/25))/(LN(2)/25)*Calculateur!DW75*Calculateur!DY75*VLOOKUP('Données projet'!$B$14,Paramètres!$A$1:$I$89,3,0)*0.475*44/12</f>
        <v>15.880243402393427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16.724695663990708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9.733749999999997</v>
      </c>
      <c r="FE75" s="12">
        <f>IF('Données projet'!$A$218&gt;35,FE74+FD75-FM74,IF(A75&lt;'Données projet'!$A$218,$FB$205^A75,IF(A75='Données projet'!$A$218,'Données projet'!$B$218,FE74+FD75-FM74)))</f>
        <v>291.49250000000029</v>
      </c>
      <c r="FF75" s="17">
        <f>FE75*VLOOKUP('Données projet'!$B$16,Paramètres!$A$1:$I$89,3,0)*VLOOKUP('Données projet'!$B$16,Paramètres!$A$1:$I$89,5,0)</f>
        <v>331.95165900000029</v>
      </c>
      <c r="FG75" s="13">
        <f t="shared" si="101"/>
        <v>77.834796907634171</v>
      </c>
      <c r="FH75" s="20">
        <f t="shared" si="76"/>
        <v>713.71141070579677</v>
      </c>
      <c r="FI75" s="59">
        <f t="shared" si="77"/>
        <v>981.04312494331793</v>
      </c>
      <c r="FJ75" s="59">
        <f ca="1">AVERAGE(OFFSET($FI$3,0,0,'Données projet'!$E$16+1,1))-AVERAGE(OFFSET($H$3,0,0,'Données projet'!$E$16+1,1))</f>
        <v>833.39050463936144</v>
      </c>
      <c r="FK75" s="59">
        <f t="shared" si="102"/>
        <v>362.56178526355507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9.0310538908281277</v>
      </c>
      <c r="FR75" s="21">
        <f>EXP(-LN(2)/25)*FR74+(1-EXP(-LN(2)/25))/(LN(2)/25)*Calculateur!FM75*Calculateur!FO75*VLOOKUP('Données projet'!$B$16,Paramètres!$A$1:$I$89,3,0)*0.475*44/12</f>
        <v>36.04075643156866</v>
      </c>
      <c r="FS75" s="21">
        <f>EXP(-LN(2)/2)*FS74+(1-EXP(-LN(2)/2))/(LN(2)/2)*FM75*FP75*VLOOKUP('Données projet'!$B$16,Paramètres!$A$1:$I$89,3,0)*0.475*44/12</f>
        <v>0.80544681245825434</v>
      </c>
      <c r="FT75" s="22">
        <f t="shared" si="78"/>
        <v>45.877257134855043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856.3608417156413</v>
      </c>
      <c r="S76" s="59">
        <f ca="1">AVERAGE(OFFSET($R$3,0,0,'Données projet'!$E$9+1,1))-AVERAGE(OFFSET($H$3,0,0,'Données projet'!$E$9+1,1))</f>
        <v>681.47578137804555</v>
      </c>
      <c r="T76" s="59">
        <f t="shared" si="88"/>
        <v>300.88511065995885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305.44341750000029</v>
      </c>
      <c r="AK76" s="13">
        <f t="shared" si="89"/>
        <v>72.316415847426583</v>
      </c>
      <c r="AL76" s="20">
        <f t="shared" si="58"/>
        <v>657.93170974676843</v>
      </c>
      <c r="AM76" s="59">
        <f t="shared" si="59"/>
        <v>925.71449394469028</v>
      </c>
      <c r="AN76" s="59">
        <f ca="1">AVERAGE(OFFSET($AM$3,0,0,'Données projet'!$E$10+1,1))-AVERAGE(OFFSET($H$3,0,0,'Données projet'!$E$10+1,1))</f>
        <v>752.45542076695506</v>
      </c>
      <c r="AO76" s="59">
        <f t="shared" si="90"/>
        <v>329.70629768420724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7.883663398737216</v>
      </c>
      <c r="AV76" s="21">
        <f>EXP(-LN(2)/25)*AV75+(1-EXP(-LN(2)/25))/(LN(2)/25)*Calculateur!AQ76*Calculateur!AS76*VLOOKUP('Données projet'!$B$10,Paramètres!$A$1:$I$89,3,0)*0.475*44/12</f>
        <v>31.213552100781044</v>
      </c>
      <c r="AW76" s="21">
        <f>EXP(-LN(2)/2)*AW75+(1-EXP(-LN(2)/2))/(LN(2)/2)*AQ76*AT76*VLOOKUP('Données projet'!$B$10,Paramètres!$A$1:$I$89,3,0)*0.475*44/12</f>
        <v>0.50712189990864232</v>
      </c>
      <c r="AX76" s="21">
        <f t="shared" si="60"/>
        <v>39.604337399426896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286.64689950000025</v>
      </c>
      <c r="BF76" s="13">
        <f t="shared" si="91"/>
        <v>68.369766038399021</v>
      </c>
      <c r="BG76" s="20">
        <f t="shared" si="61"/>
        <v>618.32069247937864</v>
      </c>
      <c r="BH76" s="59">
        <f t="shared" si="62"/>
        <v>886.10347667730048</v>
      </c>
      <c r="BI76" s="59">
        <f ca="1">AVERAGE(OFFSET($BH$3,0,0,'Données projet'!$E$11+1,1))-AVERAGE(OFFSET($H$3,0,0,'Données projet'!$E$11+1,1))</f>
        <v>711.91538686535682</v>
      </c>
      <c r="BJ76" s="59">
        <f t="shared" si="92"/>
        <v>313.24593837351722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7.3985148818918498</v>
      </c>
      <c r="BQ76" s="21">
        <f>EXP(-LN(2)/25)*BQ75+(1-EXP(-LN(2)/25))/(LN(2)/25)*Calculateur!BL76*Calculateur!BN76*VLOOKUP('Données projet'!$B$11,Paramètres!$A$1:$I$89,3,0)*0.475*44/12</f>
        <v>29.292718125348355</v>
      </c>
      <c r="BR76" s="21">
        <f>EXP(-LN(2)/2)*BR75+(1-EXP(-LN(2)/2))/(LN(2)/2)*BL76*BO76*VLOOKUP('Données projet'!$B$11,Paramètres!$A$1:$I$89,3,0)*0.475*44/12</f>
        <v>0.47591439837580263</v>
      </c>
      <c r="BS76" s="22">
        <f t="shared" si="63"/>
        <v>37.167147405616006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9.733749999999997</v>
      </c>
      <c r="BY76" s="12">
        <f>IF('Données projet'!$A$114&gt;35,BY75+BX76-CG75,IF(A76&lt;'Données projet'!$A$114,$BV$205^A76,IF(A76='Données projet'!$A$114,'Données projet'!$B$114,BY75+BX76-CG75)))</f>
        <v>301.22625000000028</v>
      </c>
      <c r="BZ76" s="13">
        <f>BY76*VLOOKUP('Données projet'!$B$12,Paramètres!$A$1:$I$89,3,0)*VLOOKUP('Données projet'!$B$12,Paramètres!$A$1:$I$89,5,0)</f>
        <v>291.34602900000027</v>
      </c>
      <c r="CA76" s="13">
        <f t="shared" si="93"/>
        <v>69.359179732526314</v>
      </c>
      <c r="CB76" s="20">
        <f t="shared" si="64"/>
        <v>628.22823854248372</v>
      </c>
      <c r="CC76" s="59">
        <f t="shared" si="65"/>
        <v>896.01102274040545</v>
      </c>
      <c r="CD76" s="59">
        <f ca="1">AVERAGE(OFFSET($CC$3,0,0,'Données projet'!$E$12+1,1))-AVERAGE(OFFSET($H$3,0,0,'Données projet'!$E$12+1,1))</f>
        <v>722.05521609092671</v>
      </c>
      <c r="CE76" s="59">
        <f t="shared" si="94"/>
        <v>317.36319714884644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7.5198020111031925</v>
      </c>
      <c r="CL76" s="21">
        <f>EXP(-LN(2)/25)*CL75+(1-EXP(-LN(2)/25))/(LN(2)/25)*Calculateur!CG76*Calculateur!CI76*VLOOKUP('Données projet'!$B$12,Paramètres!$A$1:$I$89,3,0)*0.475*44/12</f>
        <v>29.77292661920653</v>
      </c>
      <c r="CM76" s="21">
        <f>EXP(-LN(2)/2)*CM75+(1-EXP(-LN(2)/2))/(LN(2)/2)*CG76*CJ76*VLOOKUP('Données projet'!$B$12,Paramètres!$A$1:$I$89,3,0)*0.475*44/12</f>
        <v>0.48371627375901255</v>
      </c>
      <c r="CN76" s="22">
        <f t="shared" si="66"/>
        <v>37.77644490406874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9.733749999999997</v>
      </c>
      <c r="CT76" s="12">
        <f>IF('Données projet'!$A$140&gt;35,CT75+CS76-DB75,IF(A76&lt;'Données projet'!$A$140,$CQ$205^A76,IF(A76='Données projet'!$A$140,'Données projet'!$B$140,CT75+CS76-DB75)))</f>
        <v>301.22625000000028</v>
      </c>
      <c r="CU76" s="17">
        <f>CT76*VLOOKUP('Données projet'!$B$13,Paramètres!$A$1:$I$89,3,0)*VLOOKUP('Données projet'!$B$13,Paramètres!$A$1:$I$89,5,0)</f>
        <v>324.23993550000029</v>
      </c>
      <c r="CV76" s="13">
        <f t="shared" si="95"/>
        <v>76.234877733067975</v>
      </c>
      <c r="CW76" s="20">
        <f t="shared" si="67"/>
        <v>697.4936330475939</v>
      </c>
      <c r="CX76" s="59">
        <f t="shared" si="68"/>
        <v>965.27641724551563</v>
      </c>
      <c r="CY76" s="59">
        <f ca="1">AVERAGE(OFFSET($CX$3,0,0,'Données projet'!$E$13+1,1))-AVERAGE(OFFSET($H$3,0,0,'Données projet'!$E$13+1,1))</f>
        <v>792.94606354161886</v>
      </c>
      <c r="CZ76" s="59">
        <f t="shared" si="96"/>
        <v>346.14443498270919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8.3688119155825849</v>
      </c>
      <c r="DG76" s="21">
        <f>EXP(-LN(2)/25)*DG75+(1-EXP(-LN(2)/25))/(LN(2)/25)*Calculateur!DB76*Calculateur!DD76*VLOOKUP('Données projet'!$B$13,Paramètres!$A$1:$I$89,3,0)*0.475*44/12</f>
        <v>33.134386076213708</v>
      </c>
      <c r="DH76" s="21">
        <f>EXP(-LN(2)/2)*DH75+(1-EXP(-LN(2)/2))/(LN(2)/2)*DB76*DE76*VLOOKUP('Données projet'!$B$13,Paramètres!$A$1:$I$89,3,0)*0.475*44/12</f>
        <v>0.53832940144148145</v>
      </c>
      <c r="DI76" s="22">
        <f t="shared" si="69"/>
        <v>42.041527393237772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2.1794871794871766</v>
      </c>
      <c r="DO76" s="12">
        <f>IF('Données projet'!$A$166&gt;35,DO75+DN76-DW75,IF(A76&lt;'Données projet'!$A$166,$DL$205^A76,IF(A76='Données projet'!$A$166,'Données projet'!$B$166,DO75+DN76-DW75)))</f>
        <v>126.41025641025632</v>
      </c>
      <c r="DP76" s="17">
        <f>DO76*VLOOKUP('Données projet'!$B$14,Paramètres!$A$1:$I$89,3,0)*VLOOKUP('Données projet'!$B$14,Paramètres!$A$1:$I$89,5,0)</f>
        <v>132.12399999999994</v>
      </c>
      <c r="DQ76" s="13">
        <f t="shared" si="97"/>
        <v>34.486689488144428</v>
      </c>
      <c r="DR76" s="20">
        <f t="shared" si="70"/>
        <v>290.18028419185146</v>
      </c>
      <c r="DS76" s="59">
        <f t="shared" si="71"/>
        <v>557.9630683897733</v>
      </c>
      <c r="DT76" s="59">
        <f ca="1">AVERAGE(OFFSET($DS$3,0,0,'Données projet'!$E$14+1,1))-AVERAGE(OFFSET($H$3,0,0,'Données projet'!$E$14+1,1))</f>
        <v>269.21114382490202</v>
      </c>
      <c r="DU76" s="59">
        <f t="shared" si="98"/>
        <v>233.07776944102309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0.82789306781237959</v>
      </c>
      <c r="EB76" s="21">
        <f>EXP(-LN(2)/25)*EB75+(1-EXP(-LN(2)/25))/(LN(2)/25)*Calculateur!DW76*Calculateur!DY76*VLOOKUP('Données projet'!$B$14,Paramètres!$A$1:$I$89,3,0)*0.475*44/12</f>
        <v>15.445997311449274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16.273890379261655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9.733749999999997</v>
      </c>
      <c r="FE76" s="12">
        <f>IF('Données projet'!$A$218&gt;35,FE75+FD76-FM75,IF(A76&lt;'Données projet'!$A$218,$FB$205^A76,IF(A76='Données projet'!$A$218,'Données projet'!$B$218,FE75+FD76-FM75)))</f>
        <v>301.22625000000028</v>
      </c>
      <c r="FF76" s="17">
        <f>FE76*VLOOKUP('Données projet'!$B$16,Paramètres!$A$1:$I$89,3,0)*VLOOKUP('Données projet'!$B$16,Paramètres!$A$1:$I$89,5,0)</f>
        <v>343.03645350000033</v>
      </c>
      <c r="FG76" s="13">
        <f t="shared" si="101"/>
        <v>80.126971940744099</v>
      </c>
      <c r="FH76" s="20">
        <f t="shared" si="76"/>
        <v>737.00963264262998</v>
      </c>
      <c r="FI76" s="59">
        <f t="shared" si="77"/>
        <v>1004.7924168405518</v>
      </c>
      <c r="FJ76" s="59">
        <f ca="1">AVERAGE(OFFSET($FI$3,0,0,'Données projet'!$E$16+1,1))-AVERAGE(OFFSET($H$3,0,0,'Données projet'!$E$16+1,1))</f>
        <v>833.39050463936144</v>
      </c>
      <c r="FK76" s="59">
        <f t="shared" si="102"/>
        <v>362.56178526355507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8.8539604324279519</v>
      </c>
      <c r="FR76" s="21">
        <f>EXP(-LN(2)/25)*FR75+(1-EXP(-LN(2)/25))/(LN(2)/25)*Calculateur!FM76*Calculateur!FO76*VLOOKUP('Données projet'!$B$16,Paramètres!$A$1:$I$89,3,0)*0.475*44/12</f>
        <v>35.055220051646408</v>
      </c>
      <c r="FS76" s="21">
        <f>EXP(-LN(2)/2)*FS75+(1-EXP(-LN(2)/2))/(LN(2)/2)*FM76*FP76*VLOOKUP('Données projet'!$B$16,Paramètres!$A$1:$I$89,3,0)*0.475*44/12</f>
        <v>0.56953690297432102</v>
      </c>
      <c r="FT76" s="22">
        <f t="shared" si="78"/>
        <v>44.478717387048682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875.38884017638168</v>
      </c>
      <c r="S77" s="59">
        <f ca="1">AVERAGE(OFFSET($R$3,0,0,'Données projet'!$E$9+1,1))-AVERAGE(OFFSET($H$3,0,0,'Données projet'!$E$9+1,1))</f>
        <v>681.47578137804555</v>
      </c>
      <c r="T77" s="59">
        <f t="shared" si="88"/>
        <v>300.88511065995885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315.31344000000024</v>
      </c>
      <c r="AK77" s="13">
        <f t="shared" si="89"/>
        <v>74.377387976510789</v>
      </c>
      <c r="AL77" s="20">
        <f t="shared" si="58"/>
        <v>678.71152539242337</v>
      </c>
      <c r="AM77" s="59">
        <f t="shared" si="59"/>
        <v>946.93755449537423</v>
      </c>
      <c r="AN77" s="59">
        <f ca="1">AVERAGE(OFFSET($AM$3,0,0,'Données projet'!$E$10+1,1))-AVERAGE(OFFSET($H$3,0,0,'Données projet'!$E$10+1,1))</f>
        <v>752.45542076695506</v>
      </c>
      <c r="AO77" s="59">
        <f t="shared" si="90"/>
        <v>329.70629768420724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16.390256852917666</v>
      </c>
      <c r="AV77" s="21">
        <f>EXP(-LN(2)/25)*AV76+(1-EXP(-LN(2)/25))/(LN(2)/25)*Calculateur!AQ77*Calculateur!AS77*VLOOKUP('Données projet'!$B$10,Paramètres!$A$1:$I$89,3,0)*0.475*44/12</f>
        <v>35.289778671626223</v>
      </c>
      <c r="AW77" s="21">
        <f>EXP(-LN(2)/2)*AW76+(1-EXP(-LN(2)/2))/(LN(2)/2)*AQ77*AT77*VLOOKUP('Données projet'!$B$10,Paramètres!$A$1:$I$89,3,0)*0.475*44/12</f>
        <v>5.2704734544118432</v>
      </c>
      <c r="AX77" s="21">
        <f t="shared" si="60"/>
        <v>56.950508978955732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295.90953600000029</v>
      </c>
      <c r="BF77" s="13">
        <f t="shared" si="91"/>
        <v>70.318261143223381</v>
      </c>
      <c r="BG77" s="20">
        <f t="shared" si="61"/>
        <v>637.8467466911145</v>
      </c>
      <c r="BH77" s="59">
        <f t="shared" si="62"/>
        <v>906.07277579406536</v>
      </c>
      <c r="BI77" s="59">
        <f ca="1">AVERAGE(OFFSET($BH$3,0,0,'Données projet'!$E$11+1,1))-AVERAGE(OFFSET($H$3,0,0,'Données projet'!$E$11+1,1))</f>
        <v>711.91538686535682</v>
      </c>
      <c r="BJ77" s="59">
        <f t="shared" si="92"/>
        <v>313.24593837351722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15.381625661968885</v>
      </c>
      <c r="BQ77" s="21">
        <f>EXP(-LN(2)/25)*BQ76+(1-EXP(-LN(2)/25))/(LN(2)/25)*Calculateur!BL77*Calculateur!BN77*VLOOKUP('Données projet'!$B$11,Paramètres!$A$1:$I$89,3,0)*0.475*44/12</f>
        <v>33.118099984141523</v>
      </c>
      <c r="BR77" s="21">
        <f>EXP(-LN(2)/2)*BR76+(1-EXP(-LN(2)/2))/(LN(2)/2)*BL77*BO77*VLOOKUP('Données projet'!$B$11,Paramètres!$A$1:$I$89,3,0)*0.475*44/12</f>
        <v>4.9461366264480375</v>
      </c>
      <c r="BS77" s="22">
        <f t="shared" si="63"/>
        <v>53.445862272558443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9.733749999999997</v>
      </c>
      <c r="BX77" s="12">
        <f t="array" ref="BX77">INDEX(BW:BW,MIN(IF(ISNUMBER(BW77:BW273),ROW(BW77:BW273),"")))</f>
        <v>9.733749999999997</v>
      </c>
      <c r="BY77" s="12">
        <f>IF('Données projet'!$A$114&gt;35,BY76+BX77-CG76,IF(A77&lt;'Données projet'!$A$114,$BV$205^A77,IF(A77='Données projet'!$A$114,'Données projet'!$B$114,BY76+BX77-CG76)))</f>
        <v>310.96000000000026</v>
      </c>
      <c r="BZ77" s="13">
        <f>BY77*VLOOKUP('Données projet'!$B$12,Paramètres!$A$1:$I$89,3,0)*VLOOKUP('Données projet'!$B$12,Paramètres!$A$1:$I$89,5,0)</f>
        <v>300.76051200000029</v>
      </c>
      <c r="CA77" s="13">
        <f t="shared" si="93"/>
        <v>71.335872502069464</v>
      </c>
      <c r="CB77" s="20">
        <f t="shared" si="64"/>
        <v>648.06786967443816</v>
      </c>
      <c r="CC77" s="59">
        <f t="shared" si="65"/>
        <v>916.29389877738902</v>
      </c>
      <c r="CD77" s="59">
        <f ca="1">AVERAGE(OFFSET($CC$3,0,0,'Données projet'!$E$12+1,1))-AVERAGE(OFFSET($H$3,0,0,'Données projet'!$E$12+1,1))</f>
        <v>722.05521609092671</v>
      </c>
      <c r="CE77" s="59">
        <f t="shared" si="94"/>
        <v>317.36319714884644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51.339999999999975</v>
      </c>
      <c r="CH77" s="16">
        <f>IF(ISNA(VLOOKUP(A77,'Données projet'!$A$113:$I$133,5,0)),0%,VLOOKUP(A77,'Données projet'!$A$113:$I$133,5,0)*VLOOKUP('Données projet'!$B$12,Paramètres!$A$1:$I$89,7,0))</f>
        <v>0.15049999999999999</v>
      </c>
      <c r="CI77" s="16">
        <f>IF(ISNA(VLOOKUP(A77,'Données projet'!$A$113:$I$133,6,0)),0%,VLOOKUP(A77,'Données projet'!$A$113:$I$133,6,0)*VLOOKUP('Données projet'!$B$12,Paramètres!$A$1:$I$89,7,0))</f>
        <v>8.6000000000000007E-2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15.633783459706082</v>
      </c>
      <c r="CL77" s="21">
        <f>EXP(-LN(2)/25)*CL76+(1-EXP(-LN(2)/25))/(LN(2)/25)*Calculateur!CG77*Calculateur!CI77*VLOOKUP('Données projet'!$B$12,Paramètres!$A$1:$I$89,3,0)*0.475*44/12</f>
        <v>33.661019656012698</v>
      </c>
      <c r="CM77" s="21">
        <f>EXP(-LN(2)/2)*CM76+(1-EXP(-LN(2)/2))/(LN(2)/2)*CG77*CJ77*VLOOKUP('Données projet'!$B$12,Paramètres!$A$1:$I$89,3,0)*0.475*44/12</f>
        <v>5.0272208334389896</v>
      </c>
      <c r="CN77" s="22">
        <f t="shared" si="66"/>
        <v>54.322023949157767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310.95999999999998</v>
      </c>
      <c r="CR77" s="12">
        <f>VLOOKUP(A77,'Données projet'!$A$139:$I$159,9,0)</f>
        <v>9.733749999999997</v>
      </c>
      <c r="CS77" s="12">
        <f t="array" ref="CS77">INDEX(CR:CR,MIN(IF(ISNUMBER(CR77:CR273),ROW(CR77:CR273),"")))</f>
        <v>9.733749999999997</v>
      </c>
      <c r="CT77" s="12">
        <f>IF('Données projet'!$A$140&gt;35,CT76+CS77-DB76,IF(A77&lt;'Données projet'!$A$140,$CQ$205^A77,IF(A77='Données projet'!$A$140,'Données projet'!$B$140,CT76+CS77-DB76)))</f>
        <v>310.96000000000026</v>
      </c>
      <c r="CU77" s="17">
        <f>CT77*VLOOKUP('Données projet'!$B$13,Paramètres!$A$1:$I$89,3,0)*VLOOKUP('Données projet'!$B$13,Paramètres!$A$1:$I$89,5,0)</f>
        <v>334.71734400000025</v>
      </c>
      <c r="CV77" s="13">
        <f t="shared" si="95"/>
        <v>78.407523548417757</v>
      </c>
      <c r="CW77" s="20">
        <f t="shared" si="67"/>
        <v>719.52581098016128</v>
      </c>
      <c r="CX77" s="59">
        <f t="shared" si="68"/>
        <v>987.75184008311214</v>
      </c>
      <c r="CY77" s="59">
        <f ca="1">AVERAGE(OFFSET($CX$3,0,0,'Données projet'!$E$13+1,1))-AVERAGE(OFFSET($H$3,0,0,'Données projet'!$E$13+1,1))</f>
        <v>792.94606354161886</v>
      </c>
      <c r="CZ77" s="59">
        <f t="shared" si="96"/>
        <v>346.14443498270919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51.339999999999975</v>
      </c>
      <c r="DC77" s="16">
        <f>IF(ISNA(VLOOKUP(A77,'Données projet'!$A$139:$I$159,5,0)),0%,VLOOKUP(A77,'Données projet'!$A$139:$I$159,5,0)*VLOOKUP('Données projet'!$B$13,Paramètres!$A$1:$I$89,7,0))</f>
        <v>0.15049999999999999</v>
      </c>
      <c r="DD77" s="16">
        <f>IF(ISNA(VLOOKUP(A77,'Données projet'!$A$139:$I$159,6,0)),0%,VLOOKUP(A77,'Données projet'!$A$139:$I$159,6,0)*VLOOKUP('Données projet'!$B$13,Paramètres!$A$1:$I$89,7,0))</f>
        <v>8.6000000000000007E-2</v>
      </c>
      <c r="DE77" s="16">
        <f>IF(ISNA(VLOOKUP(A77,'Données projet'!$A$139:$I$159,7,0)),0%,VLOOKUP(A77,'Données projet'!$A$139:$I$159,7,0))</f>
        <v>0.1</v>
      </c>
      <c r="DF77" s="21">
        <f>EXP(-LN(2)/35)*DF76+(1-EXP(-LN(2)/35))/(LN(2)/35)*DB77*DC77*VLOOKUP('Données projet'!$B$13,Paramètres!$A$1:$I$89,3,0)*0.475*44/12</f>
        <v>17.398888043866442</v>
      </c>
      <c r="DG77" s="21">
        <f>EXP(-LN(2)/25)*DG76+(1-EXP(-LN(2)/25))/(LN(2)/25)*Calculateur!DB77*Calculateur!DD77*VLOOKUP('Données projet'!$B$13,Paramètres!$A$1:$I$89,3,0)*0.475*44/12</f>
        <v>37.461457359110895</v>
      </c>
      <c r="DH77" s="21">
        <f>EXP(-LN(2)/2)*DH76+(1-EXP(-LN(2)/2))/(LN(2)/2)*DB77*DE77*VLOOKUP('Données projet'!$B$13,Paramètres!$A$1:$I$89,3,0)*0.475*44/12</f>
        <v>5.594810282375648</v>
      </c>
      <c r="DI77" s="22">
        <f t="shared" si="69"/>
        <v>60.455155685352985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2.1794871794871766</v>
      </c>
      <c r="DO77" s="12">
        <f>IF('Données projet'!$A$166&gt;35,DO76+DN77-DW76,IF(A77&lt;'Données projet'!$A$166,$DL$205^A77,IF(A77='Données projet'!$A$166,'Données projet'!$B$166,DO76+DN77-DW76)))</f>
        <v>128.58974358974351</v>
      </c>
      <c r="DP77" s="17">
        <f>DO77*VLOOKUP('Données projet'!$B$14,Paramètres!$A$1:$I$89,3,0)*VLOOKUP('Données projet'!$B$14,Paramètres!$A$1:$I$89,5,0)</f>
        <v>134.40199999999993</v>
      </c>
      <c r="DQ77" s="13">
        <f t="shared" si="97"/>
        <v>35.011552518023244</v>
      </c>
      <c r="DR77" s="20">
        <f t="shared" si="70"/>
        <v>295.06193730222367</v>
      </c>
      <c r="DS77" s="59">
        <f t="shared" si="71"/>
        <v>563.28796640517453</v>
      </c>
      <c r="DT77" s="59">
        <f ca="1">AVERAGE(OFFSET($DS$3,0,0,'Données projet'!$E$14+1,1))-AVERAGE(OFFSET($H$3,0,0,'Données projet'!$E$14+1,1))</f>
        <v>269.21114382490202</v>
      </c>
      <c r="DU77" s="59">
        <f t="shared" si="98"/>
        <v>233.07776944102309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0.81165858971748905</v>
      </c>
      <c r="EB77" s="21">
        <f>EXP(-LN(2)/25)*EB76+(1-EXP(-LN(2)/25))/(LN(2)/25)*Calculateur!DW77*Calculateur!DY77*VLOOKUP('Données projet'!$B$14,Paramètres!$A$1:$I$89,3,0)*0.475*44/12</f>
        <v>15.023625702697997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15.835284292415485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>
        <f>VLOOKUP(A77,'Données projet'!$A$217:$I$237,2,0)</f>
        <v>310.95999999999998</v>
      </c>
      <c r="FC77" s="12">
        <f>VLOOKUP(A77,'Données projet'!$A$217:$I$237,9,0)</f>
        <v>9.733749999999997</v>
      </c>
      <c r="FD77" s="12">
        <f t="array" ref="FD77">INDEX(FC:FC,MIN(IF(ISNUMBER(FC77:FC273),ROW(FC77:FC273),"")))</f>
        <v>9.733749999999997</v>
      </c>
      <c r="FE77" s="12">
        <f>IF('Données projet'!$A$218&gt;35,FE76+FD77-FM76,IF(A77&lt;'Données projet'!$A$218,$FB$205^A77,IF(A77='Données projet'!$A$218,'Données projet'!$B$218,FE76+FD77-FM76)))</f>
        <v>310.96000000000026</v>
      </c>
      <c r="FF77" s="17">
        <f>FE77*VLOOKUP('Données projet'!$B$16,Paramètres!$A$1:$I$89,3,0)*VLOOKUP('Données projet'!$B$16,Paramètres!$A$1:$I$89,5,0)</f>
        <v>354.12124800000032</v>
      </c>
      <c r="FG77" s="13">
        <f t="shared" si="101"/>
        <v>82.410539980208384</v>
      </c>
      <c r="FH77" s="20">
        <f t="shared" si="76"/>
        <v>760.29286406553013</v>
      </c>
      <c r="FI77" s="59">
        <f t="shared" si="77"/>
        <v>1028.5188931684811</v>
      </c>
      <c r="FJ77" s="59">
        <f ca="1">AVERAGE(OFFSET($FI$3,0,0,'Données projet'!$E$16+1,1))-AVERAGE(OFFSET($H$3,0,0,'Données projet'!$E$16+1,1))</f>
        <v>833.39050463936144</v>
      </c>
      <c r="FK77" s="59">
        <f t="shared" si="102"/>
        <v>362.56178526355507</v>
      </c>
      <c r="FL77" s="15">
        <f>IF(ISNA(VLOOKUP(A77,'Données projet'!$A$217:$I$237,3,0)),0,VLOOKUP(A77,'Données projet'!$A$217:$I$237,3,0))</f>
        <v>5</v>
      </c>
      <c r="FM77" s="15">
        <f>IF(ISNA(VLOOKUP(A77,'Données projet'!$A$217:$I$237,4,0)),0,VLOOKUP(A77,'Données projet'!$A$217:$I$237,4,0))</f>
        <v>51.339999999999975</v>
      </c>
      <c r="FN77" s="16">
        <f>IF(ISNA(VLOOKUP(A77,'Données projet'!$A$217:$I$237,5,0)),0%,VLOOKUP(A77,'Données projet'!$A$217:$I$237,5,0)*VLOOKUP('Données projet'!$B$16,Paramètres!$A$1:$I$89,7,0))</f>
        <v>0.15049999999999999</v>
      </c>
      <c r="FO77" s="16">
        <f>IF(ISNA(VLOOKUP(A77,'Données projet'!$A$217:$I$237,6,0)),0%,VLOOKUP(A77,'Données projet'!$A$217:$I$237,6,0)*VLOOKUP('Données projet'!$B$16,Paramètres!$A$1:$I$89,7,0))</f>
        <v>8.6000000000000007E-2</v>
      </c>
      <c r="FP77" s="16">
        <f>IF(ISNA(VLOOKUP(A77,'Données projet'!$A$217:$I$237,7,0)),0%,VLOOKUP(A77,'Données projet'!$A$217:$I$237,7,0))</f>
        <v>0.1</v>
      </c>
      <c r="FQ77" s="21">
        <f>EXP(-LN(2)/35)*FQ76+(1-EXP(-LN(2)/35))/(LN(2)/35)*FM77*FN77*VLOOKUP('Données projet'!$B$16,Paramètres!$A$1:$I$89,3,0)*0.475*44/12</f>
        <v>18.407519234815226</v>
      </c>
      <c r="FR77" s="21">
        <f>EXP(-LN(2)/25)*FR76+(1-EXP(-LN(2)/25))/(LN(2)/25)*Calculateur!FM77*Calculateur!FO77*VLOOKUP('Données projet'!$B$16,Paramètres!$A$1:$I$89,3,0)*0.475*44/12</f>
        <v>39.63313604659561</v>
      </c>
      <c r="FS77" s="21">
        <f>EXP(-LN(2)/2)*FS76+(1-EXP(-LN(2)/2))/(LN(2)/2)*FM77*FP77*VLOOKUP('Données projet'!$B$16,Paramètres!$A$1:$I$89,3,0)*0.475*44/12</f>
        <v>5.9191471103394537</v>
      </c>
      <c r="FT77" s="22">
        <f t="shared" si="78"/>
        <v>63.959802391750287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795.93954137716287</v>
      </c>
      <c r="S78" s="59">
        <f ca="1">AVERAGE(OFFSET($R$3,0,0,'Données projet'!$E$9+1,1))-AVERAGE(OFFSET($H$3,0,0,'Données projet'!$E$9+1,1))</f>
        <v>681.47578137804555</v>
      </c>
      <c r="T78" s="59">
        <f t="shared" si="88"/>
        <v>300.88511065995885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272.93533800000034</v>
      </c>
      <c r="AK78" s="13">
        <f t="shared" si="89"/>
        <v>65.471829519996945</v>
      </c>
      <c r="AL78" s="20">
        <f t="shared" si="58"/>
        <v>589.39248343066197</v>
      </c>
      <c r="AM78" s="59">
        <f t="shared" si="59"/>
        <v>858.05406813048671</v>
      </c>
      <c r="AN78" s="59">
        <f ca="1">AVERAGE(OFFSET($AM$3,0,0,'Données projet'!$E$10+1,1))-AVERAGE(OFFSET($H$3,0,0,'Données projet'!$E$10+1,1))</f>
        <v>752.45542076695506</v>
      </c>
      <c r="AO78" s="59">
        <f t="shared" si="90"/>
        <v>329.70629768420724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16.068853913101503</v>
      </c>
      <c r="AV78" s="21">
        <f>EXP(-LN(2)/25)*AV77+(1-EXP(-LN(2)/25))/(LN(2)/25)*Calculateur!AQ78*Calculateur!AS78*VLOOKUP('Données projet'!$B$10,Paramètres!$A$1:$I$89,3,0)*0.475*44/12</f>
        <v>34.324777818041802</v>
      </c>
      <c r="AW78" s="21">
        <f>EXP(-LN(2)/2)*AW77+(1-EXP(-LN(2)/2))/(LN(2)/2)*AQ78*AT78*VLOOKUP('Données projet'!$B$10,Paramètres!$A$1:$I$89,3,0)*0.475*44/12</f>
        <v>3.7267875196783029</v>
      </c>
      <c r="AX78" s="21">
        <f t="shared" si="60"/>
        <v>54.120419250821605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256.13931720000033</v>
      </c>
      <c r="BF78" s="13">
        <f t="shared" si="91"/>
        <v>61.898721250680353</v>
      </c>
      <c r="BG78" s="20">
        <f t="shared" si="61"/>
        <v>553.91625030160219</v>
      </c>
      <c r="BH78" s="59">
        <f t="shared" si="62"/>
        <v>822.57783500142705</v>
      </c>
      <c r="BI78" s="59">
        <f ca="1">AVERAGE(OFFSET($BH$3,0,0,'Données projet'!$E$11+1,1))-AVERAGE(OFFSET($H$3,0,0,'Données projet'!$E$11+1,1))</f>
        <v>711.91538686535682</v>
      </c>
      <c r="BJ78" s="59">
        <f t="shared" si="92"/>
        <v>313.24593837351722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15.080001364602946</v>
      </c>
      <c r="BQ78" s="21">
        <f>EXP(-LN(2)/25)*BQ77+(1-EXP(-LN(2)/25))/(LN(2)/25)*Calculateur!BL78*Calculateur!BN78*VLOOKUP('Données projet'!$B$11,Paramètres!$A$1:$I$89,3,0)*0.475*44/12</f>
        <v>32.212483798469989</v>
      </c>
      <c r="BR78" s="21">
        <f>EXP(-LN(2)/2)*BR77+(1-EXP(-LN(2)/2))/(LN(2)/2)*BL78*BO78*VLOOKUP('Données projet'!$B$11,Paramètres!$A$1:$I$89,3,0)*0.475*44/12</f>
        <v>3.4974467492365608</v>
      </c>
      <c r="BS78" s="22">
        <f t="shared" si="63"/>
        <v>50.789931912309498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9.546999999999997</v>
      </c>
      <c r="BY78" s="12">
        <f>IF('Données projet'!$A$114&gt;35,BY77+BX78-CG77,IF(A78&lt;'Données projet'!$A$114,$BV$205^A78,IF(A78='Données projet'!$A$114,'Données projet'!$B$114,BY77+BX78-CG77)))</f>
        <v>269.16700000000031</v>
      </c>
      <c r="BZ78" s="13">
        <f>BY78*VLOOKUP('Données projet'!$B$12,Paramètres!$A$1:$I$89,3,0)*VLOOKUP('Données projet'!$B$12,Paramètres!$A$1:$I$89,5,0)</f>
        <v>260.33832240000027</v>
      </c>
      <c r="CA78" s="13">
        <f t="shared" si="93"/>
        <v>62.794489161016493</v>
      </c>
      <c r="CB78" s="20">
        <f t="shared" si="64"/>
        <v>562.78964680210413</v>
      </c>
      <c r="CC78" s="59">
        <f t="shared" si="65"/>
        <v>831.45123150192899</v>
      </c>
      <c r="CD78" s="59">
        <f ca="1">AVERAGE(OFFSET($CC$3,0,0,'Données projet'!$E$12+1,1))-AVERAGE(OFFSET($H$3,0,0,'Données projet'!$E$12+1,1))</f>
        <v>722.05521609092671</v>
      </c>
      <c r="CE78" s="59">
        <f t="shared" si="94"/>
        <v>317.36319714884644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15.327214501727587</v>
      </c>
      <c r="CL78" s="21">
        <f>EXP(-LN(2)/25)*CL77+(1-EXP(-LN(2)/25))/(LN(2)/25)*Calculateur!CG78*Calculateur!CI78*VLOOKUP('Données projet'!$B$12,Paramètres!$A$1:$I$89,3,0)*0.475*44/12</f>
        <v>32.740557303362941</v>
      </c>
      <c r="CM78" s="21">
        <f>EXP(-LN(2)/2)*CM77+(1-EXP(-LN(2)/2))/(LN(2)/2)*CG78*CJ78*VLOOKUP('Données projet'!$B$12,Paramètres!$A$1:$I$89,3,0)*0.475*44/12</f>
        <v>3.554781941846997</v>
      </c>
      <c r="CN78" s="22">
        <f t="shared" si="66"/>
        <v>51.622553746937527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9.546999999999997</v>
      </c>
      <c r="CT78" s="12">
        <f>IF('Données projet'!$A$140&gt;35,CT77+CS78-DB77,IF(A78&lt;'Données projet'!$A$140,$CQ$205^A78,IF(A78='Données projet'!$A$140,'Données projet'!$B$140,CT77+CS78-DB77)))</f>
        <v>269.16700000000031</v>
      </c>
      <c r="CU78" s="17">
        <f>CT78*VLOOKUP('Données projet'!$B$13,Paramètres!$A$1:$I$89,3,0)*VLOOKUP('Données projet'!$B$13,Paramètres!$A$1:$I$89,5,0)</f>
        <v>289.73135880000035</v>
      </c>
      <c r="CV78" s="13">
        <f t="shared" si="95"/>
        <v>69.01941778956207</v>
      </c>
      <c r="CW78" s="20">
        <f t="shared" si="67"/>
        <v>624.82426922682123</v>
      </c>
      <c r="CX78" s="59">
        <f t="shared" si="68"/>
        <v>893.48585392664609</v>
      </c>
      <c r="CY78" s="59">
        <f ca="1">AVERAGE(OFFSET($CX$3,0,0,'Données projet'!$E$13+1,1))-AVERAGE(OFFSET($H$3,0,0,'Données projet'!$E$13+1,1))</f>
        <v>792.94606354161886</v>
      </c>
      <c r="CZ78" s="59">
        <f t="shared" si="96"/>
        <v>346.14443498270919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17.057706461600052</v>
      </c>
      <c r="DG78" s="21">
        <f>EXP(-LN(2)/25)*DG77+(1-EXP(-LN(2)/25))/(LN(2)/25)*Calculateur!DB78*Calculateur!DD78*VLOOKUP('Données projet'!$B$13,Paramètres!$A$1:$I$89,3,0)*0.475*44/12</f>
        <v>36.437071837613587</v>
      </c>
      <c r="DH78" s="21">
        <f>EXP(-LN(2)/2)*DH77+(1-EXP(-LN(2)/2))/(LN(2)/2)*DB78*DE78*VLOOKUP('Données projet'!$B$13,Paramètres!$A$1:$I$89,3,0)*0.475*44/12</f>
        <v>3.9561282901200436</v>
      </c>
      <c r="DI78" s="22">
        <f t="shared" si="69"/>
        <v>57.450906589333677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130.76923076923075</v>
      </c>
      <c r="DM78" s="12">
        <f>VLOOKUP(A78,'Données projet'!$A$165:$I$185,9,0)</f>
        <v>2.1794871794871766</v>
      </c>
      <c r="DN78" s="12">
        <f t="array" ref="DN78">INDEX(DM:DM,MIN(IF(ISNUMBER(DM78:DM274),ROW(DM78:DM274),"")))</f>
        <v>2.1794871794871766</v>
      </c>
      <c r="DO78" s="12">
        <f>IF('Données projet'!$A$166&gt;35,DO77+DN78-DW77,IF(A78&lt;'Données projet'!$A$166,$DL$205^A78,IF(A78='Données projet'!$A$166,'Données projet'!$B$166,DO77+DN78-DW77)))</f>
        <v>130.76923076923069</v>
      </c>
      <c r="DP78" s="17">
        <f>DO78*VLOOKUP('Données projet'!$B$14,Paramètres!$A$1:$I$89,3,0)*VLOOKUP('Données projet'!$B$14,Paramètres!$A$1:$I$89,5,0)</f>
        <v>136.67999999999992</v>
      </c>
      <c r="DQ78" s="13">
        <f t="shared" si="97"/>
        <v>35.535381023829849</v>
      </c>
      <c r="DR78" s="20">
        <f t="shared" si="70"/>
        <v>299.94178861650352</v>
      </c>
      <c r="DS78" s="59">
        <f t="shared" si="71"/>
        <v>568.60337331632832</v>
      </c>
      <c r="DT78" s="59">
        <f ca="1">AVERAGE(OFFSET($DS$3,0,0,'Données projet'!$E$14+1,1))-AVERAGE(OFFSET($H$3,0,0,'Données projet'!$E$14+1,1))</f>
        <v>269.21114382490202</v>
      </c>
      <c r="DU78" s="59">
        <f t="shared" si="98"/>
        <v>233.07776944102309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7.6923076923076916</v>
      </c>
      <c r="DX78" s="16">
        <f>IF(ISNA(VLOOKUP(A78,'Données projet'!$A$165:$I$185,5,0)),0%,VLOOKUP(A78,'Données projet'!$A$165:$I$185,5,0)*VLOOKUP('Données projet'!$B$14,Paramètres!$A$1:$I$89,7,0))</f>
        <v>4.3000000000000003E-2</v>
      </c>
      <c r="DY78" s="16">
        <f>IF(ISNA(VLOOKUP(A78,'Données projet'!$A$165:$I$185,6,0)),0%,VLOOKUP(A78,'Données projet'!$A$165:$I$185,6,0)*VLOOKUP('Données projet'!$B$14,Paramètres!$A$1:$I$89,7,0))</f>
        <v>0.215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1.177925679448117</v>
      </c>
      <c r="EB78" s="21">
        <f>EXP(-LN(2)/25)*EB77+(1-EXP(-LN(2)/25))/(LN(2)/25)*Calculateur!DW78*Calculateur!DY78*VLOOKUP('Données projet'!$B$14,Paramètres!$A$1:$I$89,3,0)*0.475*44/12</f>
        <v>16.516195961066057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17.694121640514172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9.546999999999997</v>
      </c>
      <c r="FE78" s="12">
        <f>IF('Données projet'!$A$218&gt;35,FE77+FD78-FM77,IF(A78&lt;'Données projet'!$A$218,$FB$205^A78,IF(A78='Données projet'!$A$218,'Données projet'!$B$218,FE77+FD78-FM77)))</f>
        <v>269.16700000000031</v>
      </c>
      <c r="FF78" s="17">
        <f>FE78*VLOOKUP('Données projet'!$B$16,Paramètres!$A$1:$I$89,3,0)*VLOOKUP('Données projet'!$B$16,Paramètres!$A$1:$I$89,5,0)</f>
        <v>306.52737960000036</v>
      </c>
      <c r="FG78" s="13">
        <f t="shared" si="101"/>
        <v>72.543134022655863</v>
      </c>
      <c r="FH78" s="20">
        <f t="shared" si="76"/>
        <v>660.21447789279284</v>
      </c>
      <c r="FI78" s="59">
        <f t="shared" si="77"/>
        <v>928.8760625926177</v>
      </c>
      <c r="FJ78" s="59">
        <f ca="1">AVERAGE(OFFSET($FI$3,0,0,'Données projet'!$E$16+1,1))-AVERAGE(OFFSET($H$3,0,0,'Données projet'!$E$16+1,1))</f>
        <v>833.39050463936144</v>
      </c>
      <c r="FK78" s="59">
        <f t="shared" si="102"/>
        <v>362.56178526355507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18.046559010098612</v>
      </c>
      <c r="FR78" s="21">
        <f>EXP(-LN(2)/25)*FR77+(1-EXP(-LN(2)/25))/(LN(2)/25)*Calculateur!FM78*Calculateur!FO78*VLOOKUP('Données projet'!$B$16,Paramètres!$A$1:$I$89,3,0)*0.475*44/12</f>
        <v>38.549365857185414</v>
      </c>
      <c r="FS78" s="21">
        <f>EXP(-LN(2)/2)*FS77+(1-EXP(-LN(2)/2))/(LN(2)/2)*FM78*FP78*VLOOKUP('Données projet'!$B$16,Paramètres!$A$1:$I$89,3,0)*0.475*44/12</f>
        <v>4.1854690605617852</v>
      </c>
      <c r="FT78" s="22">
        <f t="shared" si="78"/>
        <v>60.781393927845812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814.63712466398783</v>
      </c>
      <c r="S79" s="59">
        <f ca="1">AVERAGE(OFFSET($R$3,0,0,'Données projet'!$E$9+1,1))-AVERAGE(OFFSET($H$3,0,0,'Données projet'!$E$9+1,1))</f>
        <v>681.47578137804555</v>
      </c>
      <c r="T79" s="59">
        <f t="shared" si="88"/>
        <v>300.88511065995885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282.61599600000028</v>
      </c>
      <c r="AK79" s="13">
        <f t="shared" si="89"/>
        <v>67.519544470872418</v>
      </c>
      <c r="AL79" s="20">
        <f t="shared" si="58"/>
        <v>609.81939965343656</v>
      </c>
      <c r="AM79" s="59">
        <f t="shared" si="59"/>
        <v>878.90898403428605</v>
      </c>
      <c r="AN79" s="59">
        <f ca="1">AVERAGE(OFFSET($AM$3,0,0,'Données projet'!$E$10+1,1))-AVERAGE(OFFSET($H$3,0,0,'Données projet'!$E$10+1,1))</f>
        <v>752.45542076695506</v>
      </c>
      <c r="AO79" s="59">
        <f t="shared" si="90"/>
        <v>329.70629768420724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15.753753488898697</v>
      </c>
      <c r="AV79" s="21">
        <f>EXP(-LN(2)/25)*AV78+(1-EXP(-LN(2)/25))/(LN(2)/25)*Calculateur!AQ79*Calculateur!AS79*VLOOKUP('Données projet'!$B$10,Paramètres!$A$1:$I$89,3,0)*0.475*44/12</f>
        <v>33.386164963545838</v>
      </c>
      <c r="AW79" s="21">
        <f>EXP(-LN(2)/2)*AW78+(1-EXP(-LN(2)/2))/(LN(2)/2)*AQ79*AT79*VLOOKUP('Données projet'!$B$10,Paramètres!$A$1:$I$89,3,0)*0.475*44/12</f>
        <v>2.6352367272059221</v>
      </c>
      <c r="AX79" s="21">
        <f t="shared" si="60"/>
        <v>51.775155179650454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265.22424240000026</v>
      </c>
      <c r="BF79" s="13">
        <f t="shared" si="91"/>
        <v>63.834682684389406</v>
      </c>
      <c r="BG79" s="20">
        <f t="shared" si="61"/>
        <v>573.11096118864532</v>
      </c>
      <c r="BH79" s="59">
        <f t="shared" si="62"/>
        <v>842.20054556949481</v>
      </c>
      <c r="BI79" s="59">
        <f ca="1">AVERAGE(OFFSET($BH$3,0,0,'Données projet'!$E$11+1,1))-AVERAGE(OFFSET($H$3,0,0,'Données projet'!$E$11+1,1))</f>
        <v>711.91538686535682</v>
      </c>
      <c r="BJ79" s="59">
        <f t="shared" si="92"/>
        <v>313.24593837351722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14.784291735735698</v>
      </c>
      <c r="BQ79" s="21">
        <f>EXP(-LN(2)/25)*BQ78+(1-EXP(-LN(2)/25))/(LN(2)/25)*Calculateur!BL79*Calculateur!BN79*VLOOKUP('Données projet'!$B$11,Paramètres!$A$1:$I$89,3,0)*0.475*44/12</f>
        <v>31.331631735019926</v>
      </c>
      <c r="BR79" s="21">
        <f>EXP(-LN(2)/2)*BR78+(1-EXP(-LN(2)/2))/(LN(2)/2)*BL79*BO79*VLOOKUP('Données projet'!$B$11,Paramètres!$A$1:$I$89,3,0)*0.475*44/12</f>
        <v>2.4730683132240188</v>
      </c>
      <c r="BS79" s="22">
        <f t="shared" si="63"/>
        <v>48.588991783979644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9.546999999999997</v>
      </c>
      <c r="BY79" s="12">
        <f>IF('Données projet'!$A$114&gt;35,BY78+BX79-CG78,IF(A79&lt;'Données projet'!$A$114,$BV$205^A79,IF(A79='Données projet'!$A$114,'Données projet'!$B$114,BY78+BX79-CG78)))</f>
        <v>278.71400000000028</v>
      </c>
      <c r="BZ79" s="13">
        <f>BY79*VLOOKUP('Données projet'!$B$12,Paramètres!$A$1:$I$89,3,0)*VLOOKUP('Données projet'!$B$12,Paramètres!$A$1:$I$89,5,0)</f>
        <v>269.5721808000003</v>
      </c>
      <c r="CA79" s="13">
        <f t="shared" si="93"/>
        <v>64.758466878308354</v>
      </c>
      <c r="CB79" s="20">
        <f t="shared" si="64"/>
        <v>582.29254470638762</v>
      </c>
      <c r="CC79" s="59">
        <f t="shared" si="65"/>
        <v>851.38212908723699</v>
      </c>
      <c r="CD79" s="59">
        <f ca="1">AVERAGE(OFFSET($CC$3,0,0,'Données projet'!$E$12+1,1))-AVERAGE(OFFSET($H$3,0,0,'Données projet'!$E$12+1,1))</f>
        <v>722.05521609092671</v>
      </c>
      <c r="CE79" s="59">
        <f t="shared" si="94"/>
        <v>317.36319714884644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15.02665717402645</v>
      </c>
      <c r="CL79" s="21">
        <f>EXP(-LN(2)/25)*CL78+(1-EXP(-LN(2)/25))/(LN(2)/25)*Calculateur!CG79*Calculateur!CI79*VLOOKUP('Données projet'!$B$12,Paramètres!$A$1:$I$89,3,0)*0.475*44/12</f>
        <v>31.845265042151404</v>
      </c>
      <c r="CM79" s="21">
        <f>EXP(-LN(2)/2)*CM78+(1-EXP(-LN(2)/2))/(LN(2)/2)*CG79*CJ79*VLOOKUP('Données projet'!$B$12,Paramètres!$A$1:$I$89,3,0)*0.475*44/12</f>
        <v>2.5136104167194953</v>
      </c>
      <c r="CN79" s="22">
        <f t="shared" si="66"/>
        <v>49.385532632897345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9.546999999999997</v>
      </c>
      <c r="CT79" s="12">
        <f>IF('Données projet'!$A$140&gt;35,CT78+CS79-DB78,IF(A79&lt;'Données projet'!$A$140,$CQ$205^A79,IF(A79='Données projet'!$A$140,'Données projet'!$B$140,CT78+CS79-DB78)))</f>
        <v>278.71400000000028</v>
      </c>
      <c r="CU79" s="17">
        <f>CT79*VLOOKUP('Données projet'!$B$13,Paramètres!$A$1:$I$89,3,0)*VLOOKUP('Données projet'!$B$13,Paramètres!$A$1:$I$89,5,0)</f>
        <v>300.0077496000003</v>
      </c>
      <c r="CV79" s="13">
        <f t="shared" si="95"/>
        <v>71.178088087071316</v>
      </c>
      <c r="CW79" s="20">
        <f t="shared" si="67"/>
        <v>646.48200063831644</v>
      </c>
      <c r="CX79" s="59">
        <f t="shared" si="68"/>
        <v>915.57158501916592</v>
      </c>
      <c r="CY79" s="59">
        <f ca="1">AVERAGE(OFFSET($CX$3,0,0,'Données projet'!$E$13+1,1))-AVERAGE(OFFSET($H$3,0,0,'Données projet'!$E$13+1,1))</f>
        <v>792.94606354161886</v>
      </c>
      <c r="CZ79" s="59">
        <f t="shared" si="96"/>
        <v>346.14443498270919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16.723215242061691</v>
      </c>
      <c r="DG79" s="21">
        <f>EXP(-LN(2)/25)*DG78+(1-EXP(-LN(2)/25))/(LN(2)/25)*Calculateur!DB79*Calculateur!DD79*VLOOKUP('Données projet'!$B$13,Paramètres!$A$1:$I$89,3,0)*0.475*44/12</f>
        <v>35.440698192071714</v>
      </c>
      <c r="DH79" s="21">
        <f>EXP(-LN(2)/2)*DH78+(1-EXP(-LN(2)/2))/(LN(2)/2)*DB79*DE79*VLOOKUP('Données projet'!$B$13,Paramètres!$A$1:$I$89,3,0)*0.475*44/12</f>
        <v>2.7974051411878245</v>
      </c>
      <c r="DI79" s="22">
        <f t="shared" si="69"/>
        <v>54.961318575321229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2.0512820512820582</v>
      </c>
      <c r="DO79" s="12">
        <f>IF('Données projet'!$A$166&gt;35,DO78+DN79-DW78,IF(A79&lt;'Données projet'!$A$166,$DL$205^A79,IF(A79='Données projet'!$A$166,'Données projet'!$B$166,DO78+DN79-DW78)))</f>
        <v>125.12820512820507</v>
      </c>
      <c r="DP79" s="17">
        <f>DO79*VLOOKUP('Données projet'!$B$14,Paramètres!$A$1:$I$89,3,0)*VLOOKUP('Données projet'!$B$14,Paramètres!$A$1:$I$89,5,0)</f>
        <v>130.78399999999993</v>
      </c>
      <c r="DQ79" s="13">
        <f t="shared" si="97"/>
        <v>34.177455270520305</v>
      </c>
      <c r="DR79" s="20">
        <f t="shared" si="70"/>
        <v>287.30786792948942</v>
      </c>
      <c r="DS79" s="59">
        <f t="shared" si="71"/>
        <v>556.39745231033885</v>
      </c>
      <c r="DT79" s="59">
        <f ca="1">AVERAGE(OFFSET($DS$3,0,0,'Données projet'!$E$14+1,1))-AVERAGE(OFFSET($H$3,0,0,'Données projet'!$E$14+1,1))</f>
        <v>269.21114382490202</v>
      </c>
      <c r="DU79" s="59">
        <f t="shared" si="98"/>
        <v>233.07776944102309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1.1548272753378614</v>
      </c>
      <c r="EB79" s="21">
        <f>EXP(-LN(2)/25)*EB78+(1-EXP(-LN(2)/25))/(LN(2)/25)*Calculateur!DW79*Calculateur!DY79*VLOOKUP('Données projet'!$B$14,Paramètres!$A$1:$I$89,3,0)*0.475*44/12</f>
        <v>16.064559713961707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17.219386989299569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9.546999999999997</v>
      </c>
      <c r="FE79" s="12">
        <f>IF('Données projet'!$A$218&gt;35,FE78+FD79-FM78,IF(A79&lt;'Données projet'!$A$218,$FB$205^A79,IF(A79='Données projet'!$A$218,'Données projet'!$B$218,FE78+FD79-FM78)))</f>
        <v>278.71400000000028</v>
      </c>
      <c r="FF79" s="17">
        <f>FE79*VLOOKUP('Données projet'!$B$16,Paramètres!$A$1:$I$89,3,0)*VLOOKUP('Données projet'!$B$16,Paramètres!$A$1:$I$89,5,0)</f>
        <v>317.39950320000031</v>
      </c>
      <c r="FG79" s="13">
        <f t="shared" si="101"/>
        <v>74.812013038419195</v>
      </c>
      <c r="FH79" s="20">
        <f t="shared" si="76"/>
        <v>683.10172411524729</v>
      </c>
      <c r="FI79" s="59">
        <f t="shared" si="77"/>
        <v>952.19130849609678</v>
      </c>
      <c r="FJ79" s="59">
        <f ca="1">AVERAGE(OFFSET($FI$3,0,0,'Données projet'!$E$16+1,1))-AVERAGE(OFFSET($H$3,0,0,'Données projet'!$E$16+1,1))</f>
        <v>833.39050463936144</v>
      </c>
      <c r="FK79" s="59">
        <f t="shared" si="102"/>
        <v>362.56178526355507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17.692676995224691</v>
      </c>
      <c r="FR79" s="21">
        <f>EXP(-LN(2)/25)*FR78+(1-EXP(-LN(2)/25))/(LN(2)/25)*Calculateur!FM79*Calculateur!FO79*VLOOKUP('Données projet'!$B$16,Paramètres!$A$1:$I$89,3,0)*0.475*44/12</f>
        <v>37.495231420597634</v>
      </c>
      <c r="FS79" s="21">
        <f>EXP(-LN(2)/2)*FS78+(1-EXP(-LN(2)/2))/(LN(2)/2)*FM79*FP79*VLOOKUP('Données projet'!$B$16,Paramètres!$A$1:$I$89,3,0)*0.475*44/12</f>
        <v>2.9595735551697273</v>
      </c>
      <c r="FT79" s="22">
        <f t="shared" si="78"/>
        <v>58.147481970992047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833.31444815049827</v>
      </c>
      <c r="S80" s="59">
        <f ca="1">AVERAGE(OFFSET($R$3,0,0,'Données projet'!$E$9+1,1))-AVERAGE(OFFSET($H$3,0,0,'Données projet'!$E$9+1,1))</f>
        <v>681.47578137804555</v>
      </c>
      <c r="T80" s="59">
        <f t="shared" si="88"/>
        <v>300.88511065995885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292.29665400000033</v>
      </c>
      <c r="AK80" s="13">
        <f t="shared" si="89"/>
        <v>69.559109473742168</v>
      </c>
      <c r="AL80" s="20">
        <f t="shared" si="58"/>
        <v>630.23212138343479</v>
      </c>
      <c r="AM80" s="59">
        <f t="shared" si="59"/>
        <v>899.74228060770702</v>
      </c>
      <c r="AN80" s="59">
        <f ca="1">AVERAGE(OFFSET($AM$3,0,0,'Données projet'!$E$10+1,1))-AVERAGE(OFFSET($H$3,0,0,'Données projet'!$E$10+1,1))</f>
        <v>752.45542076695506</v>
      </c>
      <c r="AO80" s="59">
        <f t="shared" si="90"/>
        <v>329.70629768420724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15.444831991822229</v>
      </c>
      <c r="AV80" s="21">
        <f>EXP(-LN(2)/25)*AV79+(1-EXP(-LN(2)/25))/(LN(2)/25)*Calculateur!AQ80*Calculateur!AS80*VLOOKUP('Données projet'!$B$10,Paramètres!$A$1:$I$89,3,0)*0.475*44/12</f>
        <v>32.473218526915566</v>
      </c>
      <c r="AW80" s="21">
        <f>EXP(-LN(2)/2)*AW79+(1-EXP(-LN(2)/2))/(LN(2)/2)*AQ80*AT80*VLOOKUP('Données projet'!$B$10,Paramètres!$A$1:$I$89,3,0)*0.475*44/12</f>
        <v>1.8633937598391517</v>
      </c>
      <c r="AX80" s="21">
        <f t="shared" si="60"/>
        <v>49.781444278576942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274.30916760000031</v>
      </c>
      <c r="BF80" s="13">
        <f t="shared" si="91"/>
        <v>65.762938951410732</v>
      </c>
      <c r="BG80" s="20">
        <f t="shared" si="61"/>
        <v>592.29225224370759</v>
      </c>
      <c r="BH80" s="59">
        <f t="shared" si="62"/>
        <v>861.80241146797994</v>
      </c>
      <c r="BI80" s="59">
        <f ca="1">AVERAGE(OFFSET($BH$3,0,0,'Données projet'!$E$11+1,1))-AVERAGE(OFFSET($H$3,0,0,'Données projet'!$E$11+1,1))</f>
        <v>711.91538686535682</v>
      </c>
      <c r="BJ80" s="59">
        <f t="shared" si="92"/>
        <v>313.24593837351722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14.494380792325472</v>
      </c>
      <c r="BQ80" s="21">
        <f>EXP(-LN(2)/25)*BQ79+(1-EXP(-LN(2)/25))/(LN(2)/25)*Calculateur!BL80*Calculateur!BN80*VLOOKUP('Données projet'!$B$11,Paramètres!$A$1:$I$89,3,0)*0.475*44/12</f>
        <v>30.474866617566903</v>
      </c>
      <c r="BR80" s="21">
        <f>EXP(-LN(2)/2)*BR79+(1-EXP(-LN(2)/2))/(LN(2)/2)*BL80*BO80*VLOOKUP('Données projet'!$B$11,Paramètres!$A$1:$I$89,3,0)*0.475*44/12</f>
        <v>1.7487233746182804</v>
      </c>
      <c r="BS80" s="22">
        <f t="shared" si="63"/>
        <v>46.717970784510655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9.546999999999997</v>
      </c>
      <c r="BY80" s="12">
        <f>IF('Données projet'!$A$114&gt;35,BY79+BX80-CG79,IF(A80&lt;'Données projet'!$A$114,$BV$205^A80,IF(A80='Données projet'!$A$114,'Données projet'!$B$114,BY79+BX80-CG79)))</f>
        <v>288.26100000000031</v>
      </c>
      <c r="BZ80" s="13">
        <f>BY80*VLOOKUP('Données projet'!$B$12,Paramètres!$A$1:$I$89,3,0)*VLOOKUP('Données projet'!$B$12,Paramètres!$A$1:$I$89,5,0)</f>
        <v>278.80603920000027</v>
      </c>
      <c r="CA80" s="13">
        <f t="shared" si="93"/>
        <v>66.714627923522158</v>
      </c>
      <c r="CB80" s="20">
        <f t="shared" si="64"/>
        <v>601.78182857346826</v>
      </c>
      <c r="CC80" s="59">
        <f t="shared" si="65"/>
        <v>871.2919877977406</v>
      </c>
      <c r="CD80" s="59">
        <f ca="1">AVERAGE(OFFSET($CC$3,0,0,'Données projet'!$E$12+1,1))-AVERAGE(OFFSET($H$3,0,0,'Données projet'!$E$12+1,1))</f>
        <v>722.05521609092671</v>
      </c>
      <c r="CE80" s="59">
        <f t="shared" si="94"/>
        <v>317.36319714884644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14.731993592199665</v>
      </c>
      <c r="CL80" s="21">
        <f>EXP(-LN(2)/25)*CL79+(1-EXP(-LN(2)/25))/(LN(2)/25)*Calculateur!CG80*Calculateur!CI80*VLOOKUP('Données projet'!$B$12,Paramètres!$A$1:$I$89,3,0)*0.475*44/12</f>
        <v>30.974454594904067</v>
      </c>
      <c r="CM80" s="21">
        <f>EXP(-LN(2)/2)*CM79+(1-EXP(-LN(2)/2))/(LN(2)/2)*CG80*CJ80*VLOOKUP('Données projet'!$B$12,Paramètres!$A$1:$I$89,3,0)*0.475*44/12</f>
        <v>1.7773909709234987</v>
      </c>
      <c r="CN80" s="22">
        <f t="shared" si="66"/>
        <v>47.48383915802723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9.546999999999997</v>
      </c>
      <c r="CT80" s="12">
        <f>IF('Données projet'!$A$140&gt;35,CT79+CS80-DB79,IF(A80&lt;'Données projet'!$A$140,$CQ$205^A80,IF(A80='Données projet'!$A$140,'Données projet'!$B$140,CT79+CS80-DB79)))</f>
        <v>288.26100000000031</v>
      </c>
      <c r="CU80" s="17">
        <f>CT80*VLOOKUP('Données projet'!$B$13,Paramètres!$A$1:$I$89,3,0)*VLOOKUP('Données projet'!$B$13,Paramètres!$A$1:$I$89,5,0)</f>
        <v>310.28414040000035</v>
      </c>
      <c r="CV80" s="13">
        <f t="shared" si="95"/>
        <v>73.328166831992391</v>
      </c>
      <c r="CW80" s="20">
        <f t="shared" si="67"/>
        <v>668.12476842905392</v>
      </c>
      <c r="CX80" s="59">
        <f t="shared" si="68"/>
        <v>937.63492765332626</v>
      </c>
      <c r="CY80" s="59">
        <f ca="1">AVERAGE(OFFSET($CX$3,0,0,'Données projet'!$E$13+1,1))-AVERAGE(OFFSET($H$3,0,0,'Données projet'!$E$13+1,1))</f>
        <v>792.94606354161886</v>
      </c>
      <c r="CZ80" s="59">
        <f t="shared" si="96"/>
        <v>346.14443498270919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16.395283191318978</v>
      </c>
      <c r="DG80" s="21">
        <f>EXP(-LN(2)/25)*DG79+(1-EXP(-LN(2)/25))/(LN(2)/25)*Calculateur!DB80*Calculateur!DD80*VLOOKUP('Données projet'!$B$13,Paramètres!$A$1:$I$89,3,0)*0.475*44/12</f>
        <v>34.471570436264194</v>
      </c>
      <c r="DH80" s="21">
        <f>EXP(-LN(2)/2)*DH79+(1-EXP(-LN(2)/2))/(LN(2)/2)*DB80*DE80*VLOOKUP('Données projet'!$B$13,Paramètres!$A$1:$I$89,3,0)*0.475*44/12</f>
        <v>1.9780641450600223</v>
      </c>
      <c r="DI80" s="22">
        <f t="shared" si="69"/>
        <v>52.844917772643193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2.0512820512820582</v>
      </c>
      <c r="DO80" s="12">
        <f>IF('Données projet'!$A$166&gt;35,DO79+DN80-DW79,IF(A80&lt;'Données projet'!$A$166,$DL$205^A80,IF(A80='Données projet'!$A$166,'Données projet'!$B$166,DO79+DN80-DW79)))</f>
        <v>127.17948717948713</v>
      </c>
      <c r="DP80" s="17">
        <f>DO80*VLOOKUP('Données projet'!$B$14,Paramètres!$A$1:$I$89,3,0)*VLOOKUP('Données projet'!$B$14,Paramètres!$A$1:$I$89,5,0)</f>
        <v>132.92799999999994</v>
      </c>
      <c r="DQ80" s="13">
        <f t="shared" si="97"/>
        <v>34.67205462685105</v>
      </c>
      <c r="DR80" s="20">
        <f t="shared" si="70"/>
        <v>291.90342847509879</v>
      </c>
      <c r="DS80" s="59">
        <f t="shared" si="71"/>
        <v>561.41358769937108</v>
      </c>
      <c r="DT80" s="59">
        <f ca="1">AVERAGE(OFFSET($DS$3,0,0,'Données projet'!$E$14+1,1))-AVERAGE(OFFSET($H$3,0,0,'Données projet'!$E$14+1,1))</f>
        <v>269.21114382490202</v>
      </c>
      <c r="DU80" s="59">
        <f t="shared" si="98"/>
        <v>233.07776944102309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1.1321818168435727</v>
      </c>
      <c r="EB80" s="21">
        <f>EXP(-LN(2)/25)*EB79+(1-EXP(-LN(2)/25))/(LN(2)/25)*Calculateur!DW80*Calculateur!DY80*VLOOKUP('Données projet'!$B$14,Paramètres!$A$1:$I$89,3,0)*0.475*44/12</f>
        <v>15.625273483784945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16.757455300628518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9.546999999999997</v>
      </c>
      <c r="FE80" s="12">
        <f>IF('Données projet'!$A$218&gt;35,FE79+FD80-FM79,IF(A80&lt;'Données projet'!$A$218,$FB$205^A80,IF(A80='Données projet'!$A$218,'Données projet'!$B$218,FE79+FD80-FM79)))</f>
        <v>288.26100000000031</v>
      </c>
      <c r="FF80" s="17">
        <f>FE80*VLOOKUP('Données projet'!$B$16,Paramètres!$A$1:$I$89,3,0)*VLOOKUP('Données projet'!$B$16,Paramètres!$A$1:$I$89,5,0)</f>
        <v>328.27162680000038</v>
      </c>
      <c r="FG80" s="13">
        <f t="shared" si="101"/>
        <v>77.07186186860821</v>
      </c>
      <c r="FH80" s="20">
        <f t="shared" si="76"/>
        <v>705.97324276449319</v>
      </c>
      <c r="FI80" s="59">
        <f t="shared" si="77"/>
        <v>975.48340198876554</v>
      </c>
      <c r="FJ80" s="59">
        <f ca="1">AVERAGE(OFFSET($FI$3,0,0,'Données projet'!$E$16+1,1))-AVERAGE(OFFSET($H$3,0,0,'Données projet'!$E$16+1,1))</f>
        <v>833.39050463936144</v>
      </c>
      <c r="FK80" s="59">
        <f t="shared" si="102"/>
        <v>362.56178526355507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17.345734390815732</v>
      </c>
      <c r="FR80" s="21">
        <f>EXP(-LN(2)/25)*FR79+(1-EXP(-LN(2)/25))/(LN(2)/25)*Calculateur!FM80*Calculateur!FO80*VLOOKUP('Données projet'!$B$16,Paramètres!$A$1:$I$89,3,0)*0.475*44/12</f>
        <v>36.469922345612865</v>
      </c>
      <c r="FS80" s="21">
        <f>EXP(-LN(2)/2)*FS79+(1-EXP(-LN(2)/2))/(LN(2)/2)*FM80*FP80*VLOOKUP('Données projet'!$B$16,Paramètres!$A$1:$I$89,3,0)*0.475*44/12</f>
        <v>2.0927345302808931</v>
      </c>
      <c r="FT80" s="22">
        <f t="shared" si="78"/>
        <v>55.908391266709486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851.97211446812946</v>
      </c>
      <c r="S81" s="59">
        <f ca="1">AVERAGE(OFFSET($R$3,0,0,'Données projet'!$E$9+1,1))-AVERAGE(OFFSET($H$3,0,0,'Données projet'!$E$9+1,1))</f>
        <v>681.47578137804555</v>
      </c>
      <c r="T81" s="59">
        <f t="shared" si="88"/>
        <v>300.88511065995885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301.97731200000038</v>
      </c>
      <c r="AK81" s="13">
        <f t="shared" si="89"/>
        <v>71.590825399464663</v>
      </c>
      <c r="AL81" s="20">
        <f t="shared" si="58"/>
        <v>650.63117263740162</v>
      </c>
      <c r="AM81" s="59">
        <f t="shared" si="59"/>
        <v>920.55461067182785</v>
      </c>
      <c r="AN81" s="59">
        <f ca="1">AVERAGE(OFFSET($AM$3,0,0,'Données projet'!$E$10+1,1))-AVERAGE(OFFSET($H$3,0,0,'Données projet'!$E$10+1,1))</f>
        <v>752.45542076695506</v>
      </c>
      <c r="AO81" s="59">
        <f t="shared" si="90"/>
        <v>329.70629768420724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15.14196825687992</v>
      </c>
      <c r="AV81" s="21">
        <f>EXP(-LN(2)/25)*AV80+(1-EXP(-LN(2)/25))/(LN(2)/25)*Calculateur!AQ81*Calculateur!AS81*VLOOKUP('Données projet'!$B$10,Paramètres!$A$1:$I$89,3,0)*0.475*44/12</f>
        <v>31.585236658604718</v>
      </c>
      <c r="AW81" s="21">
        <f>EXP(-LN(2)/2)*AW80+(1-EXP(-LN(2)/2))/(LN(2)/2)*AQ81*AT81*VLOOKUP('Données projet'!$B$10,Paramètres!$A$1:$I$89,3,0)*0.475*44/12</f>
        <v>1.3176183636029613</v>
      </c>
      <c r="AX81" s="21">
        <f t="shared" si="60"/>
        <v>48.044823279087595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283.39409280000029</v>
      </c>
      <c r="BF81" s="13">
        <f t="shared" si="91"/>
        <v>67.683774502652653</v>
      </c>
      <c r="BG81" s="20">
        <f t="shared" si="61"/>
        <v>611.46061888545398</v>
      </c>
      <c r="BH81" s="59">
        <f t="shared" si="62"/>
        <v>881.38405691988021</v>
      </c>
      <c r="BI81" s="59">
        <f ca="1">AVERAGE(OFFSET($BH$3,0,0,'Données projet'!$E$11+1,1))-AVERAGE(OFFSET($H$3,0,0,'Données projet'!$E$11+1,1))</f>
        <v>711.91538686535682</v>
      </c>
      <c r="BJ81" s="59">
        <f t="shared" si="92"/>
        <v>313.24593837351722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14.210154825687306</v>
      </c>
      <c r="BQ81" s="21">
        <f>EXP(-LN(2)/25)*BQ80+(1-EXP(-LN(2)/25))/(LN(2)/25)*Calculateur!BL81*Calculateur!BN81*VLOOKUP('Données projet'!$B$11,Paramètres!$A$1:$I$89,3,0)*0.475*44/12</f>
        <v>29.641529787305952</v>
      </c>
      <c r="BR81" s="21">
        <f>EXP(-LN(2)/2)*BR80+(1-EXP(-LN(2)/2))/(LN(2)/2)*BL81*BO81*VLOOKUP('Données projet'!$B$11,Paramètres!$A$1:$I$89,3,0)*0.475*44/12</f>
        <v>1.2365341566120094</v>
      </c>
      <c r="BS81" s="22">
        <f t="shared" si="63"/>
        <v>45.08821876960527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9.546999999999997</v>
      </c>
      <c r="BY81" s="12">
        <f>IF('Données projet'!$A$114&gt;35,BY80+BX81-CG80,IF(A81&lt;'Données projet'!$A$114,$BV$205^A81,IF(A81='Données projet'!$A$114,'Données projet'!$B$114,BY80+BX81-CG80)))</f>
        <v>297.80800000000033</v>
      </c>
      <c r="BZ81" s="13">
        <f>BY81*VLOOKUP('Données projet'!$B$12,Paramètres!$A$1:$I$89,3,0)*VLOOKUP('Données projet'!$B$12,Paramètres!$A$1:$I$89,5,0)</f>
        <v>288.03989760000036</v>
      </c>
      <c r="CA81" s="13">
        <f t="shared" si="93"/>
        <v>68.663260864000392</v>
      </c>
      <c r="CB81" s="20">
        <f t="shared" si="64"/>
        <v>621.25800099146807</v>
      </c>
      <c r="CC81" s="59">
        <f t="shared" si="65"/>
        <v>891.18143902589429</v>
      </c>
      <c r="CD81" s="59">
        <f ca="1">AVERAGE(OFFSET($CC$3,0,0,'Données projet'!$E$12+1,1))-AVERAGE(OFFSET($H$3,0,0,'Données projet'!$E$12+1,1))</f>
        <v>722.05521609092671</v>
      </c>
      <c r="CE81" s="59">
        <f t="shared" si="94"/>
        <v>317.36319714884644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14.443108183485464</v>
      </c>
      <c r="CL81" s="21">
        <f>EXP(-LN(2)/25)*CL80+(1-EXP(-LN(2)/25))/(LN(2)/25)*Calculateur!CG81*Calculateur!CI81*VLOOKUP('Données projet'!$B$12,Paramètres!$A$1:$I$89,3,0)*0.475*44/12</f>
        <v>30.127456505130642</v>
      </c>
      <c r="CM81" s="21">
        <f>EXP(-LN(2)/2)*CM80+(1-EXP(-LN(2)/2))/(LN(2)/2)*CG81*CJ81*VLOOKUP('Données projet'!$B$12,Paramètres!$A$1:$I$89,3,0)*0.475*44/12</f>
        <v>1.2568052083597478</v>
      </c>
      <c r="CN81" s="22">
        <f t="shared" si="66"/>
        <v>45.827369896975853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9.546999999999997</v>
      </c>
      <c r="CT81" s="12">
        <f>IF('Données projet'!$A$140&gt;35,CT80+CS81-DB80,IF(A81&lt;'Données projet'!$A$140,$CQ$205^A81,IF(A81='Données projet'!$A$140,'Données projet'!$B$140,CT80+CS81-DB80)))</f>
        <v>297.80800000000033</v>
      </c>
      <c r="CU81" s="17">
        <f>CT81*VLOOKUP('Données projet'!$B$13,Paramètres!$A$1:$I$89,3,0)*VLOOKUP('Données projet'!$B$13,Paramètres!$A$1:$I$89,5,0)</f>
        <v>320.56053120000036</v>
      </c>
      <c r="CV81" s="13">
        <f t="shared" si="95"/>
        <v>75.469971197858072</v>
      </c>
      <c r="CW81" s="20">
        <f t="shared" si="67"/>
        <v>689.75312500960342</v>
      </c>
      <c r="CX81" s="59">
        <f t="shared" si="68"/>
        <v>959.67656304402965</v>
      </c>
      <c r="CY81" s="59">
        <f ca="1">AVERAGE(OFFSET($CX$3,0,0,'Données projet'!$E$13+1,1))-AVERAGE(OFFSET($H$3,0,0,'Données projet'!$E$13+1,1))</f>
        <v>792.94606354161886</v>
      </c>
      <c r="CZ81" s="59">
        <f t="shared" si="96"/>
        <v>346.14443498270919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16.073781688072529</v>
      </c>
      <c r="DG81" s="21">
        <f>EXP(-LN(2)/25)*DG80+(1-EXP(-LN(2)/25))/(LN(2)/25)*Calculateur!DB81*Calculateur!DD81*VLOOKUP('Données projet'!$B$13,Paramètres!$A$1:$I$89,3,0)*0.475*44/12</f>
        <v>33.528943529903444</v>
      </c>
      <c r="DH81" s="21">
        <f>EXP(-LN(2)/2)*DH80+(1-EXP(-LN(2)/2))/(LN(2)/2)*DB81*DE81*VLOOKUP('Données projet'!$B$13,Paramètres!$A$1:$I$89,3,0)*0.475*44/12</f>
        <v>1.3987025705939125</v>
      </c>
      <c r="DI81" s="22">
        <f t="shared" si="69"/>
        <v>51.001427788569885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2.0512820512820582</v>
      </c>
      <c r="DO81" s="12">
        <f>IF('Données projet'!$A$166&gt;35,DO80+DN81-DW80,IF(A81&lt;'Données projet'!$A$166,$DL$205^A81,IF(A81='Données projet'!$A$166,'Données projet'!$B$166,DO80+DN81-DW80)))</f>
        <v>129.23076923076917</v>
      </c>
      <c r="DP81" s="17">
        <f>DO81*VLOOKUP('Données projet'!$B$14,Paramètres!$A$1:$I$89,3,0)*VLOOKUP('Données projet'!$B$14,Paramètres!$A$1:$I$89,5,0)</f>
        <v>135.07199999999995</v>
      </c>
      <c r="DQ81" s="13">
        <f t="shared" si="97"/>
        <v>35.165726241361632</v>
      </c>
      <c r="DR81" s="20">
        <f t="shared" si="70"/>
        <v>296.49737320370468</v>
      </c>
      <c r="DS81" s="59">
        <f t="shared" si="71"/>
        <v>566.42081123813091</v>
      </c>
      <c r="DT81" s="59">
        <f ca="1">AVERAGE(OFFSET($DS$3,0,0,'Données projet'!$E$14+1,1))-AVERAGE(OFFSET($H$3,0,0,'Données projet'!$E$14+1,1))</f>
        <v>269.21114382490202</v>
      </c>
      <c r="DU81" s="59">
        <f t="shared" si="98"/>
        <v>233.07776944102309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1.1099804219779912</v>
      </c>
      <c r="EB81" s="21">
        <f>EXP(-LN(2)/25)*EB80+(1-EXP(-LN(2)/25))/(LN(2)/25)*Calculateur!DW81*Calculateur!DY81*VLOOKUP('Données projet'!$B$14,Paramètres!$A$1:$I$89,3,0)*0.475*44/12</f>
        <v>15.197999558673425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16.307979980651417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9.546999999999997</v>
      </c>
      <c r="FE81" s="12">
        <f>IF('Données projet'!$A$218&gt;35,FE80+FD81-FM80,IF(A81&lt;'Données projet'!$A$218,$FB$205^A81,IF(A81='Données projet'!$A$218,'Données projet'!$B$218,FE80+FD81-FM80)))</f>
        <v>297.80800000000033</v>
      </c>
      <c r="FF81" s="17">
        <f>FE81*VLOOKUP('Données projet'!$B$16,Paramètres!$A$1:$I$89,3,0)*VLOOKUP('Données projet'!$B$16,Paramètres!$A$1:$I$89,5,0)</f>
        <v>339.14375040000039</v>
      </c>
      <c r="FG81" s="13">
        <f t="shared" si="101"/>
        <v>79.323013879728265</v>
      </c>
      <c r="FH81" s="20">
        <f t="shared" si="76"/>
        <v>728.8296144538607</v>
      </c>
      <c r="FI81" s="59">
        <f t="shared" si="77"/>
        <v>998.75305248828693</v>
      </c>
      <c r="FJ81" s="59">
        <f ca="1">AVERAGE(OFFSET($FI$3,0,0,'Données projet'!$E$16+1,1))-AVERAGE(OFFSET($H$3,0,0,'Données projet'!$E$16+1,1))</f>
        <v>833.39050463936144</v>
      </c>
      <c r="FK81" s="59">
        <f t="shared" si="102"/>
        <v>362.56178526355507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17.005595119265141</v>
      </c>
      <c r="FR81" s="21">
        <f>EXP(-LN(2)/25)*FR80+(1-EXP(-LN(2)/25))/(LN(2)/25)*Calculateur!FM81*Calculateur!FO81*VLOOKUP('Données projet'!$B$16,Paramètres!$A$1:$I$89,3,0)*0.475*44/12</f>
        <v>35.472650401202216</v>
      </c>
      <c r="FS81" s="21">
        <f>EXP(-LN(2)/2)*FS80+(1-EXP(-LN(2)/2))/(LN(2)/2)*FM81*FP81*VLOOKUP('Données projet'!$B$16,Paramètres!$A$1:$I$89,3,0)*0.475*44/12</f>
        <v>1.4797867775848639</v>
      </c>
      <c r="FT81" s="22">
        <f t="shared" si="78"/>
        <v>53.958032298052217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870.61069190948115</v>
      </c>
      <c r="S82" s="59">
        <f ca="1">AVERAGE(OFFSET($R$3,0,0,'Données projet'!$E$9+1,1))-AVERAGE(OFFSET($H$3,0,0,'Données projet'!$E$9+1,1))</f>
        <v>681.47578137804555</v>
      </c>
      <c r="T82" s="59">
        <f t="shared" si="88"/>
        <v>300.88511065995885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311.65797000000038</v>
      </c>
      <c r="AK82" s="13">
        <f t="shared" si="89"/>
        <v>73.614972733257659</v>
      </c>
      <c r="AL82" s="20">
        <f t="shared" si="58"/>
        <v>671.0170419270911</v>
      </c>
      <c r="AM82" s="59">
        <f t="shared" si="59"/>
        <v>941.34658930826799</v>
      </c>
      <c r="AN82" s="59">
        <f ca="1">AVERAGE(OFFSET($AM$3,0,0,'Données projet'!$E$10+1,1))-AVERAGE(OFFSET($H$3,0,0,'Données projet'!$E$10+1,1))</f>
        <v>752.45542076695506</v>
      </c>
      <c r="AO82" s="59">
        <f t="shared" si="90"/>
        <v>329.70629768420724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14.845043495051193</v>
      </c>
      <c r="AV82" s="21">
        <f>EXP(-LN(2)/25)*AV81+(1-EXP(-LN(2)/25))/(LN(2)/25)*Calculateur!AQ82*Calculateur!AS82*VLOOKUP('Données projet'!$B$10,Paramètres!$A$1:$I$89,3,0)*0.475*44/12</f>
        <v>30.721536701179765</v>
      </c>
      <c r="AW82" s="21">
        <f>EXP(-LN(2)/2)*AW81+(1-EXP(-LN(2)/2))/(LN(2)/2)*AQ82*AT82*VLOOKUP('Données projet'!$B$10,Paramètres!$A$1:$I$89,3,0)*0.475*44/12</f>
        <v>0.93169687991957595</v>
      </c>
      <c r="AX82" s="21">
        <f t="shared" si="60"/>
        <v>46.498277076150536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292.47901800000034</v>
      </c>
      <c r="BF82" s="13">
        <f t="shared" si="91"/>
        <v>69.597454515924511</v>
      </c>
      <c r="BG82" s="20">
        <f t="shared" si="61"/>
        <v>630.61652296523562</v>
      </c>
      <c r="BH82" s="59">
        <f t="shared" si="62"/>
        <v>900.94607034641263</v>
      </c>
      <c r="BI82" s="59">
        <f ca="1">AVERAGE(OFFSET($BH$3,0,0,'Données projet'!$E$11+1,1))-AVERAGE(OFFSET($H$3,0,0,'Données projet'!$E$11+1,1))</f>
        <v>711.91538686535682</v>
      </c>
      <c r="BJ82" s="59">
        <f t="shared" si="92"/>
        <v>313.24593837351722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13.931502356894192</v>
      </c>
      <c r="BQ82" s="21">
        <f>EXP(-LN(2)/25)*BQ81+(1-EXP(-LN(2)/25))/(LN(2)/25)*Calculateur!BL82*Calculateur!BN82*VLOOKUP('Données projet'!$B$11,Paramètres!$A$1:$I$89,3,0)*0.475*44/12</f>
        <v>28.830980596491766</v>
      </c>
      <c r="BR82" s="21">
        <f>EXP(-LN(2)/2)*BR81+(1-EXP(-LN(2)/2))/(LN(2)/2)*BL82*BO82*VLOOKUP('Données projet'!$B$11,Paramètres!$A$1:$I$89,3,0)*0.475*44/12</f>
        <v>0.87436168730914021</v>
      </c>
      <c r="BS82" s="22">
        <f t="shared" si="63"/>
        <v>43.636844640695095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9.546999999999997</v>
      </c>
      <c r="BY82" s="12">
        <f>IF('Données projet'!$A$114&gt;35,BY81+BX82-CG81,IF(A82&lt;'Données projet'!$A$114,$BV$205^A82,IF(A82='Données projet'!$A$114,'Données projet'!$B$114,BY81+BX82-CG81)))</f>
        <v>307.35500000000036</v>
      </c>
      <c r="BZ82" s="13">
        <f>BY82*VLOOKUP('Données projet'!$B$12,Paramètres!$A$1:$I$89,3,0)*VLOOKUP('Données projet'!$B$12,Paramètres!$A$1:$I$89,5,0)</f>
        <v>297.27375600000039</v>
      </c>
      <c r="CA82" s="13">
        <f t="shared" si="93"/>
        <v>70.604634715075505</v>
      </c>
      <c r="CB82" s="20">
        <f t="shared" si="64"/>
        <v>640.72153049542385</v>
      </c>
      <c r="CC82" s="59">
        <f t="shared" si="65"/>
        <v>911.05107787660086</v>
      </c>
      <c r="CD82" s="59">
        <f ca="1">AVERAGE(OFFSET($CC$3,0,0,'Données projet'!$E$12+1,1))-AVERAGE(OFFSET($H$3,0,0,'Données projet'!$E$12+1,1))</f>
        <v>722.05521609092671</v>
      </c>
      <c r="CE82" s="59">
        <f t="shared" si="94"/>
        <v>317.36319714884644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14.159887641433448</v>
      </c>
      <c r="CL82" s="21">
        <f>EXP(-LN(2)/25)*CL81+(1-EXP(-LN(2)/25))/(LN(2)/25)*Calculateur!CG82*Calculateur!CI82*VLOOKUP('Données projet'!$B$12,Paramètres!$A$1:$I$89,3,0)*0.475*44/12</f>
        <v>29.303619622663764</v>
      </c>
      <c r="CM82" s="21">
        <f>EXP(-LN(2)/2)*CM81+(1-EXP(-LN(2)/2))/(LN(2)/2)*CG82*CJ82*VLOOKUP('Données projet'!$B$12,Paramètres!$A$1:$I$89,3,0)*0.475*44/12</f>
        <v>0.88869548546174959</v>
      </c>
      <c r="CN82" s="22">
        <f t="shared" si="66"/>
        <v>44.352202749558963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9.546999999999997</v>
      </c>
      <c r="CT82" s="12">
        <f>IF('Données projet'!$A$140&gt;35,CT81+CS82-DB81,IF(A82&lt;'Données projet'!$A$140,$CQ$205^A82,IF(A82='Données projet'!$A$140,'Données projet'!$B$140,CT81+CS82-DB81)))</f>
        <v>307.35500000000036</v>
      </c>
      <c r="CU82" s="17">
        <f>CT82*VLOOKUP('Données projet'!$B$13,Paramètres!$A$1:$I$89,3,0)*VLOOKUP('Données projet'!$B$13,Paramètres!$A$1:$I$89,5,0)</f>
        <v>330.83692200000036</v>
      </c>
      <c r="CV82" s="13">
        <f t="shared" si="95"/>
        <v>77.603796867965812</v>
      </c>
      <c r="CW82" s="20">
        <f t="shared" si="67"/>
        <v>711.36758536170771</v>
      </c>
      <c r="CX82" s="59">
        <f t="shared" si="68"/>
        <v>981.69713274288461</v>
      </c>
      <c r="CY82" s="59">
        <f ca="1">AVERAGE(OFFSET($CX$3,0,0,'Données projet'!$E$13+1,1))-AVERAGE(OFFSET($H$3,0,0,'Données projet'!$E$13+1,1))</f>
        <v>792.94606354161886</v>
      </c>
      <c r="CZ82" s="59">
        <f t="shared" si="96"/>
        <v>346.14443498270919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15.758584633208189</v>
      </c>
      <c r="DG82" s="21">
        <f>EXP(-LN(2)/25)*DG81+(1-EXP(-LN(2)/25))/(LN(2)/25)*Calculateur!DB82*Calculateur!DD82*VLOOKUP('Données projet'!$B$13,Paramètres!$A$1:$I$89,3,0)*0.475*44/12</f>
        <v>32.612092805867725</v>
      </c>
      <c r="DH82" s="21">
        <f>EXP(-LN(2)/2)*DH81+(1-EXP(-LN(2)/2))/(LN(2)/2)*DB82*DE82*VLOOKUP('Données projet'!$B$13,Paramètres!$A$1:$I$89,3,0)*0.475*44/12</f>
        <v>0.98903207253001124</v>
      </c>
      <c r="DI82" s="22">
        <f t="shared" si="69"/>
        <v>49.359709511605921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2.0512820512820582</v>
      </c>
      <c r="DO82" s="12">
        <f>IF('Données projet'!$A$166&gt;35,DO81+DN82-DW81,IF(A82&lt;'Données projet'!$A$166,$DL$205^A82,IF(A82='Données projet'!$A$166,'Données projet'!$B$166,DO81+DN82-DW81)))</f>
        <v>131.28205128205121</v>
      </c>
      <c r="DP82" s="17">
        <f>DO82*VLOOKUP('Données projet'!$B$14,Paramètres!$A$1:$I$89,3,0)*VLOOKUP('Données projet'!$B$14,Paramètres!$A$1:$I$89,5,0)</f>
        <v>137.21599999999995</v>
      </c>
      <c r="DQ82" s="13">
        <f t="shared" si="97"/>
        <v>35.658486540437423</v>
      </c>
      <c r="DR82" s="20">
        <f t="shared" si="70"/>
        <v>301.08973072459509</v>
      </c>
      <c r="DS82" s="59">
        <f t="shared" si="71"/>
        <v>571.41927810577204</v>
      </c>
      <c r="DT82" s="59">
        <f ca="1">AVERAGE(OFFSET($DS$3,0,0,'Données projet'!$E$14+1,1))-AVERAGE(OFFSET($H$3,0,0,'Données projet'!$E$14+1,1))</f>
        <v>269.21114382490202</v>
      </c>
      <c r="DU82" s="59">
        <f t="shared" si="98"/>
        <v>233.07776944102309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1.0882143829242099</v>
      </c>
      <c r="EB82" s="21">
        <f>EXP(-LN(2)/25)*EB81+(1-EXP(-LN(2)/25))/(LN(2)/25)*Calculateur!DW82*Calculateur!DY82*VLOOKUP('Données projet'!$B$14,Paramètres!$A$1:$I$89,3,0)*0.475*44/12</f>
        <v>14.782409461513438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15.870623844437649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9.546999999999997</v>
      </c>
      <c r="FE82" s="12">
        <f>IF('Données projet'!$A$218&gt;35,FE81+FD82-FM81,IF(A82&lt;'Données projet'!$A$218,$FB$205^A82,IF(A82='Données projet'!$A$218,'Données projet'!$B$218,FE81+FD82-FM81)))</f>
        <v>307.35500000000036</v>
      </c>
      <c r="FF82" s="17">
        <f>FE82*VLOOKUP('Données projet'!$B$16,Paramètres!$A$1:$I$89,3,0)*VLOOKUP('Données projet'!$B$16,Paramètres!$A$1:$I$89,5,0)</f>
        <v>350.01587400000039</v>
      </c>
      <c r="FG82" s="13">
        <f t="shared" si="101"/>
        <v>81.565779850886884</v>
      </c>
      <c r="FH82" s="20">
        <f t="shared" si="76"/>
        <v>751.67138045696208</v>
      </c>
      <c r="FI82" s="59">
        <f t="shared" si="77"/>
        <v>1022.000927838139</v>
      </c>
      <c r="FJ82" s="59">
        <f ca="1">AVERAGE(OFFSET($FI$3,0,0,'Données projet'!$E$16+1,1))-AVERAGE(OFFSET($H$3,0,0,'Données projet'!$E$16+1,1))</f>
        <v>833.39050463936144</v>
      </c>
      <c r="FK82" s="59">
        <f t="shared" si="102"/>
        <v>362.56178526355507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16.672125771365188</v>
      </c>
      <c r="FR82" s="21">
        <f>EXP(-LN(2)/25)*FR81+(1-EXP(-LN(2)/25))/(LN(2)/25)*Calculateur!FM82*Calculateur!FO82*VLOOKUP('Données projet'!$B$16,Paramètres!$A$1:$I$89,3,0)*0.475*44/12</f>
        <v>34.502648910555727</v>
      </c>
      <c r="FS82" s="21">
        <f>EXP(-LN(2)/2)*FS81+(1-EXP(-LN(2)/2))/(LN(2)/2)*FM82*FP82*VLOOKUP('Données projet'!$B$16,Paramètres!$A$1:$I$89,3,0)*0.475*44/12</f>
        <v>1.0463672651404468</v>
      </c>
      <c r="FT82" s="22">
        <f t="shared" si="78"/>
        <v>52.221141947061362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889.23071757123694</v>
      </c>
      <c r="S83" s="59">
        <f ca="1">AVERAGE(OFFSET($R$3,0,0,'Données projet'!$E$9+1,1))-AVERAGE(OFFSET($H$3,0,0,'Données projet'!$E$9+1,1))</f>
        <v>681.47578137804555</v>
      </c>
      <c r="T83" s="59">
        <f t="shared" si="88"/>
        <v>300.88511065995885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321.33862800000043</v>
      </c>
      <c r="AK83" s="13">
        <f t="shared" si="89"/>
        <v>75.631813545776993</v>
      </c>
      <c r="AL83" s="20">
        <f t="shared" si="58"/>
        <v>691.39018569222901</v>
      </c>
      <c r="AM83" s="59">
        <f t="shared" si="59"/>
        <v>962.11879733091519</v>
      </c>
      <c r="AN83" s="59">
        <f ca="1">AVERAGE(OFFSET($AM$3,0,0,'Données projet'!$E$10+1,1))-AVERAGE(OFFSET($H$3,0,0,'Données projet'!$E$10+1,1))</f>
        <v>752.45542076695506</v>
      </c>
      <c r="AO83" s="59">
        <f t="shared" si="90"/>
        <v>329.70629768420724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14.553941246695706</v>
      </c>
      <c r="AV83" s="21">
        <f>EXP(-LN(2)/25)*AV82+(1-EXP(-LN(2)/25))/(LN(2)/25)*Calculateur!AQ83*Calculateur!AS83*VLOOKUP('Données projet'!$B$10,Paramètres!$A$1:$I$89,3,0)*0.475*44/12</f>
        <v>29.881454664510606</v>
      </c>
      <c r="AW83" s="21">
        <f>EXP(-LN(2)/2)*AW82+(1-EXP(-LN(2)/2))/(LN(2)/2)*AQ83*AT83*VLOOKUP('Données projet'!$B$10,Paramètres!$A$1:$I$89,3,0)*0.475*44/12</f>
        <v>0.65880918180148063</v>
      </c>
      <c r="AX83" s="21">
        <f t="shared" si="60"/>
        <v>45.094205093007794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301.56394320000038</v>
      </c>
      <c r="BF83" s="13">
        <f t="shared" si="91"/>
        <v>71.504226759443313</v>
      </c>
      <c r="BG83" s="20">
        <f t="shared" si="61"/>
        <v>649.76039601269781</v>
      </c>
      <c r="BH83" s="59">
        <f t="shared" si="62"/>
        <v>920.48900765138387</v>
      </c>
      <c r="BI83" s="59">
        <f ca="1">AVERAGE(OFFSET($BH$3,0,0,'Données projet'!$E$11+1,1))-AVERAGE(OFFSET($H$3,0,0,'Données projet'!$E$11+1,1))</f>
        <v>711.91538686535682</v>
      </c>
      <c r="BJ83" s="59">
        <f t="shared" si="92"/>
        <v>313.24593837351722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13.658314093052889</v>
      </c>
      <c r="BQ83" s="21">
        <f>EXP(-LN(2)/25)*BQ82+(1-EXP(-LN(2)/25))/(LN(2)/25)*Calculateur!BL83*Calculateur!BN83*VLOOKUP('Données projet'!$B$11,Paramètres!$A$1:$I$89,3,0)*0.475*44/12</f>
        <v>28.042595915925325</v>
      </c>
      <c r="BR83" s="21">
        <f>EXP(-LN(2)/2)*BR82+(1-EXP(-LN(2)/2))/(LN(2)/2)*BL83*BO83*VLOOKUP('Données projet'!$B$11,Paramètres!$A$1:$I$89,3,0)*0.475*44/12</f>
        <v>0.61826707830600469</v>
      </c>
      <c r="BS83" s="22">
        <f t="shared" si="63"/>
        <v>42.319177087284217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9.546999999999997</v>
      </c>
      <c r="BY83" s="12">
        <f>IF('Données projet'!$A$114&gt;35,BY82+BX83-CG82,IF(A83&lt;'Données projet'!$A$114,$BV$205^A83,IF(A83='Données projet'!$A$114,'Données projet'!$B$114,BY82+BX83-CG82)))</f>
        <v>316.90200000000038</v>
      </c>
      <c r="BZ83" s="13">
        <f>BY83*VLOOKUP('Données projet'!$B$12,Paramètres!$A$1:$I$89,3,0)*VLOOKUP('Données projet'!$B$12,Paramètres!$A$1:$I$89,5,0)</f>
        <v>306.50761440000036</v>
      </c>
      <c r="CA83" s="13">
        <f t="shared" si="93"/>
        <v>72.539000830544367</v>
      </c>
      <c r="CB83" s="20">
        <f t="shared" si="64"/>
        <v>660.17285485986531</v>
      </c>
      <c r="CC83" s="59">
        <f t="shared" si="65"/>
        <v>930.90146649855137</v>
      </c>
      <c r="CD83" s="59">
        <f ca="1">AVERAGE(OFFSET($CC$3,0,0,'Données projet'!$E$12+1,1))-AVERAGE(OFFSET($H$3,0,0,'Données projet'!$E$12+1,1))</f>
        <v>722.05521609092671</v>
      </c>
      <c r="CE83" s="59">
        <f t="shared" si="94"/>
        <v>317.36319714884644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13.882220881463597</v>
      </c>
      <c r="CL83" s="21">
        <f>EXP(-LN(2)/25)*CL82+(1-EXP(-LN(2)/25))/(LN(2)/25)*Calculateur!CG83*Calculateur!CI83*VLOOKUP('Données projet'!$B$12,Paramètres!$A$1:$I$89,3,0)*0.475*44/12</f>
        <v>28.502310603071642</v>
      </c>
      <c r="CM83" s="21">
        <f>EXP(-LN(2)/2)*CM82+(1-EXP(-LN(2)/2))/(LN(2)/2)*CG83*CJ83*VLOOKUP('Données projet'!$B$12,Paramètres!$A$1:$I$89,3,0)*0.475*44/12</f>
        <v>0.62840260417987404</v>
      </c>
      <c r="CN83" s="22">
        <f t="shared" si="66"/>
        <v>43.012934088715113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9.546999999999997</v>
      </c>
      <c r="CT83" s="12">
        <f>IF('Données projet'!$A$140&gt;35,CT82+CS83-DB82,IF(A83&lt;'Données projet'!$A$140,$CQ$205^A83,IF(A83='Données projet'!$A$140,'Données projet'!$B$140,CT82+CS83-DB82)))</f>
        <v>316.90200000000038</v>
      </c>
      <c r="CU83" s="17">
        <f>CT83*VLOOKUP('Données projet'!$B$13,Paramètres!$A$1:$I$89,3,0)*VLOOKUP('Données projet'!$B$13,Paramètres!$A$1:$I$89,5,0)</f>
        <v>341.11331280000041</v>
      </c>
      <c r="CV83" s="13">
        <f t="shared" si="95"/>
        <v>79.729920113258586</v>
      </c>
      <c r="CW83" s="20">
        <f t="shared" si="67"/>
        <v>732.96863065725938</v>
      </c>
      <c r="CX83" s="59">
        <f t="shared" si="68"/>
        <v>1003.6972422959454</v>
      </c>
      <c r="CY83" s="59">
        <f ca="1">AVERAGE(OFFSET($CX$3,0,0,'Données projet'!$E$13+1,1))-AVERAGE(OFFSET($H$3,0,0,'Données projet'!$E$13+1,1))</f>
        <v>792.94606354161886</v>
      </c>
      <c r="CZ83" s="59">
        <f t="shared" si="96"/>
        <v>346.14443498270919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15.449568400338517</v>
      </c>
      <c r="DG83" s="21">
        <f>EXP(-LN(2)/25)*DG82+(1-EXP(-LN(2)/25))/(LN(2)/25)*Calculateur!DB83*Calculateur!DD83*VLOOKUP('Données projet'!$B$13,Paramètres!$A$1:$I$89,3,0)*0.475*44/12</f>
        <v>31.720313413095848</v>
      </c>
      <c r="DH83" s="21">
        <f>EXP(-LN(2)/2)*DH82+(1-EXP(-LN(2)/2))/(LN(2)/2)*DB83*DE83*VLOOKUP('Données projet'!$B$13,Paramètres!$A$1:$I$89,3,0)*0.475*44/12</f>
        <v>0.69935128529695634</v>
      </c>
      <c r="DI83" s="22">
        <f t="shared" si="69"/>
        <v>47.869233098731321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133.33333333333334</v>
      </c>
      <c r="DM83" s="12">
        <f>VLOOKUP(A83,'Données projet'!$A$165:$I$185,9,0)</f>
        <v>2.0512820512820582</v>
      </c>
      <c r="DN83" s="12">
        <f t="array" ref="DN83">INDEX(DM:DM,MIN(IF(ISNUMBER(DM83:DM279),ROW(DM83:DM279),"")))</f>
        <v>2.0512820512820582</v>
      </c>
      <c r="DO83" s="12">
        <f>IF('Données projet'!$A$166&gt;35,DO82+DN83-DW82,IF(A83&lt;'Données projet'!$A$166,$DL$205^A83,IF(A83='Données projet'!$A$166,'Données projet'!$B$166,DO82+DN83-DW82)))</f>
        <v>133.33333333333326</v>
      </c>
      <c r="DP83" s="17">
        <f>DO83*VLOOKUP('Données projet'!$B$14,Paramètres!$A$1:$I$89,3,0)*VLOOKUP('Données projet'!$B$14,Paramètres!$A$1:$I$89,5,0)</f>
        <v>139.35999999999993</v>
      </c>
      <c r="DQ83" s="13">
        <f t="shared" si="97"/>
        <v>36.150351407691339</v>
      </c>
      <c r="DR83" s="20">
        <f t="shared" si="70"/>
        <v>305.68052870172897</v>
      </c>
      <c r="DS83" s="59">
        <f t="shared" si="71"/>
        <v>576.40914034041509</v>
      </c>
      <c r="DT83" s="59">
        <f ca="1">AVERAGE(OFFSET($DS$3,0,0,'Données projet'!$E$14+1,1))-AVERAGE(OFFSET($H$3,0,0,'Données projet'!$E$14+1,1))</f>
        <v>269.21114382490202</v>
      </c>
      <c r="DU83" s="59">
        <f t="shared" si="98"/>
        <v>233.07776944102309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7.0512820512820511</v>
      </c>
      <c r="DX83" s="16">
        <f>IF(ISNA(VLOOKUP(A83,'Données projet'!$A$165:$I$185,5,0)),0%,VLOOKUP(A83,'Données projet'!$A$165:$I$185,5,0)*VLOOKUP('Données projet'!$B$14,Paramètres!$A$1:$I$89,7,0))</f>
        <v>4.3000000000000003E-2</v>
      </c>
      <c r="DY83" s="16">
        <f>IF(ISNA(VLOOKUP(A83,'Données projet'!$A$165:$I$185,6,0)),0%,VLOOKUP(A83,'Données projet'!$A$165:$I$185,6,0)*VLOOKUP('Données projet'!$B$14,Paramètres!$A$1:$I$89,7,0))</f>
        <v>0.215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1.4172097805980877</v>
      </c>
      <c r="EB83" s="21">
        <f>EXP(-LN(2)/25)*EB82+(1-EXP(-LN(2)/25))/(LN(2)/25)*Calculateur!DW83*Calculateur!DY83*VLOOKUP('Données projet'!$B$14,Paramètres!$A$1:$I$89,3,0)*0.475*44/12</f>
        <v>16.122959782909497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17.540169563507586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9.546999999999997</v>
      </c>
      <c r="FE83" s="12">
        <f>IF('Données projet'!$A$218&gt;35,FE82+FD83-FM82,IF(A83&lt;'Données projet'!$A$218,$FB$205^A83,IF(A83='Données projet'!$A$218,'Données projet'!$B$218,FE82+FD83-FM82)))</f>
        <v>316.90200000000038</v>
      </c>
      <c r="FF83" s="17">
        <f>FE83*VLOOKUP('Données projet'!$B$16,Paramètres!$A$1:$I$89,3,0)*VLOOKUP('Données projet'!$B$16,Paramètres!$A$1:$I$89,5,0)</f>
        <v>360.88799760000046</v>
      </c>
      <c r="FG83" s="13">
        <f t="shared" si="101"/>
        <v>83.800450157759315</v>
      </c>
      <c r="FH83" s="20">
        <f t="shared" si="76"/>
        <v>774.49904651143152</v>
      </c>
      <c r="FI83" s="59">
        <f t="shared" si="77"/>
        <v>1045.2276581501176</v>
      </c>
      <c r="FJ83" s="59">
        <f ca="1">AVERAGE(OFFSET($FI$3,0,0,'Données projet'!$E$16+1,1))-AVERAGE(OFFSET($H$3,0,0,'Données projet'!$E$16+1,1))</f>
        <v>833.39050463936144</v>
      </c>
      <c r="FK83" s="59">
        <f t="shared" si="102"/>
        <v>362.56178526355507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16.345195553981334</v>
      </c>
      <c r="FR83" s="21">
        <f>EXP(-LN(2)/25)*FR82+(1-EXP(-LN(2)/25))/(LN(2)/25)*Calculateur!FM83*Calculateur!FO83*VLOOKUP('Données projet'!$B$16,Paramètres!$A$1:$I$89,3,0)*0.475*44/12</f>
        <v>33.559172161681133</v>
      </c>
      <c r="FS83" s="21">
        <f>EXP(-LN(2)/2)*FS82+(1-EXP(-LN(2)/2))/(LN(2)/2)*FM83*FP83*VLOOKUP('Données projet'!$B$16,Paramètres!$A$1:$I$89,3,0)*0.475*44/12</f>
        <v>0.73989338879243205</v>
      </c>
      <c r="FT83" s="22">
        <f t="shared" si="78"/>
        <v>50.644261104454898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907.8327001118364</v>
      </c>
      <c r="S84" s="59">
        <f ca="1">AVERAGE(OFFSET($R$3,0,0,'Données projet'!$E$9+1,1))-AVERAGE(OFFSET($H$3,0,0,'Données projet'!$E$9+1,1))</f>
        <v>681.47578137804555</v>
      </c>
      <c r="T84" s="59">
        <f t="shared" si="88"/>
        <v>300.88511065995885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331.01928600000042</v>
      </c>
      <c r="AK84" s="13">
        <f t="shared" si="89"/>
        <v>77.641593219997347</v>
      </c>
      <c r="AL84" s="20">
        <f t="shared" si="58"/>
        <v>711.75103130816262</v>
      </c>
      <c r="AM84" s="59">
        <f t="shared" si="59"/>
        <v>982.871784331664</v>
      </c>
      <c r="AN84" s="59">
        <f ca="1">AVERAGE(OFFSET($AM$3,0,0,'Données projet'!$E$10+1,1))-AVERAGE(OFFSET($H$3,0,0,'Données projet'!$E$10+1,1))</f>
        <v>752.45542076695506</v>
      </c>
      <c r="AO84" s="59">
        <f t="shared" si="90"/>
        <v>329.70629768420724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14.268547335875629</v>
      </c>
      <c r="AV84" s="21">
        <f>EXP(-LN(2)/25)*AV83+(1-EXP(-LN(2)/25))/(LN(2)/25)*Calculateur!AQ84*Calculateur!AS84*VLOOKUP('Données projet'!$B$10,Paramètres!$A$1:$I$89,3,0)*0.475*44/12</f>
        <v>29.064344715312156</v>
      </c>
      <c r="AW84" s="21">
        <f>EXP(-LN(2)/2)*AW83+(1-EXP(-LN(2)/2))/(LN(2)/2)*AQ84*AT84*VLOOKUP('Données projet'!$B$10,Paramètres!$A$1:$I$89,3,0)*0.475*44/12</f>
        <v>0.46584843995978797</v>
      </c>
      <c r="AX84" s="21">
        <f t="shared" si="60"/>
        <v>43.798740491147569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310.64886840000037</v>
      </c>
      <c r="BF84" s="13">
        <f t="shared" si="91"/>
        <v>73.404323224471185</v>
      </c>
      <c r="BG84" s="20">
        <f t="shared" si="61"/>
        <v>668.89264207928784</v>
      </c>
      <c r="BH84" s="59">
        <f t="shared" si="62"/>
        <v>940.01339510278922</v>
      </c>
      <c r="BI84" s="59">
        <f ca="1">AVERAGE(OFFSET($BH$3,0,0,'Données projet'!$E$11+1,1))-AVERAGE(OFFSET($H$3,0,0,'Données projet'!$E$11+1,1))</f>
        <v>711.91538686535682</v>
      </c>
      <c r="BJ84" s="59">
        <f t="shared" si="92"/>
        <v>313.24593837351722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13.390482884437125</v>
      </c>
      <c r="BQ84" s="21">
        <f>EXP(-LN(2)/25)*BQ83+(1-EXP(-LN(2)/25))/(LN(2)/25)*Calculateur!BL84*Calculateur!BN84*VLOOKUP('Données projet'!$B$11,Paramètres!$A$1:$I$89,3,0)*0.475*44/12</f>
        <v>27.27576965590832</v>
      </c>
      <c r="BR84" s="21">
        <f>EXP(-LN(2)/2)*BR83+(1-EXP(-LN(2)/2))/(LN(2)/2)*BL84*BO84*VLOOKUP('Données projet'!$B$11,Paramètres!$A$1:$I$89,3,0)*0.475*44/12</f>
        <v>0.43718084365457011</v>
      </c>
      <c r="BS84" s="22">
        <f t="shared" si="63"/>
        <v>41.10343338400002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9.546999999999997</v>
      </c>
      <c r="BY84" s="12">
        <f>IF('Données projet'!$A$114&gt;35,BY83+BX84-CG83,IF(A84&lt;'Données projet'!$A$114,$BV$205^A84,IF(A84='Données projet'!$A$114,'Données projet'!$B$114,BY83+BX84-CG83)))</f>
        <v>326.44900000000041</v>
      </c>
      <c r="BZ84" s="13">
        <f>BY84*VLOOKUP('Données projet'!$B$12,Paramètres!$A$1:$I$89,3,0)*VLOOKUP('Données projet'!$B$12,Paramètres!$A$1:$I$89,5,0)</f>
        <v>315.74147280000039</v>
      </c>
      <c r="CA84" s="13">
        <f t="shared" si="93"/>
        <v>74.466594558932783</v>
      </c>
      <c r="CB84" s="20">
        <f t="shared" si="64"/>
        <v>679.6123839834753</v>
      </c>
      <c r="CC84" s="59">
        <f t="shared" si="65"/>
        <v>950.73313700697668</v>
      </c>
      <c r="CD84" s="59">
        <f ca="1">AVERAGE(OFFSET($CC$3,0,0,'Données projet'!$E$12+1,1))-AVERAGE(OFFSET($H$3,0,0,'Données projet'!$E$12+1,1))</f>
        <v>722.05521609092671</v>
      </c>
      <c r="CE84" s="59">
        <f t="shared" si="94"/>
        <v>317.36319714884644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13.609998997296756</v>
      </c>
      <c r="CL84" s="21">
        <f>EXP(-LN(2)/25)*CL83+(1-EXP(-LN(2)/25))/(LN(2)/25)*Calculateur!CG84*Calculateur!CI84*VLOOKUP('Données projet'!$B$12,Paramètres!$A$1:$I$89,3,0)*0.475*44/12</f>
        <v>27.722913420759276</v>
      </c>
      <c r="CM84" s="21">
        <f>EXP(-LN(2)/2)*CM83+(1-EXP(-LN(2)/2))/(LN(2)/2)*CG84*CJ84*VLOOKUP('Données projet'!$B$12,Paramètres!$A$1:$I$89,3,0)*0.475*44/12</f>
        <v>0.44434774273087485</v>
      </c>
      <c r="CN84" s="22">
        <f t="shared" si="66"/>
        <v>41.777260160786909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9.546999999999997</v>
      </c>
      <c r="CT84" s="12">
        <f>IF('Données projet'!$A$140&gt;35,CT83+CS84-DB83,IF(A84&lt;'Données projet'!$A$140,$CQ$205^A84,IF(A84='Données projet'!$A$140,'Données projet'!$B$140,CT83+CS84-DB83)))</f>
        <v>326.44900000000041</v>
      </c>
      <c r="CU84" s="17">
        <f>CT84*VLOOKUP('Données projet'!$B$13,Paramètres!$A$1:$I$89,3,0)*VLOOKUP('Données projet'!$B$13,Paramètres!$A$1:$I$89,5,0)</f>
        <v>351.38970360000042</v>
      </c>
      <c r="CV84" s="13">
        <f t="shared" si="95"/>
        <v>81.848599612777036</v>
      </c>
      <c r="CW84" s="20">
        <f t="shared" si="67"/>
        <v>754.55671142892061</v>
      </c>
      <c r="CX84" s="59">
        <f t="shared" si="68"/>
        <v>1025.6774644524221</v>
      </c>
      <c r="CY84" s="59">
        <f ca="1">AVERAGE(OFFSET($CX$3,0,0,'Données projet'!$E$13+1,1))-AVERAGE(OFFSET($H$3,0,0,'Données projet'!$E$13+1,1))</f>
        <v>792.94606354161886</v>
      </c>
      <c r="CZ84" s="59">
        <f t="shared" si="96"/>
        <v>346.14443498270919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15.146611787314129</v>
      </c>
      <c r="DG84" s="21">
        <f>EXP(-LN(2)/25)*DG83+(1-EXP(-LN(2)/25))/(LN(2)/25)*Calculateur!DB84*Calculateur!DD84*VLOOKUP('Données projet'!$B$13,Paramètres!$A$1:$I$89,3,0)*0.475*44/12</f>
        <v>30.852919774715957</v>
      </c>
      <c r="DH84" s="21">
        <f>EXP(-LN(2)/2)*DH83+(1-EXP(-LN(2)/2))/(LN(2)/2)*DB84*DE84*VLOOKUP('Données projet'!$B$13,Paramètres!$A$1:$I$89,3,0)*0.475*44/12</f>
        <v>0.49451603626500573</v>
      </c>
      <c r="DI84" s="22">
        <f t="shared" si="69"/>
        <v>46.49404759829509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1.7948717948717898</v>
      </c>
      <c r="DO84" s="12">
        <f>IF('Données projet'!$A$166&gt;35,DO83+DN84-DW83,IF(A84&lt;'Données projet'!$A$166,$DL$205^A84,IF(A84='Données projet'!$A$166,'Données projet'!$B$166,DO83+DN84-DW83)))</f>
        <v>128.07692307692301</v>
      </c>
      <c r="DP84" s="17">
        <f>DO84*VLOOKUP('Données projet'!$B$14,Paramètres!$A$1:$I$89,3,0)*VLOOKUP('Données projet'!$B$14,Paramètres!$A$1:$I$89,5,0)</f>
        <v>133.86599999999993</v>
      </c>
      <c r="DQ84" s="13">
        <f t="shared" si="97"/>
        <v>34.888149132612561</v>
      </c>
      <c r="DR84" s="20">
        <f t="shared" si="70"/>
        <v>293.91347640596678</v>
      </c>
      <c r="DS84" s="59">
        <f t="shared" si="71"/>
        <v>565.03422942946827</v>
      </c>
      <c r="DT84" s="59">
        <f ca="1">AVERAGE(OFFSET($DS$3,0,0,'Données projet'!$E$14+1,1))-AVERAGE(OFFSET($H$3,0,0,'Données projet'!$E$14+1,1))</f>
        <v>269.21114382490202</v>
      </c>
      <c r="DU84" s="59">
        <f t="shared" si="98"/>
        <v>233.07776944102309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1.3894191612131717</v>
      </c>
      <c r="EB84" s="21">
        <f>EXP(-LN(2)/25)*EB83+(1-EXP(-LN(2)/25))/(LN(2)/25)*Calculateur!DW84*Calculateur!DY84*VLOOKUP('Données projet'!$B$14,Paramètres!$A$1:$I$89,3,0)*0.475*44/12</f>
        <v>15.682076599776231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17.071495760989404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9.546999999999997</v>
      </c>
      <c r="FE84" s="12">
        <f>IF('Données projet'!$A$218&gt;35,FE83+FD84-FM83,IF(A84&lt;'Données projet'!$A$218,$FB$205^A84,IF(A84='Données projet'!$A$218,'Données projet'!$B$218,FE83+FD84-FM83)))</f>
        <v>326.44900000000041</v>
      </c>
      <c r="FF84" s="17">
        <f>FE84*VLOOKUP('Données projet'!$B$16,Paramètres!$A$1:$I$89,3,0)*VLOOKUP('Données projet'!$B$16,Paramètres!$A$1:$I$89,5,0)</f>
        <v>371.76012120000047</v>
      </c>
      <c r="FG84" s="13">
        <f t="shared" si="101"/>
        <v>86.027296685981696</v>
      </c>
      <c r="FH84" s="20">
        <f t="shared" si="76"/>
        <v>797.31308615141882</v>
      </c>
      <c r="FI84" s="59">
        <f t="shared" si="77"/>
        <v>1068.4338391749202</v>
      </c>
      <c r="FJ84" s="59">
        <f ca="1">AVERAGE(OFFSET($FI$3,0,0,'Données projet'!$E$16+1,1))-AVERAGE(OFFSET($H$3,0,0,'Données projet'!$E$16+1,1))</f>
        <v>833.39050463936144</v>
      </c>
      <c r="FK84" s="59">
        <f t="shared" si="102"/>
        <v>362.56178526355507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16.024676238752633</v>
      </c>
      <c r="FR84" s="21">
        <f>EXP(-LN(2)/25)*FR83+(1-EXP(-LN(2)/25))/(LN(2)/25)*Calculateur!FM84*Calculateur!FO84*VLOOKUP('Données projet'!$B$16,Paramètres!$A$1:$I$89,3,0)*0.475*44/12</f>
        <v>32.641494834119797</v>
      </c>
      <c r="FS84" s="21">
        <f>EXP(-LN(2)/2)*FS83+(1-EXP(-LN(2)/2))/(LN(2)/2)*FM84*FP84*VLOOKUP('Données projet'!$B$16,Paramètres!$A$1:$I$89,3,0)*0.475*44/12</f>
        <v>0.52318363257022338</v>
      </c>
      <c r="FT84" s="22">
        <f t="shared" si="78"/>
        <v>49.189354705442653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926.41712218141379</v>
      </c>
      <c r="S85" s="59">
        <f ca="1">AVERAGE(OFFSET($R$3,0,0,'Données projet'!$E$9+1,1))-AVERAGE(OFFSET($H$3,0,0,'Données projet'!$E$9+1,1))</f>
        <v>681.47578137804555</v>
      </c>
      <c r="T85" s="59">
        <f t="shared" si="88"/>
        <v>300.88511065995885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340.69994400000047</v>
      </c>
      <c r="AK85" s="13">
        <f t="shared" si="89"/>
        <v>79.644541970406692</v>
      </c>
      <c r="AL85" s="20">
        <f t="shared" si="58"/>
        <v>732.09997973179236</v>
      </c>
      <c r="AM85" s="59">
        <f t="shared" si="59"/>
        <v>1003.6060713637794</v>
      </c>
      <c r="AN85" s="59">
        <f ca="1">AVERAGE(OFFSET($AM$3,0,0,'Données projet'!$E$10+1,1))-AVERAGE(OFFSET($H$3,0,0,'Données projet'!$E$10+1,1))</f>
        <v>752.45542076695506</v>
      </c>
      <c r="AO85" s="59">
        <f t="shared" si="90"/>
        <v>329.70629768420724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13.988749825573638</v>
      </c>
      <c r="AV85" s="21">
        <f>EXP(-LN(2)/25)*AV84+(1-EXP(-LN(2)/25))/(LN(2)/25)*Calculateur!AQ85*Calculateur!AS85*VLOOKUP('Données projet'!$B$10,Paramètres!$A$1:$I$89,3,0)*0.475*44/12</f>
        <v>28.269578680644486</v>
      </c>
      <c r="AW85" s="21">
        <f>EXP(-LN(2)/2)*AW84+(1-EXP(-LN(2)/2))/(LN(2)/2)*AQ85*AT85*VLOOKUP('Données projet'!$B$10,Paramètres!$A$1:$I$89,3,0)*0.475*44/12</f>
        <v>0.32940459090074031</v>
      </c>
      <c r="AX85" s="21">
        <f t="shared" si="60"/>
        <v>42.587733097118864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319.73379360000041</v>
      </c>
      <c r="BF85" s="13">
        <f t="shared" si="91"/>
        <v>75.297961561599294</v>
      </c>
      <c r="BG85" s="20">
        <f t="shared" si="61"/>
        <v>688.01364023978613</v>
      </c>
      <c r="BH85" s="59">
        <f t="shared" si="62"/>
        <v>959.51973187177316</v>
      </c>
      <c r="BI85" s="59">
        <f ca="1">AVERAGE(OFFSET($BH$3,0,0,'Données projet'!$E$11+1,1))-AVERAGE(OFFSET($H$3,0,0,'Données projet'!$E$11+1,1))</f>
        <v>711.91538686535682</v>
      </c>
      <c r="BJ85" s="59">
        <f t="shared" si="92"/>
        <v>313.24593837351722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13.12790368246141</v>
      </c>
      <c r="BQ85" s="21">
        <f>EXP(-LN(2)/25)*BQ84+(1-EXP(-LN(2)/25))/(LN(2)/25)*Calculateur!BL85*Calculateur!BN85*VLOOKUP('Données projet'!$B$11,Paramètres!$A$1:$I$89,3,0)*0.475*44/12</f>
        <v>26.52991230029712</v>
      </c>
      <c r="BR85" s="21">
        <f>EXP(-LN(2)/2)*BR84+(1-EXP(-LN(2)/2))/(LN(2)/2)*BL85*BO85*VLOOKUP('Données projet'!$B$11,Paramètres!$A$1:$I$89,3,0)*0.475*44/12</f>
        <v>0.30913353915300235</v>
      </c>
      <c r="BS85" s="22">
        <f t="shared" si="63"/>
        <v>39.96694952191153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9.546999999999997</v>
      </c>
      <c r="BY85" s="12">
        <f>IF('Données projet'!$A$114&gt;35,BY84+BX85-CG84,IF(A85&lt;'Données projet'!$A$114,$BV$205^A85,IF(A85='Données projet'!$A$114,'Données projet'!$B$114,BY84+BX85-CG84)))</f>
        <v>335.99600000000044</v>
      </c>
      <c r="BZ85" s="13">
        <f>BY85*VLOOKUP('Données projet'!$B$12,Paramètres!$A$1:$I$89,3,0)*VLOOKUP('Données projet'!$B$12,Paramètres!$A$1:$I$89,5,0)</f>
        <v>324.97533120000043</v>
      </c>
      <c r="CA85" s="13">
        <f t="shared" si="93"/>
        <v>76.387636700564656</v>
      </c>
      <c r="CB85" s="20">
        <f t="shared" si="64"/>
        <v>699.04050242681751</v>
      </c>
      <c r="CC85" s="59">
        <f t="shared" si="65"/>
        <v>970.54659405880454</v>
      </c>
      <c r="CD85" s="59">
        <f ca="1">AVERAGE(OFFSET($CC$3,0,0,'Données projet'!$E$12+1,1))-AVERAGE(OFFSET($H$3,0,0,'Données projet'!$E$12+1,1))</f>
        <v>722.05521609092671</v>
      </c>
      <c r="CE85" s="59">
        <f t="shared" si="94"/>
        <v>317.36319714884644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13.343115218239472</v>
      </c>
      <c r="CL85" s="21">
        <f>EXP(-LN(2)/25)*CL84+(1-EXP(-LN(2)/25))/(LN(2)/25)*Calculateur!CG85*Calculateur!CI85*VLOOKUP('Données projet'!$B$12,Paramètres!$A$1:$I$89,3,0)*0.475*44/12</f>
        <v>26.96482889538396</v>
      </c>
      <c r="CM85" s="21">
        <f>EXP(-LN(2)/2)*CM84+(1-EXP(-LN(2)/2))/(LN(2)/2)*CG85*CJ85*VLOOKUP('Données projet'!$B$12,Paramètres!$A$1:$I$89,3,0)*0.475*44/12</f>
        <v>0.31420130208993707</v>
      </c>
      <c r="CN85" s="22">
        <f t="shared" si="66"/>
        <v>40.622145415713369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9.546999999999997</v>
      </c>
      <c r="CT85" s="12">
        <f>IF('Données projet'!$A$140&gt;35,CT84+CS85-DB84,IF(A85&lt;'Données projet'!$A$140,$CQ$205^A85,IF(A85='Données projet'!$A$140,'Données projet'!$B$140,CT84+CS85-DB84)))</f>
        <v>335.99600000000044</v>
      </c>
      <c r="CU85" s="17">
        <f>CT85*VLOOKUP('Données projet'!$B$13,Paramètres!$A$1:$I$89,3,0)*VLOOKUP('Données projet'!$B$13,Paramètres!$A$1:$I$89,5,0)</f>
        <v>361.66609440000047</v>
      </c>
      <c r="CV85" s="13">
        <f t="shared" si="95"/>
        <v>83.96007805517128</v>
      </c>
      <c r="CW85" s="20">
        <f t="shared" si="67"/>
        <v>776.13225035942412</v>
      </c>
      <c r="CX85" s="59">
        <f t="shared" si="68"/>
        <v>1047.6383419914112</v>
      </c>
      <c r="CY85" s="59">
        <f ca="1">AVERAGE(OFFSET($CX$3,0,0,'Données projet'!$E$13+1,1))-AVERAGE(OFFSET($H$3,0,0,'Données projet'!$E$13+1,1))</f>
        <v>792.94606354161886</v>
      </c>
      <c r="CZ85" s="59">
        <f t="shared" si="96"/>
        <v>346.14443498270919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14.849595968685861</v>
      </c>
      <c r="DG85" s="21">
        <f>EXP(-LN(2)/25)*DG84+(1-EXP(-LN(2)/25))/(LN(2)/25)*Calculateur!DB85*Calculateur!DD85*VLOOKUP('Données projet'!$B$13,Paramètres!$A$1:$I$89,3,0)*0.475*44/12</f>
        <v>30.009245060991812</v>
      </c>
      <c r="DH85" s="21">
        <f>EXP(-LN(2)/2)*DH84+(1-EXP(-LN(2)/2))/(LN(2)/2)*DB85*DE85*VLOOKUP('Données projet'!$B$13,Paramètres!$A$1:$I$89,3,0)*0.475*44/12</f>
        <v>0.34967564264847822</v>
      </c>
      <c r="DI85" s="22">
        <f t="shared" si="69"/>
        <v>45.208516672326155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1.7948717948717898</v>
      </c>
      <c r="DO85" s="12">
        <f>IF('Données projet'!$A$166&gt;35,DO84+DN85-DW84,IF(A85&lt;'Données projet'!$A$166,$DL$205^A85,IF(A85='Données projet'!$A$166,'Données projet'!$B$166,DO84+DN85-DW84)))</f>
        <v>129.8717948717948</v>
      </c>
      <c r="DP85" s="17">
        <f>DO85*VLOOKUP('Données projet'!$B$14,Paramètres!$A$1:$I$89,3,0)*VLOOKUP('Données projet'!$B$14,Paramètres!$A$1:$I$89,5,0)</f>
        <v>135.74199999999996</v>
      </c>
      <c r="DQ85" s="13">
        <f t="shared" si="97"/>
        <v>35.319810973036205</v>
      </c>
      <c r="DR85" s="20">
        <f t="shared" si="70"/>
        <v>297.93265411137128</v>
      </c>
      <c r="DS85" s="59">
        <f t="shared" si="71"/>
        <v>569.43874574335837</v>
      </c>
      <c r="DT85" s="59">
        <f ca="1">AVERAGE(OFFSET($DS$3,0,0,'Données projet'!$E$14+1,1))-AVERAGE(OFFSET($H$3,0,0,'Données projet'!$E$14+1,1))</f>
        <v>269.21114382490202</v>
      </c>
      <c r="DU85" s="59">
        <f t="shared" si="98"/>
        <v>233.07776944102309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1.3621734989237897</v>
      </c>
      <c r="EB85" s="21">
        <f>EXP(-LN(2)/25)*EB84+(1-EXP(-LN(2)/25))/(LN(2)/25)*Calculateur!DW85*Calculateur!DY85*VLOOKUP('Données projet'!$B$14,Paramètres!$A$1:$I$89,3,0)*0.475*44/12</f>
        <v>15.253249390470783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16.615422889394573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9.546999999999997</v>
      </c>
      <c r="FE85" s="12">
        <f>IF('Données projet'!$A$218&gt;35,FE84+FD85-FM84,IF(A85&lt;'Données projet'!$A$218,$FB$205^A85,IF(A85='Données projet'!$A$218,'Données projet'!$B$218,FE84+FD85-FM84)))</f>
        <v>335.99600000000044</v>
      </c>
      <c r="FF85" s="17">
        <f>FE85*VLOOKUP('Données projet'!$B$16,Paramètres!$A$1:$I$89,3,0)*VLOOKUP('Données projet'!$B$16,Paramètres!$A$1:$I$89,5,0)</f>
        <v>382.63224480000054</v>
      </c>
      <c r="FG85" s="13">
        <f t="shared" si="101"/>
        <v>88.246574514426626</v>
      </c>
      <c r="FH85" s="20">
        <f t="shared" si="76"/>
        <v>820.11394363929401</v>
      </c>
      <c r="FI85" s="59">
        <f t="shared" si="77"/>
        <v>1091.620035271281</v>
      </c>
      <c r="FJ85" s="59">
        <f ca="1">AVERAGE(OFFSET($FI$3,0,0,'Données projet'!$E$16+1,1))-AVERAGE(OFFSET($H$3,0,0,'Données projet'!$E$16+1,1))</f>
        <v>833.39050463936144</v>
      </c>
      <c r="FK85" s="59">
        <f t="shared" si="102"/>
        <v>362.56178526355507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15.710442111798089</v>
      </c>
      <c r="FR85" s="21">
        <f>EXP(-LN(2)/25)*FR84+(1-EXP(-LN(2)/25))/(LN(2)/25)*Calculateur!FM85*Calculateur!FO85*VLOOKUP('Données projet'!$B$16,Paramètres!$A$1:$I$89,3,0)*0.475*44/12</f>
        <v>31.748911441339182</v>
      </c>
      <c r="FS85" s="21">
        <f>EXP(-LN(2)/2)*FS84+(1-EXP(-LN(2)/2))/(LN(2)/2)*FM85*FP85*VLOOKUP('Données projet'!$B$16,Paramètres!$A$1:$I$89,3,0)*0.475*44/12</f>
        <v>0.36994669439621602</v>
      </c>
      <c r="FT85" s="22">
        <f t="shared" si="78"/>
        <v>47.829300247533489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944.98444257151471</v>
      </c>
      <c r="S86" s="59">
        <f ca="1">AVERAGE(OFFSET($R$3,0,0,'Données projet'!$E$9+1,1))-AVERAGE(OFFSET($H$3,0,0,'Données projet'!$E$9+1,1))</f>
        <v>681.47578137804555</v>
      </c>
      <c r="T86" s="59">
        <f t="shared" si="88"/>
        <v>300.88511065995885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350.38060200000047</v>
      </c>
      <c r="AK86" s="13">
        <f t="shared" si="89"/>
        <v>81.640876184681076</v>
      </c>
      <c r="AL86" s="20">
        <f t="shared" si="58"/>
        <v>752.43740783832027</v>
      </c>
      <c r="AM86" s="59">
        <f t="shared" si="59"/>
        <v>1024.3221533154237</v>
      </c>
      <c r="AN86" s="59">
        <f ca="1">AVERAGE(OFFSET($AM$3,0,0,'Données projet'!$E$10+1,1))-AVERAGE(OFFSET($H$3,0,0,'Données projet'!$E$10+1,1))</f>
        <v>752.45542076695506</v>
      </c>
      <c r="AO86" s="59">
        <f t="shared" si="90"/>
        <v>329.70629768420724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13.714438973789038</v>
      </c>
      <c r="AV86" s="21">
        <f>EXP(-LN(2)/25)*AV85+(1-EXP(-LN(2)/25))/(LN(2)/25)*Calculateur!AQ86*Calculateur!AS86*VLOOKUP('Données projet'!$B$10,Paramètres!$A$1:$I$89,3,0)*0.475*44/12</f>
        <v>27.496545564989731</v>
      </c>
      <c r="AW86" s="21">
        <f>EXP(-LN(2)/2)*AW85+(1-EXP(-LN(2)/2))/(LN(2)/2)*AQ86*AT86*VLOOKUP('Données projet'!$B$10,Paramètres!$A$1:$I$89,3,0)*0.475*44/12</f>
        <v>0.23292421997989399</v>
      </c>
      <c r="AX86" s="21">
        <f t="shared" si="60"/>
        <v>41.44390875875866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328.81871880000045</v>
      </c>
      <c r="BF86" s="13">
        <f t="shared" si="91"/>
        <v>77.185346349202092</v>
      </c>
      <c r="BG86" s="20">
        <f t="shared" si="61"/>
        <v>707.12374680152777</v>
      </c>
      <c r="BH86" s="59">
        <f t="shared" si="62"/>
        <v>979.00849227863125</v>
      </c>
      <c r="BI86" s="59">
        <f ca="1">AVERAGE(OFFSET($BH$3,0,0,'Données projet'!$E$11+1,1))-AVERAGE(OFFSET($H$3,0,0,'Données projet'!$E$11+1,1))</f>
        <v>711.91538686535682</v>
      </c>
      <c r="BJ86" s="59">
        <f t="shared" si="92"/>
        <v>313.24593837351722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12.87047349847894</v>
      </c>
      <c r="BQ86" s="21">
        <f>EXP(-LN(2)/25)*BQ85+(1-EXP(-LN(2)/25))/(LN(2)/25)*Calculateur!BL86*Calculateur!BN86*VLOOKUP('Données projet'!$B$11,Paramètres!$A$1:$I$89,3,0)*0.475*44/12</f>
        <v>25.804450453298042</v>
      </c>
      <c r="BR86" s="21">
        <f>EXP(-LN(2)/2)*BR85+(1-EXP(-LN(2)/2))/(LN(2)/2)*BL86*BO86*VLOOKUP('Données projet'!$B$11,Paramètres!$A$1:$I$89,3,0)*0.475*44/12</f>
        <v>0.21859042182728505</v>
      </c>
      <c r="BS86" s="22">
        <f t="shared" si="63"/>
        <v>38.893514373604269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9.546999999999997</v>
      </c>
      <c r="BY86" s="12">
        <f>IF('Données projet'!$A$114&gt;35,BY85+BX86-CG85,IF(A86&lt;'Données projet'!$A$114,$BV$205^A86,IF(A86='Données projet'!$A$114,'Données projet'!$B$114,BY85+BX86-CG85)))</f>
        <v>345.54300000000046</v>
      </c>
      <c r="BZ86" s="13">
        <f>BY86*VLOOKUP('Données projet'!$B$12,Paramètres!$A$1:$I$89,3,0)*VLOOKUP('Données projet'!$B$12,Paramètres!$A$1:$I$89,5,0)</f>
        <v>334.20918960000046</v>
      </c>
      <c r="CA86" s="13">
        <f t="shared" si="93"/>
        <v>78.302334794371959</v>
      </c>
      <c r="CB86" s="20">
        <f t="shared" si="64"/>
        <v>718.45757165353189</v>
      </c>
      <c r="CC86" s="59">
        <f t="shared" si="65"/>
        <v>990.34231713063537</v>
      </c>
      <c r="CD86" s="59">
        <f ca="1">AVERAGE(OFFSET($CC$3,0,0,'Données projet'!$E$12+1,1))-AVERAGE(OFFSET($H$3,0,0,'Données projet'!$E$12+1,1))</f>
        <v>722.05521609092671</v>
      </c>
      <c r="CE86" s="59">
        <f t="shared" si="94"/>
        <v>317.36319714884644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13.081464867306469</v>
      </c>
      <c r="CL86" s="21">
        <f>EXP(-LN(2)/25)*CL85+(1-EXP(-LN(2)/25))/(LN(2)/25)*Calculateur!CG86*Calculateur!CI86*VLOOKUP('Données projet'!$B$12,Paramètres!$A$1:$I$89,3,0)*0.475*44/12</f>
        <v>26.227474231220963</v>
      </c>
      <c r="CM86" s="21">
        <f>EXP(-LN(2)/2)*CM85+(1-EXP(-LN(2)/2))/(LN(2)/2)*CG86*CJ86*VLOOKUP('Données projet'!$B$12,Paramètres!$A$1:$I$89,3,0)*0.475*44/12</f>
        <v>0.22217387136543745</v>
      </c>
      <c r="CN86" s="22">
        <f t="shared" si="66"/>
        <v>39.531112969892867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9.546999999999997</v>
      </c>
      <c r="CT86" s="12">
        <f>IF('Données projet'!$A$140&gt;35,CT85+CS86-DB85,IF(A86&lt;'Données projet'!$A$140,$CQ$205^A86,IF(A86='Données projet'!$A$140,'Données projet'!$B$140,CT85+CS86-DB85)))</f>
        <v>345.54300000000046</v>
      </c>
      <c r="CU86" s="17">
        <f>CT86*VLOOKUP('Données projet'!$B$13,Paramètres!$A$1:$I$89,3,0)*VLOOKUP('Données projet'!$B$13,Paramètres!$A$1:$I$89,5,0)</f>
        <v>371.94248520000048</v>
      </c>
      <c r="CV86" s="13">
        <f t="shared" si="95"/>
        <v>86.064583553074272</v>
      </c>
      <c r="CW86" s="20">
        <f t="shared" si="67"/>
        <v>797.69564474493848</v>
      </c>
      <c r="CX86" s="59">
        <f t="shared" si="68"/>
        <v>1069.5803902220418</v>
      </c>
      <c r="CY86" s="59">
        <f ca="1">AVERAGE(OFFSET($CX$3,0,0,'Données projet'!$E$13+1,1))-AVERAGE(OFFSET($H$3,0,0,'Données projet'!$E$13+1,1))</f>
        <v>792.94606354161886</v>
      </c>
      <c r="CZ86" s="59">
        <f t="shared" si="96"/>
        <v>346.14443498270919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14.558404449099132</v>
      </c>
      <c r="DG86" s="21">
        <f>EXP(-LN(2)/25)*DG85+(1-EXP(-LN(2)/25))/(LN(2)/25)*Calculateur!DB86*Calculateur!DD86*VLOOKUP('Données projet'!$B$13,Paramètres!$A$1:$I$89,3,0)*0.475*44/12</f>
        <v>29.188640676681381</v>
      </c>
      <c r="DH86" s="21">
        <f>EXP(-LN(2)/2)*DH85+(1-EXP(-LN(2)/2))/(LN(2)/2)*DB86*DE86*VLOOKUP('Données projet'!$B$13,Paramètres!$A$1:$I$89,3,0)*0.475*44/12</f>
        <v>0.24725801813250289</v>
      </c>
      <c r="DI86" s="22">
        <f t="shared" si="69"/>
        <v>43.994303143913022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1.7948717948717898</v>
      </c>
      <c r="DO86" s="12">
        <f>IF('Données projet'!$A$166&gt;35,DO85+DN86-DW85,IF(A86&lt;'Données projet'!$A$166,$DL$205^A86,IF(A86='Données projet'!$A$166,'Données projet'!$B$166,DO85+DN86-DW85)))</f>
        <v>131.6666666666666</v>
      </c>
      <c r="DP86" s="17">
        <f>DO86*VLOOKUP('Données projet'!$B$14,Paramètres!$A$1:$I$89,3,0)*VLOOKUP('Données projet'!$B$14,Paramètres!$A$1:$I$89,5,0)</f>
        <v>137.61799999999994</v>
      </c>
      <c r="DQ86" s="13">
        <f t="shared" si="97"/>
        <v>35.750778939526811</v>
      </c>
      <c r="DR86" s="20">
        <f t="shared" si="70"/>
        <v>301.95062331967574</v>
      </c>
      <c r="DS86" s="59">
        <f t="shared" si="71"/>
        <v>573.83536879677922</v>
      </c>
      <c r="DT86" s="59">
        <f ca="1">AVERAGE(OFFSET($DS$3,0,0,'Données projet'!$E$14+1,1))-AVERAGE(OFFSET($H$3,0,0,'Données projet'!$E$14+1,1))</f>
        <v>269.21114382490202</v>
      </c>
      <c r="DU86" s="59">
        <f t="shared" si="98"/>
        <v>233.07776944102309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1.3354621074536894</v>
      </c>
      <c r="EB86" s="21">
        <f>EXP(-LN(2)/25)*EB85+(1-EXP(-LN(2)/25))/(LN(2)/25)*Calculateur!DW86*Calculateur!DY86*VLOOKUP('Données projet'!$B$14,Paramètres!$A$1:$I$89,3,0)*0.475*44/12</f>
        <v>14.836148483754837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16.171610591208527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9.546999999999997</v>
      </c>
      <c r="FE86" s="12">
        <f>IF('Données projet'!$A$218&gt;35,FE85+FD86-FM85,IF(A86&lt;'Données projet'!$A$218,$FB$205^A86,IF(A86='Données projet'!$A$218,'Données projet'!$B$218,FE85+FD86-FM85)))</f>
        <v>345.54300000000046</v>
      </c>
      <c r="FF86" s="17">
        <f>FE86*VLOOKUP('Données projet'!$B$16,Paramètres!$A$1:$I$89,3,0)*VLOOKUP('Données projet'!$B$16,Paramètres!$A$1:$I$89,5,0)</f>
        <v>393.50436840000054</v>
      </c>
      <c r="FG86" s="13">
        <f t="shared" si="101"/>
        <v>90.458523401785712</v>
      </c>
      <c r="FH86" s="20">
        <f t="shared" si="76"/>
        <v>842.90203655477774</v>
      </c>
      <c r="FI86" s="59">
        <f t="shared" si="77"/>
        <v>1114.7867820318811</v>
      </c>
      <c r="FJ86" s="59">
        <f ca="1">AVERAGE(OFFSET($FI$3,0,0,'Données projet'!$E$16+1,1))-AVERAGE(OFFSET($H$3,0,0,'Données projet'!$E$16+1,1))</f>
        <v>833.39050463936144</v>
      </c>
      <c r="FK86" s="59">
        <f t="shared" si="102"/>
        <v>362.56178526355507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15.402369924409232</v>
      </c>
      <c r="FR86" s="21">
        <f>EXP(-LN(2)/25)*FR85+(1-EXP(-LN(2)/25))/(LN(2)/25)*Calculateur!FM86*Calculateur!FO86*VLOOKUP('Données projet'!$B$16,Paramètres!$A$1:$I$89,3,0)*0.475*44/12</f>
        <v>30.880735788373073</v>
      </c>
      <c r="FS86" s="21">
        <f>EXP(-LN(2)/2)*FS85+(1-EXP(-LN(2)/2))/(LN(2)/2)*FM86*FP86*VLOOKUP('Données projet'!$B$16,Paramètres!$A$1:$I$89,3,0)*0.475*44/12</f>
        <v>0.26159181628511169</v>
      </c>
      <c r="FT86" s="22">
        <f t="shared" si="78"/>
        <v>46.544697529067413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963.53509812410164</v>
      </c>
      <c r="S87" s="59">
        <f ca="1">AVERAGE(OFFSET($R$3,0,0,'Données projet'!$E$9+1,1))-AVERAGE(OFFSET($H$3,0,0,'Données projet'!$E$9+1,1))</f>
        <v>681.47578137804555</v>
      </c>
      <c r="T87" s="59">
        <f t="shared" si="88"/>
        <v>300.88511065995885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360.06126000000052</v>
      </c>
      <c r="AK87" s="13">
        <f t="shared" si="89"/>
        <v>83.630799612914231</v>
      </c>
      <c r="AL87" s="20">
        <f t="shared" si="58"/>
        <v>772.76367049249313</v>
      </c>
      <c r="AM87" s="59">
        <f t="shared" si="59"/>
        <v>1045.0205010170434</v>
      </c>
      <c r="AN87" s="59">
        <f ca="1">AVERAGE(OFFSET($AM$3,0,0,'Données projet'!$E$10+1,1))-AVERAGE(OFFSET($H$3,0,0,'Données projet'!$E$10+1,1))</f>
        <v>752.45542076695506</v>
      </c>
      <c r="AO87" s="59">
        <f t="shared" si="90"/>
        <v>329.70629768420724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24.696278129878717</v>
      </c>
      <c r="AV87" s="21">
        <f>EXP(-LN(2)/25)*AV86+(1-EXP(-LN(2)/25))/(LN(2)/25)*Calculateur!AQ87*Calculateur!AS87*VLOOKUP('Données projet'!$B$10,Paramètres!$A$1:$I$89,3,0)*0.475*44/12</f>
        <v>33.148349576143573</v>
      </c>
      <c r="AW87" s="21">
        <f>EXP(-LN(2)/2)*AW86+(1-EXP(-LN(2)/2))/(LN(2)/2)*AQ87*AT87*VLOOKUP('Données projet'!$B$10,Paramètres!$A$1:$I$89,3,0)*0.475*44/12</f>
        <v>6.5451766228627521</v>
      </c>
      <c r="AX87" s="21">
        <f t="shared" si="60"/>
        <v>64.389804328885049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337.9036440000005</v>
      </c>
      <c r="BF87" s="13">
        <f t="shared" si="91"/>
        <v>79.066670217764312</v>
      </c>
      <c r="BG87" s="20">
        <f t="shared" si="61"/>
        <v>726.22329726260705</v>
      </c>
      <c r="BH87" s="59">
        <f t="shared" si="62"/>
        <v>998.48012778715736</v>
      </c>
      <c r="BI87" s="59">
        <f ca="1">AVERAGE(OFFSET($BH$3,0,0,'Données projet'!$E$11+1,1))-AVERAGE(OFFSET($H$3,0,0,'Données projet'!$E$11+1,1))</f>
        <v>711.91538686535682</v>
      </c>
      <c r="BJ87" s="59">
        <f t="shared" si="92"/>
        <v>313.24593837351722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23.176507168040022</v>
      </c>
      <c r="BQ87" s="21">
        <f>EXP(-LN(2)/25)*BQ86+(1-EXP(-LN(2)/25))/(LN(2)/25)*Calculateur!BL87*Calculateur!BN87*VLOOKUP('Données projet'!$B$11,Paramètres!$A$1:$I$89,3,0)*0.475*44/12</f>
        <v>31.108451140688576</v>
      </c>
      <c r="BR87" s="21">
        <f>EXP(-LN(2)/2)*BR86+(1-EXP(-LN(2)/2))/(LN(2)/2)*BL87*BO87*VLOOKUP('Données projet'!$B$11,Paramètres!$A$1:$I$89,3,0)*0.475*44/12</f>
        <v>6.1423965229942743</v>
      </c>
      <c r="BS87" s="22">
        <f t="shared" si="63"/>
        <v>60.427354831722873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9.546999999999997</v>
      </c>
      <c r="BX87" s="12">
        <f t="array" ref="BX87">INDEX(BW:BW,MIN(IF(ISNUMBER(BW87:BW283),ROW(BW87:BW283),"")))</f>
        <v>9.546999999999997</v>
      </c>
      <c r="BY87" s="12">
        <f>IF('Données projet'!$A$114&gt;35,BY86+BX87-CG86,IF(A87&lt;'Données projet'!$A$114,$BV$205^A87,IF(A87='Données projet'!$A$114,'Données projet'!$B$114,BY86+BX87-CG86)))</f>
        <v>355.09000000000049</v>
      </c>
      <c r="BZ87" s="13">
        <f>BY87*VLOOKUP('Données projet'!$B$12,Paramètres!$A$1:$I$89,3,0)*VLOOKUP('Données projet'!$B$12,Paramètres!$A$1:$I$89,5,0)</f>
        <v>343.44304800000049</v>
      </c>
      <c r="CA87" s="13">
        <f t="shared" si="93"/>
        <v>80.210884258493451</v>
      </c>
      <c r="CB87" s="20">
        <f t="shared" si="64"/>
        <v>737.8639320168769</v>
      </c>
      <c r="CC87" s="59">
        <f t="shared" si="65"/>
        <v>1010.1207625414272</v>
      </c>
      <c r="CD87" s="59">
        <f ca="1">AVERAGE(OFFSET($CC$3,0,0,'Données projet'!$E$12+1,1))-AVERAGE(OFFSET($H$3,0,0,'Données projet'!$E$12+1,1))</f>
        <v>722.05521609092671</v>
      </c>
      <c r="CE87" s="59">
        <f t="shared" si="94"/>
        <v>317.36319714884644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66.69</v>
      </c>
      <c r="CH87" s="16">
        <f>IF(ISNA(VLOOKUP(A87,'Données projet'!$A$113:$I$133,5,0)),0%,VLOOKUP(A87,'Données projet'!$A$113:$I$133,5,0)*VLOOKUP('Données projet'!$B$12,Paramètres!$A$1:$I$89,7,0))</f>
        <v>0.15049999999999999</v>
      </c>
      <c r="CI87" s="16">
        <f>IF(ISNA(VLOOKUP(A87,'Données projet'!$A$113:$I$133,6,0)),0%,VLOOKUP(A87,'Données projet'!$A$113:$I$133,6,0)*VLOOKUP('Données projet'!$B$12,Paramètres!$A$1:$I$89,7,0))</f>
        <v>8.6000000000000007E-2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23.556449908499701</v>
      </c>
      <c r="CL87" s="21">
        <f>EXP(-LN(2)/25)*CL86+(1-EXP(-LN(2)/25))/(LN(2)/25)*Calculateur!CG87*Calculateur!CI87*VLOOKUP('Données projet'!$B$12,Paramètres!$A$1:$I$89,3,0)*0.475*44/12</f>
        <v>31.618425749552323</v>
      </c>
      <c r="CM87" s="21">
        <f>EXP(-LN(2)/2)*CM86+(1-EXP(-LN(2)/2))/(LN(2)/2)*CG87*CJ87*VLOOKUP('Données projet'!$B$12,Paramètres!$A$1:$I$89,3,0)*0.475*44/12</f>
        <v>6.2430915479613942</v>
      </c>
      <c r="CN87" s="22">
        <f t="shared" si="66"/>
        <v>61.417967206013415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355.09</v>
      </c>
      <c r="CR87" s="12">
        <f>VLOOKUP(A87,'Données projet'!$A$139:$I$159,9,0)</f>
        <v>9.546999999999997</v>
      </c>
      <c r="CS87" s="12">
        <f t="array" ref="CS87">INDEX(CR:CR,MIN(IF(ISNUMBER(CR87:CR283),ROW(CR87:CR283),"")))</f>
        <v>9.546999999999997</v>
      </c>
      <c r="CT87" s="12">
        <f>IF('Données projet'!$A$140&gt;35,CT86+CS87-DB86,IF(A87&lt;'Données projet'!$A$140,$CQ$205^A87,IF(A87='Données projet'!$A$140,'Données projet'!$B$140,CT86+CS87-DB86)))</f>
        <v>355.09000000000049</v>
      </c>
      <c r="CU87" s="17">
        <f>CT87*VLOOKUP('Données projet'!$B$13,Paramètres!$A$1:$I$89,3,0)*VLOOKUP('Données projet'!$B$13,Paramètres!$A$1:$I$89,5,0)</f>
        <v>382.21887600000053</v>
      </c>
      <c r="CV87" s="13">
        <f t="shared" si="95"/>
        <v>88.162330896769902</v>
      </c>
      <c r="CW87" s="20">
        <f t="shared" si="67"/>
        <v>819.24726867854179</v>
      </c>
      <c r="CX87" s="59">
        <f t="shared" si="68"/>
        <v>1091.5040992030922</v>
      </c>
      <c r="CY87" s="59">
        <f ca="1">AVERAGE(OFFSET($CX$3,0,0,'Données projet'!$E$13+1,1))-AVERAGE(OFFSET($H$3,0,0,'Données projet'!$E$13+1,1))</f>
        <v>792.94606354161886</v>
      </c>
      <c r="CZ87" s="59">
        <f t="shared" si="96"/>
        <v>346.14443498270919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66.69</v>
      </c>
      <c r="DC87" s="16">
        <f>IF(ISNA(VLOOKUP(A87,'Données projet'!$A$139:$I$159,5,0)),0%,VLOOKUP(A87,'Données projet'!$A$139:$I$159,5,0)*VLOOKUP('Données projet'!$B$13,Paramètres!$A$1:$I$89,7,0))</f>
        <v>0.15049999999999999</v>
      </c>
      <c r="DD87" s="16">
        <f>IF(ISNA(VLOOKUP(A87,'Données projet'!$A$139:$I$159,6,0)),0%,VLOOKUP(A87,'Données projet'!$A$139:$I$159,6,0)*VLOOKUP('Données projet'!$B$13,Paramètres!$A$1:$I$89,7,0))</f>
        <v>8.6000000000000007E-2</v>
      </c>
      <c r="DE87" s="16">
        <f>IF(ISNA(VLOOKUP(A87,'Données projet'!$A$139:$I$159,7,0)),0%,VLOOKUP(A87,'Données projet'!$A$139:$I$159,7,0))</f>
        <v>0.1</v>
      </c>
      <c r="DF87" s="21">
        <f>EXP(-LN(2)/35)*DF86+(1-EXP(-LN(2)/35))/(LN(2)/35)*DB87*DC87*VLOOKUP('Données projet'!$B$13,Paramètres!$A$1:$I$89,3,0)*0.475*44/12</f>
        <v>26.216049091717409</v>
      </c>
      <c r="DG87" s="21">
        <f>EXP(-LN(2)/25)*DG86+(1-EXP(-LN(2)/25))/(LN(2)/25)*Calculateur!DB87*Calculateur!DD87*VLOOKUP('Données projet'!$B$13,Paramètres!$A$1:$I$89,3,0)*0.475*44/12</f>
        <v>35.188248011598539</v>
      </c>
      <c r="DH87" s="21">
        <f>EXP(-LN(2)/2)*DH86+(1-EXP(-LN(2)/2))/(LN(2)/2)*DB87*DE87*VLOOKUP('Données projet'!$B$13,Paramètres!$A$1:$I$89,3,0)*0.475*44/12</f>
        <v>6.9479567227312273</v>
      </c>
      <c r="DI87" s="22">
        <f t="shared" si="69"/>
        <v>68.352253826047175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1.7948717948717898</v>
      </c>
      <c r="DO87" s="12">
        <f>IF('Données projet'!$A$166&gt;35,DO86+DN87-DW86,IF(A87&lt;'Données projet'!$A$166,$DL$205^A87,IF(A87='Données projet'!$A$166,'Données projet'!$B$166,DO86+DN87-DW86)))</f>
        <v>133.4615384615384</v>
      </c>
      <c r="DP87" s="17">
        <f>DO87*VLOOKUP('Données projet'!$B$14,Paramètres!$A$1:$I$89,3,0)*VLOOKUP('Données projet'!$B$14,Paramètres!$A$1:$I$89,5,0)</f>
        <v>139.49399999999994</v>
      </c>
      <c r="DQ87" s="13">
        <f t="shared" si="97"/>
        <v>36.181063584224482</v>
      </c>
      <c r="DR87" s="20">
        <f t="shared" si="70"/>
        <v>305.96740240919087</v>
      </c>
      <c r="DS87" s="59">
        <f t="shared" si="71"/>
        <v>578.22423293374118</v>
      </c>
      <c r="DT87" s="59">
        <f ca="1">AVERAGE(OFFSET($DS$3,0,0,'Données projet'!$E$14+1,1))-AVERAGE(OFFSET($H$3,0,0,'Données projet'!$E$14+1,1))</f>
        <v>269.21114382490202</v>
      </c>
      <c r="DU87" s="59">
        <f t="shared" si="98"/>
        <v>233.07776944102309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1.3092745100779779</v>
      </c>
      <c r="EB87" s="21">
        <f>EXP(-LN(2)/25)*EB86+(1-EXP(-LN(2)/25))/(LN(2)/25)*Calculateur!DW87*Calculateur!DY87*VLOOKUP('Données projet'!$B$14,Paramètres!$A$1:$I$89,3,0)*0.475*44/12</f>
        <v>14.430453223267421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15.739727733345399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355.09</v>
      </c>
      <c r="FC87" s="12">
        <f>VLOOKUP(A87,'Données projet'!$A$217:$I$237,9,0)</f>
        <v>9.546999999999997</v>
      </c>
      <c r="FD87" s="12">
        <f t="array" ref="FD87">INDEX(FC:FC,MIN(IF(ISNUMBER(FC87:FC283),ROW(FC87:FC283),"")))</f>
        <v>9.546999999999997</v>
      </c>
      <c r="FE87" s="12">
        <f>IF('Données projet'!$A$218&gt;35,FE86+FD87-FM86,IF(A87&lt;'Données projet'!$A$218,$FB$205^A87,IF(A87='Données projet'!$A$218,'Données projet'!$B$218,FE86+FD87-FM86)))</f>
        <v>355.09000000000049</v>
      </c>
      <c r="FF87" s="17">
        <f>FE87*VLOOKUP('Données projet'!$B$16,Paramètres!$A$1:$I$89,3,0)*VLOOKUP('Données projet'!$B$16,Paramètres!$A$1:$I$89,5,0)</f>
        <v>404.37649200000061</v>
      </c>
      <c r="FG87" s="13">
        <f t="shared" si="101"/>
        <v>92.663369104242449</v>
      </c>
      <c r="FH87" s="20">
        <f t="shared" si="76"/>
        <v>865.67775808989006</v>
      </c>
      <c r="FI87" s="59">
        <f t="shared" si="77"/>
        <v>1137.9345886144404</v>
      </c>
      <c r="FJ87" s="59">
        <f ca="1">AVERAGE(OFFSET($FI$3,0,0,'Données projet'!$E$16+1,1))-AVERAGE(OFFSET($H$3,0,0,'Données projet'!$E$16+1,1))</f>
        <v>833.39050463936144</v>
      </c>
      <c r="FK87" s="59">
        <f t="shared" si="102"/>
        <v>362.56178526355507</v>
      </c>
      <c r="FL87" s="15">
        <f>IF(ISNA(VLOOKUP(A87,'Données projet'!$A$217:$I$237,3,0)),0,VLOOKUP(A87,'Données projet'!$A$217:$I$237,3,0))</f>
        <v>6</v>
      </c>
      <c r="FM87" s="15">
        <f>IF(ISNA(VLOOKUP(A87,'Données projet'!$A$217:$I$237,4,0)),0,VLOOKUP(A87,'Données projet'!$A$217:$I$237,4,0))</f>
        <v>66.69</v>
      </c>
      <c r="FN87" s="16">
        <f>IF(ISNA(VLOOKUP(A87,'Données projet'!$A$217:$I$237,5,0)),0%,VLOOKUP(A87,'Données projet'!$A$217:$I$237,5,0)*VLOOKUP('Données projet'!$B$16,Paramètres!$A$1:$I$89,7,0))</f>
        <v>0.15049999999999999</v>
      </c>
      <c r="FO87" s="16">
        <f>IF(ISNA(VLOOKUP(A87,'Données projet'!$A$217:$I$237,6,0)),0%,VLOOKUP(A87,'Données projet'!$A$217:$I$237,6,0)*VLOOKUP('Données projet'!$B$16,Paramètres!$A$1:$I$89,7,0))</f>
        <v>8.6000000000000007E-2</v>
      </c>
      <c r="FP87" s="16">
        <f>IF(ISNA(VLOOKUP(A87,'Données projet'!$A$217:$I$237,7,0)),0%,VLOOKUP(A87,'Données projet'!$A$217:$I$237,7,0))</f>
        <v>0.1</v>
      </c>
      <c r="FQ87" s="21">
        <f>EXP(-LN(2)/35)*FQ86+(1-EXP(-LN(2)/35))/(LN(2)/35)*FM87*FN87*VLOOKUP('Données projet'!$B$16,Paramètres!$A$1:$I$89,3,0)*0.475*44/12</f>
        <v>27.735820053556104</v>
      </c>
      <c r="FR87" s="21">
        <f>EXP(-LN(2)/25)*FR86+(1-EXP(-LN(2)/25))/(LN(2)/25)*Calculateur!FM87*Calculateur!FO87*VLOOKUP('Données projet'!$B$16,Paramètres!$A$1:$I$89,3,0)*0.475*44/12</f>
        <v>37.228146447053547</v>
      </c>
      <c r="FS87" s="21">
        <f>EXP(-LN(2)/2)*FS86+(1-EXP(-LN(2)/2))/(LN(2)/2)*FM87*FP87*VLOOKUP('Données projet'!$B$16,Paramètres!$A$1:$I$89,3,0)*0.475*44/12</f>
        <v>7.3507368225997052</v>
      </c>
      <c r="FT87" s="22">
        <f t="shared" si="78"/>
        <v>72.314703323209343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854.22219526396816</v>
      </c>
      <c r="S88" s="59">
        <f ca="1">AVERAGE(OFFSET($R$3,0,0,'Données projet'!$E$9+1,1))-AVERAGE(OFFSET($H$3,0,0,'Données projet'!$E$9+1,1))</f>
        <v>681.47578137804555</v>
      </c>
      <c r="T88" s="59">
        <f t="shared" si="88"/>
        <v>300.88511065995885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301.73902200000055</v>
      </c>
      <c r="AK88" s="13">
        <f t="shared" si="89"/>
        <v>71.540906554302211</v>
      </c>
      <c r="AL88" s="20">
        <f t="shared" si="58"/>
        <v>650.12920889874385</v>
      </c>
      <c r="AM88" s="59">
        <f t="shared" si="59"/>
        <v>922.75166962702542</v>
      </c>
      <c r="AN88" s="59">
        <f ca="1">AVERAGE(OFFSET($AM$3,0,0,'Données projet'!$E$10+1,1))-AVERAGE(OFFSET($H$3,0,0,'Données projet'!$E$10+1,1))</f>
        <v>752.45542076695506</v>
      </c>
      <c r="AO88" s="59">
        <f t="shared" si="90"/>
        <v>329.70629768420724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24.211999178994084</v>
      </c>
      <c r="AV88" s="21">
        <f>EXP(-LN(2)/25)*AV87+(1-EXP(-LN(2)/25))/(LN(2)/25)*Calculateur!AQ88*Calculateur!AS88*VLOOKUP('Données projet'!$B$10,Paramètres!$A$1:$I$89,3,0)*0.475*44/12</f>
        <v>32.241906213787985</v>
      </c>
      <c r="AW88" s="21">
        <f>EXP(-LN(2)/2)*AW87+(1-EXP(-LN(2)/2))/(LN(2)/2)*AQ88*AT88*VLOOKUP('Données projet'!$B$10,Paramètres!$A$1:$I$89,3,0)*0.475*44/12</f>
        <v>4.6281387740899183</v>
      </c>
      <c r="AX88" s="21">
        <f t="shared" si="60"/>
        <v>61.082044166871988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283.17046680000044</v>
      </c>
      <c r="BF88" s="13">
        <f t="shared" si="91"/>
        <v>67.63657996563542</v>
      </c>
      <c r="BG88" s="20">
        <f t="shared" si="61"/>
        <v>610.98893978348235</v>
      </c>
      <c r="BH88" s="59">
        <f t="shared" si="62"/>
        <v>883.6114005117638</v>
      </c>
      <c r="BI88" s="59">
        <f ca="1">AVERAGE(OFFSET($BH$3,0,0,'Données projet'!$E$11+1,1))-AVERAGE(OFFSET($H$3,0,0,'Données projet'!$E$11+1,1))</f>
        <v>711.91538686535682</v>
      </c>
      <c r="BJ88" s="59">
        <f t="shared" si="92"/>
        <v>313.24593837351722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22.722029998748287</v>
      </c>
      <c r="BQ88" s="21">
        <f>EXP(-LN(2)/25)*BQ87+(1-EXP(-LN(2)/25))/(LN(2)/25)*Calculateur!BL88*Calculateur!BN88*VLOOKUP('Données projet'!$B$11,Paramètres!$A$1:$I$89,3,0)*0.475*44/12</f>
        <v>30.257788908324102</v>
      </c>
      <c r="BR88" s="21">
        <f>EXP(-LN(2)/2)*BR87+(1-EXP(-LN(2)/2))/(LN(2)/2)*BL88*BO88*VLOOKUP('Données projet'!$B$11,Paramètres!$A$1:$I$89,3,0)*0.475*44/12</f>
        <v>4.343330234145923</v>
      </c>
      <c r="BS88" s="22">
        <f t="shared" si="63"/>
        <v>57.323149141218309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9.1730000000000018</v>
      </c>
      <c r="BY88" s="12">
        <f>IF('Données projet'!$A$114&gt;35,BY87+BX88-CG87,IF(A88&lt;'Données projet'!$A$114,$BV$205^A88,IF(A88='Données projet'!$A$114,'Données projet'!$B$114,BY87+BX88-CG87)))</f>
        <v>297.57300000000049</v>
      </c>
      <c r="BZ88" s="13">
        <f>BY88*VLOOKUP('Données projet'!$B$12,Paramètres!$A$1:$I$89,3,0)*VLOOKUP('Données projet'!$B$12,Paramètres!$A$1:$I$89,5,0)</f>
        <v>287.8126056000005</v>
      </c>
      <c r="CA88" s="13">
        <f t="shared" si="93"/>
        <v>68.615383350809438</v>
      </c>
      <c r="CB88" s="20">
        <f t="shared" si="64"/>
        <v>620.77874742266067</v>
      </c>
      <c r="CC88" s="59">
        <f t="shared" si="65"/>
        <v>893.40120815094224</v>
      </c>
      <c r="CD88" s="59">
        <f ca="1">AVERAGE(OFFSET($CC$3,0,0,'Données projet'!$E$12+1,1))-AVERAGE(OFFSET($H$3,0,0,'Données projet'!$E$12+1,1))</f>
        <v>722.05521609092671</v>
      </c>
      <c r="CE88" s="59">
        <f t="shared" si="94"/>
        <v>317.36319714884644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23.094522293809742</v>
      </c>
      <c r="CL88" s="21">
        <f>EXP(-LN(2)/25)*CL87+(1-EXP(-LN(2)/25))/(LN(2)/25)*Calculateur!CG88*Calculateur!CI88*VLOOKUP('Données projet'!$B$12,Paramètres!$A$1:$I$89,3,0)*0.475*44/12</f>
        <v>30.753818234690069</v>
      </c>
      <c r="CM88" s="21">
        <f>EXP(-LN(2)/2)*CM87+(1-EXP(-LN(2)/2))/(LN(2)/2)*CG88*CJ88*VLOOKUP('Données projet'!$B$12,Paramètres!$A$1:$I$89,3,0)*0.475*44/12</f>
        <v>4.4145323691319218</v>
      </c>
      <c r="CN88" s="22">
        <f t="shared" si="66"/>
        <v>58.26287289763173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9.1730000000000018</v>
      </c>
      <c r="CT88" s="12">
        <f>IF('Données projet'!$A$140&gt;35,CT87+CS88-DB87,IF(A88&lt;'Données projet'!$A$140,$CQ$205^A88,IF(A88='Données projet'!$A$140,'Données projet'!$B$140,CT87+CS88-DB87)))</f>
        <v>297.57300000000049</v>
      </c>
      <c r="CU88" s="17">
        <f>CT88*VLOOKUP('Données projet'!$B$13,Paramètres!$A$1:$I$89,3,0)*VLOOKUP('Données projet'!$B$13,Paramètres!$A$1:$I$89,5,0)</f>
        <v>320.30757720000054</v>
      </c>
      <c r="CV88" s="13">
        <f t="shared" si="95"/>
        <v>75.417347502215293</v>
      </c>
      <c r="CW88" s="20">
        <f t="shared" si="67"/>
        <v>689.22091052302585</v>
      </c>
      <c r="CX88" s="59">
        <f t="shared" si="68"/>
        <v>961.84337125130742</v>
      </c>
      <c r="CY88" s="59">
        <f ca="1">AVERAGE(OFFSET($CX$3,0,0,'Données projet'!$E$13+1,1))-AVERAGE(OFFSET($H$3,0,0,'Données projet'!$E$13+1,1))</f>
        <v>792.94606354161886</v>
      </c>
      <c r="CZ88" s="59">
        <f t="shared" si="96"/>
        <v>346.14443498270919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25.701968359239874</v>
      </c>
      <c r="DG88" s="21">
        <f>EXP(-LN(2)/25)*DG87+(1-EXP(-LN(2)/25))/(LN(2)/25)*Calculateur!DB88*Calculateur!DD88*VLOOKUP('Données projet'!$B$13,Paramètres!$A$1:$I$89,3,0)*0.475*44/12</f>
        <v>34.226023519251839</v>
      </c>
      <c r="DH88" s="21">
        <f>EXP(-LN(2)/2)*DH87+(1-EXP(-LN(2)/2))/(LN(2)/2)*DB88*DE88*VLOOKUP('Données projet'!$B$13,Paramètres!$A$1:$I$89,3,0)*0.475*44/12</f>
        <v>4.9129473140339117</v>
      </c>
      <c r="DI88" s="22">
        <f t="shared" si="69"/>
        <v>64.840939192525624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135.25641025641025</v>
      </c>
      <c r="DM88" s="12">
        <f>VLOOKUP(A88,'Données projet'!$A$165:$I$185,9,0)</f>
        <v>1.7948717948717898</v>
      </c>
      <c r="DN88" s="12">
        <f t="array" ref="DN88">INDEX(DM:DM,MIN(IF(ISNUMBER(DM88:DM284),ROW(DM88:DM284),"")))</f>
        <v>1.7948717948717898</v>
      </c>
      <c r="DO88" s="12">
        <f>IF('Données projet'!$A$166&gt;35,DO87+DN88-DW87,IF(A88&lt;'Données projet'!$A$166,$DL$205^A88,IF(A88='Données projet'!$A$166,'Données projet'!$B$166,DO87+DN88-DW87)))</f>
        <v>135.25641025641019</v>
      </c>
      <c r="DP88" s="17">
        <f>DO88*VLOOKUP('Données projet'!$B$14,Paramètres!$A$1:$I$89,3,0)*VLOOKUP('Données projet'!$B$14,Paramètres!$A$1:$I$89,5,0)</f>
        <v>141.36999999999995</v>
      </c>
      <c r="DQ88" s="13">
        <f t="shared" si="97"/>
        <v>36.610675159135553</v>
      </c>
      <c r="DR88" s="20">
        <f t="shared" si="70"/>
        <v>309.98300923549431</v>
      </c>
      <c r="DS88" s="59">
        <f t="shared" si="71"/>
        <v>582.60546996377582</v>
      </c>
      <c r="DT88" s="59">
        <f ca="1">AVERAGE(OFFSET($DS$3,0,0,'Données projet'!$E$14+1,1))-AVERAGE(OFFSET($H$3,0,0,'Données projet'!$E$14+1,1))</f>
        <v>269.21114382490202</v>
      </c>
      <c r="DU88" s="59">
        <f t="shared" si="98"/>
        <v>233.07776944102309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6.4102564102564097</v>
      </c>
      <c r="DX88" s="16">
        <f>IF(ISNA(VLOOKUP(A88,'Données projet'!$A$165:$I$185,5,0)),0%,VLOOKUP(A88,'Données projet'!$A$165:$I$185,5,0)*VLOOKUP('Données projet'!$B$14,Paramètres!$A$1:$I$89,7,0))</f>
        <v>4.3000000000000003E-2</v>
      </c>
      <c r="DY88" s="16">
        <f>IF(ISNA(VLOOKUP(A88,'Données projet'!$A$165:$I$185,6,0)),0%,VLOOKUP(A88,'Données projet'!$A$165:$I$185,6,0)*VLOOKUP('Données projet'!$B$14,Paramètres!$A$1:$I$89,7,0))</f>
        <v>0.215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1.6020864518573896</v>
      </c>
      <c r="EB88" s="21">
        <f>EXP(-LN(2)/25)*EB87+(1-EXP(-LN(2)/25))/(LN(2)/25)*Calculateur!DW88*Calculateur!DY88*VLOOKUP('Données projet'!$B$14,Paramètres!$A$1:$I$89,3,0)*0.475*44/12</f>
        <v>15.622011798734682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17.224098250592071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9.1730000000000018</v>
      </c>
      <c r="FE88" s="12">
        <f>IF('Données projet'!$A$218&gt;35,FE87+FD88-FM87,IF(A88&lt;'Données projet'!$A$218,$FB$205^A88,IF(A88='Données projet'!$A$218,'Données projet'!$B$218,FE87+FD88-FM87)))</f>
        <v>297.57300000000049</v>
      </c>
      <c r="FF88" s="17">
        <f>FE88*VLOOKUP('Données projet'!$B$16,Paramètres!$A$1:$I$89,3,0)*VLOOKUP('Données projet'!$B$16,Paramètres!$A$1:$I$89,5,0)</f>
        <v>338.87613240000059</v>
      </c>
      <c r="FG88" s="13">
        <f t="shared" si="101"/>
        <v>79.267703534784104</v>
      </c>
      <c r="FH88" s="20">
        <f t="shared" si="76"/>
        <v>728.26718091974999</v>
      </c>
      <c r="FI88" s="59">
        <f t="shared" si="77"/>
        <v>1000.8896416480316</v>
      </c>
      <c r="FJ88" s="59">
        <f ca="1">AVERAGE(OFFSET($FI$3,0,0,'Données projet'!$E$16+1,1))-AVERAGE(OFFSET($H$3,0,0,'Données projet'!$E$16+1,1))</f>
        <v>833.39050463936144</v>
      </c>
      <c r="FK88" s="59">
        <f t="shared" si="102"/>
        <v>362.56178526355507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27.191937539485668</v>
      </c>
      <c r="FR88" s="21">
        <f>EXP(-LN(2)/25)*FR87+(1-EXP(-LN(2)/25))/(LN(2)/25)*Calculateur!FM88*Calculateur!FO88*VLOOKUP('Données projet'!$B$16,Paramètres!$A$1:$I$89,3,0)*0.475*44/12</f>
        <v>36.210140824715729</v>
      </c>
      <c r="FS88" s="21">
        <f>EXP(-LN(2)/2)*FS87+(1-EXP(-LN(2)/2))/(LN(2)/2)*FM88*FP88*VLOOKUP('Données projet'!$B$16,Paramètres!$A$1:$I$89,3,0)*0.475*44/12</f>
        <v>5.1977558539779078</v>
      </c>
      <c r="FT88" s="22">
        <f t="shared" si="78"/>
        <v>68.599834218179311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872.10019725440065</v>
      </c>
      <c r="S89" s="59">
        <f ca="1">AVERAGE(OFFSET($R$3,0,0,'Données projet'!$E$9+1,1))-AVERAGE(OFFSET($H$3,0,0,'Données projet'!$E$9+1,1))</f>
        <v>681.47578137804555</v>
      </c>
      <c r="T89" s="59">
        <f t="shared" si="88"/>
        <v>300.88511065995885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311.04044400000055</v>
      </c>
      <c r="AK89" s="13">
        <f t="shared" si="89"/>
        <v>73.486073899132336</v>
      </c>
      <c r="AL89" s="20">
        <f t="shared" si="58"/>
        <v>669.71701867432307</v>
      </c>
      <c r="AM89" s="59">
        <f t="shared" si="59"/>
        <v>942.69876673972772</v>
      </c>
      <c r="AN89" s="59">
        <f ca="1">AVERAGE(OFFSET($AM$3,0,0,'Données projet'!$E$10+1,1))-AVERAGE(OFFSET($H$3,0,0,'Données projet'!$E$10+1,1))</f>
        <v>752.45542076695506</v>
      </c>
      <c r="AO89" s="59">
        <f t="shared" si="90"/>
        <v>329.70629768420724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23.737216642955303</v>
      </c>
      <c r="AV89" s="21">
        <f>EXP(-LN(2)/25)*AV88+(1-EXP(-LN(2)/25))/(LN(2)/25)*Calculateur!AQ89*Calculateur!AS89*VLOOKUP('Données projet'!$B$10,Paramètres!$A$1:$I$89,3,0)*0.475*44/12</f>
        <v>31.360249592843793</v>
      </c>
      <c r="AW89" s="21">
        <f>EXP(-LN(2)/2)*AW88+(1-EXP(-LN(2)/2))/(LN(2)/2)*AQ89*AT89*VLOOKUP('Données projet'!$B$10,Paramètres!$A$1:$I$89,3,0)*0.475*44/12</f>
        <v>3.2725883114313765</v>
      </c>
      <c r="AX89" s="21">
        <f t="shared" si="60"/>
        <v>58.370054547230474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291.89949360000043</v>
      </c>
      <c r="BF89" s="13">
        <f t="shared" si="91"/>
        <v>69.475590302543566</v>
      </c>
      <c r="BG89" s="20">
        <f t="shared" si="61"/>
        <v>629.39493779693078</v>
      </c>
      <c r="BH89" s="59">
        <f t="shared" si="62"/>
        <v>902.37668586233553</v>
      </c>
      <c r="BI89" s="59">
        <f ca="1">AVERAGE(OFFSET($BH$3,0,0,'Données projet'!$E$11+1,1))-AVERAGE(OFFSET($H$3,0,0,'Données projet'!$E$11+1,1))</f>
        <v>711.91538686535682</v>
      </c>
      <c r="BJ89" s="59">
        <f t="shared" si="92"/>
        <v>313.24593837351722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22.276464849542663</v>
      </c>
      <c r="BQ89" s="21">
        <f>EXP(-LN(2)/25)*BQ88+(1-EXP(-LN(2)/25))/(LN(2)/25)*Calculateur!BL89*Calculateur!BN89*VLOOKUP('Données projet'!$B$11,Paramètres!$A$1:$I$89,3,0)*0.475*44/12</f>
        <v>29.430388079438014</v>
      </c>
      <c r="BR89" s="21">
        <f>EXP(-LN(2)/2)*BR88+(1-EXP(-LN(2)/2))/(LN(2)/2)*BL89*BO89*VLOOKUP('Données projet'!$B$11,Paramètres!$A$1:$I$89,3,0)*0.475*44/12</f>
        <v>3.0711982614971376</v>
      </c>
      <c r="BS89" s="22">
        <f t="shared" si="63"/>
        <v>54.778051190477818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9.1730000000000018</v>
      </c>
      <c r="BY89" s="12">
        <f>IF('Données projet'!$A$114&gt;35,BY88+BX89-CG88,IF(A89&lt;'Données projet'!$A$114,$BV$205^A89,IF(A89='Données projet'!$A$114,'Données projet'!$B$114,BY88+BX89-CG88)))</f>
        <v>306.74600000000049</v>
      </c>
      <c r="BZ89" s="13">
        <f>BY89*VLOOKUP('Données projet'!$B$12,Paramètres!$A$1:$I$89,3,0)*VLOOKUP('Données projet'!$B$12,Paramètres!$A$1:$I$89,5,0)</f>
        <v>296.68473120000044</v>
      </c>
      <c r="CA89" s="13">
        <f t="shared" si="93"/>
        <v>70.481006942616773</v>
      </c>
      <c r="CB89" s="20">
        <f t="shared" si="64"/>
        <v>639.48032726505824</v>
      </c>
      <c r="CC89" s="59">
        <f t="shared" si="65"/>
        <v>912.46207533046299</v>
      </c>
      <c r="CD89" s="59">
        <f ca="1">AVERAGE(OFFSET($CC$3,0,0,'Données projet'!$E$12+1,1))-AVERAGE(OFFSET($H$3,0,0,'Données projet'!$E$12+1,1))</f>
        <v>722.05521609092671</v>
      </c>
      <c r="CE89" s="59">
        <f t="shared" si="94"/>
        <v>317.36319714884644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22.64165279789583</v>
      </c>
      <c r="CL89" s="21">
        <f>EXP(-LN(2)/25)*CL88+(1-EXP(-LN(2)/25))/(LN(2)/25)*Calculateur!CG89*Calculateur!CI89*VLOOKUP('Données projet'!$B$12,Paramètres!$A$1:$I$89,3,0)*0.475*44/12</f>
        <v>29.912853457789456</v>
      </c>
      <c r="CM89" s="21">
        <f>EXP(-LN(2)/2)*CM88+(1-EXP(-LN(2)/2))/(LN(2)/2)*CG89*CJ89*VLOOKUP('Données projet'!$B$12,Paramètres!$A$1:$I$89,3,0)*0.475*44/12</f>
        <v>3.1215457739806971</v>
      </c>
      <c r="CN89" s="22">
        <f t="shared" si="66"/>
        <v>55.676052029665982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9.1730000000000018</v>
      </c>
      <c r="CT89" s="12">
        <f>IF('Données projet'!$A$140&gt;35,CT88+CS89-DB88,IF(A89&lt;'Données projet'!$A$140,$CQ$205^A89,IF(A89='Données projet'!$A$140,'Données projet'!$B$140,CT88+CS89-DB88)))</f>
        <v>306.74600000000049</v>
      </c>
      <c r="CU89" s="17">
        <f>CT89*VLOOKUP('Données projet'!$B$13,Paramètres!$A$1:$I$89,3,0)*VLOOKUP('Données projet'!$B$13,Paramètres!$A$1:$I$89,5,0)</f>
        <v>330.1813944000005</v>
      </c>
      <c r="CV89" s="13">
        <f t="shared" si="95"/>
        <v>77.467913656051493</v>
      </c>
      <c r="CW89" s="20">
        <f t="shared" si="67"/>
        <v>709.98921153095716</v>
      </c>
      <c r="CX89" s="59">
        <f t="shared" si="68"/>
        <v>982.97095959636181</v>
      </c>
      <c r="CY89" s="59">
        <f ca="1">AVERAGE(OFFSET($CX$3,0,0,'Données projet'!$E$13+1,1))-AVERAGE(OFFSET($H$3,0,0,'Données projet'!$E$13+1,1))</f>
        <v>792.94606354161886</v>
      </c>
      <c r="CZ89" s="59">
        <f t="shared" si="96"/>
        <v>346.14443498270919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25.197968436367937</v>
      </c>
      <c r="DG89" s="21">
        <f>EXP(-LN(2)/25)*DG88+(1-EXP(-LN(2)/25))/(LN(2)/25)*Calculateur!DB89*Calculateur!DD89*VLOOKUP('Données projet'!$B$13,Paramètres!$A$1:$I$89,3,0)*0.475*44/12</f>
        <v>33.290111106249547</v>
      </c>
      <c r="DH89" s="21">
        <f>EXP(-LN(2)/2)*DH88+(1-EXP(-LN(2)/2))/(LN(2)/2)*DB89*DE89*VLOOKUP('Données projet'!$B$13,Paramètres!$A$1:$I$89,3,0)*0.475*44/12</f>
        <v>3.4739783613656137</v>
      </c>
      <c r="DI89" s="22">
        <f t="shared" si="69"/>
        <v>61.962057903983094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1.7948717948717956</v>
      </c>
      <c r="DO89" s="12">
        <f>IF('Données projet'!$A$166&gt;35,DO88+DN89-DW88,IF(A89&lt;'Données projet'!$A$166,$DL$205^A89,IF(A89='Données projet'!$A$166,'Données projet'!$B$166,DO88+DN89-DW88)))</f>
        <v>130.64102564102558</v>
      </c>
      <c r="DP89" s="17">
        <f>DO89*VLOOKUP('Données projet'!$B$14,Paramètres!$A$1:$I$89,3,0)*VLOOKUP('Données projet'!$B$14,Paramètres!$A$1:$I$89,5,0)</f>
        <v>136.54599999999996</v>
      </c>
      <c r="DQ89" s="13">
        <f t="shared" si="97"/>
        <v>35.504595871947302</v>
      </c>
      <c r="DR89" s="20">
        <f t="shared" si="70"/>
        <v>299.65478781030816</v>
      </c>
      <c r="DS89" s="59">
        <f t="shared" si="71"/>
        <v>572.63653587571287</v>
      </c>
      <c r="DT89" s="59">
        <f ca="1">AVERAGE(OFFSET($DS$3,0,0,'Données projet'!$E$14+1,1))-AVERAGE(OFFSET($H$3,0,0,'Données projet'!$E$14+1,1))</f>
        <v>269.21114382490202</v>
      </c>
      <c r="DU89" s="59">
        <f t="shared" si="98"/>
        <v>233.07776944102309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1.5706705137127137</v>
      </c>
      <c r="EB89" s="21">
        <f>EXP(-LN(2)/25)*EB88+(1-EXP(-LN(2)/25))/(LN(2)/25)*Calculateur!DW89*Calculateur!DY89*VLOOKUP('Données projet'!$B$14,Paramètres!$A$1:$I$89,3,0)*0.475*44/12</f>
        <v>15.194827064572387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16.7654975782851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9.1730000000000018</v>
      </c>
      <c r="FE89" s="12">
        <f>IF('Données projet'!$A$218&gt;35,FE88+FD89-FM88,IF(A89&lt;'Données projet'!$A$218,$FB$205^A89,IF(A89='Données projet'!$A$218,'Données projet'!$B$218,FE88+FD89-FM88)))</f>
        <v>306.74600000000049</v>
      </c>
      <c r="FF89" s="17">
        <f>FE89*VLOOKUP('Données projet'!$B$16,Paramètres!$A$1:$I$89,3,0)*VLOOKUP('Données projet'!$B$16,Paramètres!$A$1:$I$89,5,0)</f>
        <v>349.32234480000056</v>
      </c>
      <c r="FG89" s="13">
        <f t="shared" si="101"/>
        <v>81.422959259681903</v>
      </c>
      <c r="FH89" s="20">
        <f t="shared" si="76"/>
        <v>750.21473790394691</v>
      </c>
      <c r="FI89" s="59">
        <f t="shared" si="77"/>
        <v>1023.1964859693517</v>
      </c>
      <c r="FJ89" s="59">
        <f ca="1">AVERAGE(OFFSET($FI$3,0,0,'Données projet'!$E$16+1,1))-AVERAGE(OFFSET($H$3,0,0,'Données projet'!$E$16+1,1))</f>
        <v>833.39050463936144</v>
      </c>
      <c r="FK89" s="59">
        <f t="shared" si="102"/>
        <v>362.56178526355507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26.658720229780577</v>
      </c>
      <c r="FR89" s="21">
        <f>EXP(-LN(2)/25)*FR88+(1-EXP(-LN(2)/25))/(LN(2)/25)*Calculateur!FM89*Calculateur!FO89*VLOOKUP('Données projet'!$B$16,Paramètres!$A$1:$I$89,3,0)*0.475*44/12</f>
        <v>35.21997261965533</v>
      </c>
      <c r="FS89" s="21">
        <f>EXP(-LN(2)/2)*FS88+(1-EXP(-LN(2)/2))/(LN(2)/2)*FM89*FP89*VLOOKUP('Données projet'!$B$16,Paramètres!$A$1:$I$89,3,0)*0.475*44/12</f>
        <v>3.675368411299853</v>
      </c>
      <c r="FT89" s="22">
        <f t="shared" si="78"/>
        <v>65.554061260735764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889.96132020426046</v>
      </c>
      <c r="S90" s="59">
        <f ca="1">AVERAGE(OFFSET($R$3,0,0,'Données projet'!$E$9+1,1))-AVERAGE(OFFSET($H$3,0,0,'Données projet'!$E$9+1,1))</f>
        <v>681.47578137804555</v>
      </c>
      <c r="T90" s="59">
        <f t="shared" si="88"/>
        <v>300.88511065995885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320.34186600000049</v>
      </c>
      <c r="AK90" s="13">
        <f t="shared" si="89"/>
        <v>75.424481111671</v>
      </c>
      <c r="AL90" s="20">
        <f t="shared" si="58"/>
        <v>689.29305455282781</v>
      </c>
      <c r="AM90" s="59">
        <f t="shared" si="59"/>
        <v>962.62785712330265</v>
      </c>
      <c r="AN90" s="59">
        <f ca="1">AVERAGE(OFFSET($AM$3,0,0,'Données projet'!$E$10+1,1))-AVERAGE(OFFSET($H$3,0,0,'Données projet'!$E$10+1,1))</f>
        <v>752.45542076695506</v>
      </c>
      <c r="AO90" s="59">
        <f t="shared" si="90"/>
        <v>329.70629768420724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23.271744302859492</v>
      </c>
      <c r="AV90" s="21">
        <f>EXP(-LN(2)/25)*AV89+(1-EXP(-LN(2)/25))/(LN(2)/25)*Calculateur!AQ90*Calculateur!AS90*VLOOKUP('Données projet'!$B$10,Paramètres!$A$1:$I$89,3,0)*0.475*44/12</f>
        <v>30.502701918563627</v>
      </c>
      <c r="AW90" s="21">
        <f>EXP(-LN(2)/2)*AW89+(1-EXP(-LN(2)/2))/(LN(2)/2)*AQ90*AT90*VLOOKUP('Données projet'!$B$10,Paramètres!$A$1:$I$89,3,0)*0.475*44/12</f>
        <v>2.3140693870449596</v>
      </c>
      <c r="AX90" s="21">
        <f t="shared" si="60"/>
        <v>56.088515608468079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300.62852040000047</v>
      </c>
      <c r="BF90" s="13">
        <f t="shared" si="91"/>
        <v>71.308209439642781</v>
      </c>
      <c r="BG90" s="20">
        <f t="shared" si="61"/>
        <v>647.78980447071194</v>
      </c>
      <c r="BH90" s="59">
        <f t="shared" si="62"/>
        <v>921.12460704118678</v>
      </c>
      <c r="BI90" s="59">
        <f ca="1">AVERAGE(OFFSET($BH$3,0,0,'Données projet'!$E$11+1,1))-AVERAGE(OFFSET($H$3,0,0,'Données projet'!$E$11+1,1))</f>
        <v>711.91538686535682</v>
      </c>
      <c r="BJ90" s="59">
        <f t="shared" si="92"/>
        <v>313.24593837351722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21.839636961145054</v>
      </c>
      <c r="BQ90" s="21">
        <f>EXP(-LN(2)/25)*BQ89+(1-EXP(-LN(2)/25))/(LN(2)/25)*Calculateur!BL90*Calculateur!BN90*VLOOKUP('Données projet'!$B$11,Paramètres!$A$1:$I$89,3,0)*0.475*44/12</f>
        <v>28.625612569728936</v>
      </c>
      <c r="BR90" s="21">
        <f>EXP(-LN(2)/2)*BR89+(1-EXP(-LN(2)/2))/(LN(2)/2)*BL90*BO90*VLOOKUP('Données projet'!$B$11,Paramètres!$A$1:$I$89,3,0)*0.475*44/12</f>
        <v>2.1716651170729619</v>
      </c>
      <c r="BS90" s="22">
        <f t="shared" si="63"/>
        <v>52.636914647946952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9.1730000000000018</v>
      </c>
      <c r="BY90" s="12">
        <f>IF('Données projet'!$A$114&gt;35,BY89+BX90-CG89,IF(A90&lt;'Données projet'!$A$114,$BV$205^A90,IF(A90='Données projet'!$A$114,'Données projet'!$B$114,BY89+BX90-CG89)))</f>
        <v>315.91900000000049</v>
      </c>
      <c r="BZ90" s="13">
        <f>BY90*VLOOKUP('Données projet'!$B$12,Paramètres!$A$1:$I$89,3,0)*VLOOKUP('Données projet'!$B$12,Paramètres!$A$1:$I$89,5,0)</f>
        <v>305.5568568000005</v>
      </c>
      <c r="CA90" s="13">
        <f t="shared" si="93"/>
        <v>72.340146844308748</v>
      </c>
      <c r="CB90" s="20">
        <f t="shared" si="64"/>
        <v>658.17061468050531</v>
      </c>
      <c r="CC90" s="59">
        <f t="shared" si="65"/>
        <v>931.50541725098014</v>
      </c>
      <c r="CD90" s="59">
        <f ca="1">AVERAGE(OFFSET($CC$3,0,0,'Données projet'!$E$12+1,1))-AVERAGE(OFFSET($H$3,0,0,'Données projet'!$E$12+1,1))</f>
        <v>722.05521609092671</v>
      </c>
      <c r="CE90" s="59">
        <f t="shared" si="94"/>
        <v>317.36319714884644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22.197663796573671</v>
      </c>
      <c r="CL90" s="21">
        <f>EXP(-LN(2)/25)*CL89+(1-EXP(-LN(2)/25))/(LN(2)/25)*Calculateur!CG90*Calculateur!CI90*VLOOKUP('Données projet'!$B$12,Paramètres!$A$1:$I$89,3,0)*0.475*44/12</f>
        <v>29.094884906937608</v>
      </c>
      <c r="CM90" s="21">
        <f>EXP(-LN(2)/2)*CM89+(1-EXP(-LN(2)/2))/(LN(2)/2)*CG90*CJ90*VLOOKUP('Données projet'!$B$12,Paramètres!$A$1:$I$89,3,0)*0.475*44/12</f>
        <v>2.2072661845659609</v>
      </c>
      <c r="CN90" s="22">
        <f t="shared" si="66"/>
        <v>53.499814888077239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9.1730000000000018</v>
      </c>
      <c r="CT90" s="12">
        <f>IF('Données projet'!$A$140&gt;35,CT89+CS90-DB89,IF(A90&lt;'Données projet'!$A$140,$CQ$205^A90,IF(A90='Données projet'!$A$140,'Données projet'!$B$140,CT89+CS90-DB89)))</f>
        <v>315.91900000000049</v>
      </c>
      <c r="CU90" s="17">
        <f>CT90*VLOOKUP('Données projet'!$B$13,Paramètres!$A$1:$I$89,3,0)*VLOOKUP('Données projet'!$B$13,Paramètres!$A$1:$I$89,5,0)</f>
        <v>340.05521160000052</v>
      </c>
      <c r="CV90" s="13">
        <f t="shared" si="95"/>
        <v>79.511353380118535</v>
      </c>
      <c r="CW90" s="20">
        <f t="shared" si="67"/>
        <v>730.74510067370727</v>
      </c>
      <c r="CX90" s="59">
        <f t="shared" si="68"/>
        <v>1004.0799032441821</v>
      </c>
      <c r="CY90" s="59">
        <f ca="1">AVERAGE(OFFSET($CX$3,0,0,'Données projet'!$E$13+1,1))-AVERAGE(OFFSET($H$3,0,0,'Données projet'!$E$13+1,1))</f>
        <v>792.94606354161886</v>
      </c>
      <c r="CZ90" s="59">
        <f t="shared" si="96"/>
        <v>346.14443498270919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24.70385164457392</v>
      </c>
      <c r="DG90" s="21">
        <f>EXP(-LN(2)/25)*DG89+(1-EXP(-LN(2)/25))/(LN(2)/25)*Calculateur!DB90*Calculateur!DD90*VLOOKUP('Données projet'!$B$13,Paramètres!$A$1:$I$89,3,0)*0.475*44/12</f>
        <v>32.379791267398296</v>
      </c>
      <c r="DH90" s="21">
        <f>EXP(-LN(2)/2)*DH89+(1-EXP(-LN(2)/2))/(LN(2)/2)*DB90*DE90*VLOOKUP('Données projet'!$B$13,Paramètres!$A$1:$I$89,3,0)*0.475*44/12</f>
        <v>2.4564736570169559</v>
      </c>
      <c r="DI90" s="22">
        <f t="shared" si="69"/>
        <v>59.540116568989177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1.7948717948717956</v>
      </c>
      <c r="DO90" s="12">
        <f>IF('Données projet'!$A$166&gt;35,DO89+DN90-DW89,IF(A90&lt;'Données projet'!$A$166,$DL$205^A90,IF(A90='Données projet'!$A$166,'Données projet'!$B$166,DO89+DN90-DW89)))</f>
        <v>132.43589743589737</v>
      </c>
      <c r="DP90" s="17">
        <f>DO90*VLOOKUP('Données projet'!$B$14,Paramètres!$A$1:$I$89,3,0)*VLOOKUP('Données projet'!$B$14,Paramètres!$A$1:$I$89,5,0)</f>
        <v>138.42199999999994</v>
      </c>
      <c r="DQ90" s="13">
        <f t="shared" si="97"/>
        <v>35.935269711934978</v>
      </c>
      <c r="DR90" s="20">
        <f t="shared" si="70"/>
        <v>303.67224474828663</v>
      </c>
      <c r="DS90" s="59">
        <f t="shared" si="71"/>
        <v>577.00704731876147</v>
      </c>
      <c r="DT90" s="59">
        <f ca="1">AVERAGE(OFFSET($DS$3,0,0,'Données projet'!$E$14+1,1))-AVERAGE(OFFSET($H$3,0,0,'Données projet'!$E$14+1,1))</f>
        <v>269.21114382490202</v>
      </c>
      <c r="DU90" s="59">
        <f t="shared" si="98"/>
        <v>233.07776944102309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1.5398706229532246</v>
      </c>
      <c r="EB90" s="21">
        <f>EXP(-LN(2)/25)*EB89+(1-EXP(-LN(2)/25))/(LN(2)/25)*Calculateur!DW90*Calculateur!DY90*VLOOKUP('Données projet'!$B$14,Paramètres!$A$1:$I$89,3,0)*0.475*44/12</f>
        <v>14.779323719430428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16.319194342383653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9.1730000000000018</v>
      </c>
      <c r="FE90" s="12">
        <f>IF('Données projet'!$A$218&gt;35,FE89+FD90-FM89,IF(A90&lt;'Données projet'!$A$218,$FB$205^A90,IF(A90='Données projet'!$A$218,'Données projet'!$B$218,FE89+FD90-FM89)))</f>
        <v>315.91900000000049</v>
      </c>
      <c r="FF90" s="17">
        <f>FE90*VLOOKUP('Données projet'!$B$16,Paramètres!$A$1:$I$89,3,0)*VLOOKUP('Données projet'!$B$16,Paramètres!$A$1:$I$89,5,0)</f>
        <v>359.7685572000006</v>
      </c>
      <c r="FG90" s="13">
        <f t="shared" si="101"/>
        <v>83.570724722180955</v>
      </c>
      <c r="FH90" s="20">
        <f t="shared" si="76"/>
        <v>772.14924934779947</v>
      </c>
      <c r="FI90" s="59">
        <f t="shared" si="77"/>
        <v>1045.4840519182744</v>
      </c>
      <c r="FJ90" s="59">
        <f ca="1">AVERAGE(OFFSET($FI$3,0,0,'Données projet'!$E$16+1,1))-AVERAGE(OFFSET($H$3,0,0,'Données projet'!$E$16+1,1))</f>
        <v>833.39050463936144</v>
      </c>
      <c r="FK90" s="59">
        <f t="shared" si="102"/>
        <v>362.56178526355507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26.135958986288358</v>
      </c>
      <c r="FR90" s="21">
        <f>EXP(-LN(2)/25)*FR89+(1-EXP(-LN(2)/25))/(LN(2)/25)*Calculateur!FM90*Calculateur!FO90*VLOOKUP('Données projet'!$B$16,Paramètres!$A$1:$I$89,3,0)*0.475*44/12</f>
        <v>34.256880616232991</v>
      </c>
      <c r="FS90" s="21">
        <f>EXP(-LN(2)/2)*FS89+(1-EXP(-LN(2)/2))/(LN(2)/2)*FM90*FP90*VLOOKUP('Données projet'!$B$16,Paramètres!$A$1:$I$89,3,0)*0.475*44/12</f>
        <v>2.5988779269889544</v>
      </c>
      <c r="FT90" s="22">
        <f t="shared" si="78"/>
        <v>62.991717529510304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907.80601685922727</v>
      </c>
      <c r="S91" s="59">
        <f ca="1">AVERAGE(OFFSET($R$3,0,0,'Données projet'!$E$9+1,1))-AVERAGE(OFFSET($H$3,0,0,'Données projet'!$E$9+1,1))</f>
        <v>681.47578137804555</v>
      </c>
      <c r="T91" s="59">
        <f t="shared" si="88"/>
        <v>300.88511065995885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329.64328800000055</v>
      </c>
      <c r="AK91" s="13">
        <f t="shared" si="89"/>
        <v>77.356347018802538</v>
      </c>
      <c r="AL91" s="20">
        <f t="shared" si="58"/>
        <v>708.85769765774864</v>
      </c>
      <c r="AM91" s="59">
        <f t="shared" si="59"/>
        <v>982.53943002694234</v>
      </c>
      <c r="AN91" s="59">
        <f ca="1">AVERAGE(OFFSET($AM$3,0,0,'Données projet'!$E$10+1,1))-AVERAGE(OFFSET($H$3,0,0,'Données projet'!$E$10+1,1))</f>
        <v>752.45542076695506</v>
      </c>
      <c r="AO91" s="59">
        <f t="shared" si="90"/>
        <v>329.70629768420724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22.815399591442866</v>
      </c>
      <c r="AV91" s="21">
        <f>EXP(-LN(2)/25)*AV90+(1-EXP(-LN(2)/25))/(LN(2)/25)*Calculateur!AQ91*Calculateur!AS91*VLOOKUP('Données projet'!$B$10,Paramètres!$A$1:$I$89,3,0)*0.475*44/12</f>
        <v>29.668603930533127</v>
      </c>
      <c r="AW91" s="21">
        <f>EXP(-LN(2)/2)*AW90+(1-EXP(-LN(2)/2))/(LN(2)/2)*AQ91*AT91*VLOOKUP('Données projet'!$B$10,Paramètres!$A$1:$I$89,3,0)*0.475*44/12</f>
        <v>1.6362941557156885</v>
      </c>
      <c r="AX91" s="21">
        <f t="shared" si="60"/>
        <v>54.120297677691681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309.35754720000051</v>
      </c>
      <c r="BF91" s="13">
        <f t="shared" si="91"/>
        <v>73.134644261396232</v>
      </c>
      <c r="BG91" s="20">
        <f t="shared" si="61"/>
        <v>666.17390012859926</v>
      </c>
      <c r="BH91" s="59">
        <f t="shared" si="62"/>
        <v>939.85563249779295</v>
      </c>
      <c r="BI91" s="59">
        <f ca="1">AVERAGE(OFFSET($BH$3,0,0,'Données projet'!$E$11+1,1))-AVERAGE(OFFSET($H$3,0,0,'Données projet'!$E$11+1,1))</f>
        <v>711.91538686535682</v>
      </c>
      <c r="BJ91" s="59">
        <f t="shared" si="92"/>
        <v>313.24593837351722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21.41137500120022</v>
      </c>
      <c r="BQ91" s="21">
        <f>EXP(-LN(2)/25)*BQ90+(1-EXP(-LN(2)/25))/(LN(2)/25)*Calculateur!BL91*Calculateur!BN91*VLOOKUP('Données projet'!$B$11,Paramètres!$A$1:$I$89,3,0)*0.475*44/12</f>
        <v>27.84284368865416</v>
      </c>
      <c r="BR91" s="21">
        <f>EXP(-LN(2)/2)*BR90+(1-EXP(-LN(2)/2))/(LN(2)/2)*BL91*BO91*VLOOKUP('Données projet'!$B$11,Paramètres!$A$1:$I$89,3,0)*0.475*44/12</f>
        <v>1.535599130748569</v>
      </c>
      <c r="BS91" s="22">
        <f t="shared" si="63"/>
        <v>50.789817820602956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9.1730000000000018</v>
      </c>
      <c r="BY91" s="12">
        <f>IF('Données projet'!$A$114&gt;35,BY90+BX91-CG90,IF(A91&lt;'Données projet'!$A$114,$BV$205^A91,IF(A91='Données projet'!$A$114,'Données projet'!$B$114,BY90+BX91-CG90)))</f>
        <v>325.0920000000005</v>
      </c>
      <c r="BZ91" s="13">
        <f>BY91*VLOOKUP('Données projet'!$B$12,Paramètres!$A$1:$I$89,3,0)*VLOOKUP('Données projet'!$B$12,Paramètres!$A$1:$I$89,5,0)</f>
        <v>314.42898240000051</v>
      </c>
      <c r="CA91" s="13">
        <f t="shared" si="93"/>
        <v>74.193012934278826</v>
      </c>
      <c r="CB91" s="20">
        <f t="shared" si="64"/>
        <v>676.8499752072031</v>
      </c>
      <c r="CC91" s="59">
        <f t="shared" si="65"/>
        <v>950.5317075763968</v>
      </c>
      <c r="CD91" s="59">
        <f ca="1">AVERAGE(OFFSET($CC$3,0,0,'Données projet'!$E$12+1,1))-AVERAGE(OFFSET($H$3,0,0,'Données projet'!$E$12+1,1))</f>
        <v>722.05521609092671</v>
      </c>
      <c r="CE91" s="59">
        <f t="shared" si="94"/>
        <v>317.36319714884644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21.762381148760888</v>
      </c>
      <c r="CL91" s="21">
        <f>EXP(-LN(2)/25)*CL90+(1-EXP(-LN(2)/25))/(LN(2)/25)*Calculateur!CG91*Calculateur!CI91*VLOOKUP('Données projet'!$B$12,Paramètres!$A$1:$I$89,3,0)*0.475*44/12</f>
        <v>28.299283749123898</v>
      </c>
      <c r="CM91" s="21">
        <f>EXP(-LN(2)/2)*CM90+(1-EXP(-LN(2)/2))/(LN(2)/2)*CG91*CJ91*VLOOKUP('Données projet'!$B$12,Paramètres!$A$1:$I$89,3,0)*0.475*44/12</f>
        <v>1.5607728869903486</v>
      </c>
      <c r="CN91" s="22">
        <f t="shared" si="66"/>
        <v>51.622437784875132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9.1730000000000018</v>
      </c>
      <c r="CT91" s="12">
        <f>IF('Données projet'!$A$140&gt;35,CT90+CS91-DB90,IF(A91&lt;'Données projet'!$A$140,$CQ$205^A91,IF(A91='Données projet'!$A$140,'Données projet'!$B$140,CT90+CS91-DB90)))</f>
        <v>325.0920000000005</v>
      </c>
      <c r="CU91" s="17">
        <f>CT91*VLOOKUP('Données projet'!$B$13,Paramètres!$A$1:$I$89,3,0)*VLOOKUP('Données projet'!$B$13,Paramètres!$A$1:$I$89,5,0)</f>
        <v>349.92902880000048</v>
      </c>
      <c r="CV91" s="13">
        <f t="shared" si="95"/>
        <v>81.547897358426013</v>
      </c>
      <c r="CW91" s="20">
        <f t="shared" si="67"/>
        <v>751.48897972592613</v>
      </c>
      <c r="CX91" s="59">
        <f t="shared" si="68"/>
        <v>1025.1707120951198</v>
      </c>
      <c r="CY91" s="59">
        <f ca="1">AVERAGE(OFFSET($CX$3,0,0,'Données projet'!$E$13+1,1))-AVERAGE(OFFSET($H$3,0,0,'Données projet'!$E$13+1,1))</f>
        <v>792.94606354161886</v>
      </c>
      <c r="CZ91" s="59">
        <f t="shared" si="96"/>
        <v>346.14443498270919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24.2194241816855</v>
      </c>
      <c r="DG91" s="21">
        <f>EXP(-LN(2)/25)*DG90+(1-EXP(-LN(2)/25))/(LN(2)/25)*Calculateur!DB91*Calculateur!DD91*VLOOKUP('Données projet'!$B$13,Paramètres!$A$1:$I$89,3,0)*0.475*44/12</f>
        <v>31.494364172412073</v>
      </c>
      <c r="DH91" s="21">
        <f>EXP(-LN(2)/2)*DH90+(1-EXP(-LN(2)/2))/(LN(2)/2)*DB91*DE91*VLOOKUP('Données projet'!$B$13,Paramètres!$A$1:$I$89,3,0)*0.475*44/12</f>
        <v>1.7369891806828068</v>
      </c>
      <c r="DI91" s="22">
        <f t="shared" si="69"/>
        <v>57.450777534780379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1.7948717948717956</v>
      </c>
      <c r="DO91" s="12">
        <f>IF('Données projet'!$A$166&gt;35,DO90+DN91-DW90,IF(A91&lt;'Données projet'!$A$166,$DL$205^A91,IF(A91='Données projet'!$A$166,'Données projet'!$B$166,DO90+DN91-DW90)))</f>
        <v>134.23076923076917</v>
      </c>
      <c r="DP91" s="17">
        <f>DO91*VLOOKUP('Données projet'!$B$14,Paramètres!$A$1:$I$89,3,0)*VLOOKUP('Données projet'!$B$14,Paramètres!$A$1:$I$89,5,0)</f>
        <v>140.29799999999997</v>
      </c>
      <c r="DQ91" s="13">
        <f t="shared" si="97"/>
        <v>36.365264659858738</v>
      </c>
      <c r="DR91" s="20">
        <f t="shared" si="70"/>
        <v>307.68851928258727</v>
      </c>
      <c r="DS91" s="59">
        <f t="shared" si="71"/>
        <v>581.37025165178102</v>
      </c>
      <c r="DT91" s="59">
        <f ca="1">AVERAGE(OFFSET($DS$3,0,0,'Données projet'!$E$14+1,1))-AVERAGE(OFFSET($H$3,0,0,'Données projet'!$E$14+1,1))</f>
        <v>269.21114382490202</v>
      </c>
      <c r="DU91" s="59">
        <f t="shared" si="98"/>
        <v>233.07776944102309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1.5096746992654508</v>
      </c>
      <c r="EB91" s="21">
        <f>EXP(-LN(2)/25)*EB90+(1-EXP(-LN(2)/25))/(LN(2)/25)*Calculateur!DW91*Calculateur!DY91*VLOOKUP('Données projet'!$B$14,Paramètres!$A$1:$I$89,3,0)*0.475*44/12</f>
        <v>14.375182335111747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15.884857034377198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9.1730000000000018</v>
      </c>
      <c r="FE91" s="12">
        <f>IF('Données projet'!$A$218&gt;35,FE90+FD91-FM90,IF(A91&lt;'Données projet'!$A$218,$FB$205^A91,IF(A91='Données projet'!$A$218,'Données projet'!$B$218,FE90+FD91-FM90)))</f>
        <v>325.0920000000005</v>
      </c>
      <c r="FF91" s="17">
        <f>FE91*VLOOKUP('Données projet'!$B$16,Paramètres!$A$1:$I$89,3,0)*VLOOKUP('Données projet'!$B$16,Paramètres!$A$1:$I$89,5,0)</f>
        <v>370.21476960000052</v>
      </c>
      <c r="FG91" s="13">
        <f t="shared" si="101"/>
        <v>85.711242383628601</v>
      </c>
      <c r="FH91" s="20">
        <f t="shared" si="76"/>
        <v>794.07113753815395</v>
      </c>
      <c r="FI91" s="59">
        <f t="shared" si="77"/>
        <v>1067.7528699073478</v>
      </c>
      <c r="FJ91" s="59">
        <f ca="1">AVERAGE(OFFSET($FI$3,0,0,'Données projet'!$E$16+1,1))-AVERAGE(OFFSET($H$3,0,0,'Données projet'!$E$16+1,1))</f>
        <v>833.39050463936144</v>
      </c>
      <c r="FK91" s="59">
        <f t="shared" si="102"/>
        <v>362.56178526355507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25.623448771928146</v>
      </c>
      <c r="FR91" s="21">
        <f>EXP(-LN(2)/25)*FR90+(1-EXP(-LN(2)/25))/(LN(2)/25)*Calculateur!FM91*Calculateur!FO91*VLOOKUP('Données projet'!$B$16,Paramètres!$A$1:$I$89,3,0)*0.475*44/12</f>
        <v>33.320124414291044</v>
      </c>
      <c r="FS91" s="21">
        <f>EXP(-LN(2)/2)*FS90+(1-EXP(-LN(2)/2))/(LN(2)/2)*FM91*FP91*VLOOKUP('Données projet'!$B$16,Paramètres!$A$1:$I$89,3,0)*0.475*44/12</f>
        <v>1.837684205649927</v>
      </c>
      <c r="FT91" s="22">
        <f t="shared" si="78"/>
        <v>60.781257391869119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925.63471753484805</v>
      </c>
      <c r="S92" s="59">
        <f ca="1">AVERAGE(OFFSET($R$3,0,0,'Données projet'!$E$9+1,1))-AVERAGE(OFFSET($H$3,0,0,'Données projet'!$E$9+1,1))</f>
        <v>681.47578137804555</v>
      </c>
      <c r="T92" s="59">
        <f t="shared" si="88"/>
        <v>300.88511065995885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338.9447100000005</v>
      </c>
      <c r="AK92" s="13">
        <f t="shared" si="89"/>
        <v>79.281877395777414</v>
      </c>
      <c r="AL92" s="20">
        <f t="shared" si="58"/>
        <v>728.41130638097991</v>
      </c>
      <c r="AM92" s="59">
        <f t="shared" si="59"/>
        <v>1002.4339500925034</v>
      </c>
      <c r="AN92" s="59">
        <f ca="1">AVERAGE(OFFSET($AM$3,0,0,'Données projet'!$E$10+1,1))-AVERAGE(OFFSET($H$3,0,0,'Données projet'!$E$10+1,1))</f>
        <v>752.45542076695506</v>
      </c>
      <c r="AO92" s="59">
        <f t="shared" si="90"/>
        <v>329.70629768420724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22.368003521474328</v>
      </c>
      <c r="AV92" s="21">
        <f>EXP(-LN(2)/25)*AV91+(1-EXP(-LN(2)/25))/(LN(2)/25)*Calculateur!AQ92*Calculateur!AS92*VLOOKUP('Données projet'!$B$10,Paramètres!$A$1:$I$89,3,0)*0.475*44/12</f>
        <v>28.857314395848626</v>
      </c>
      <c r="AW92" s="21">
        <f>EXP(-LN(2)/2)*AW91+(1-EXP(-LN(2)/2))/(LN(2)/2)*AQ92*AT92*VLOOKUP('Données projet'!$B$10,Paramètres!$A$1:$I$89,3,0)*0.475*44/12</f>
        <v>1.15703469352248</v>
      </c>
      <c r="AX92" s="21">
        <f t="shared" si="60"/>
        <v>52.382352610845437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318.0865740000005</v>
      </c>
      <c r="BF92" s="13">
        <f t="shared" si="91"/>
        <v>74.955089312923036</v>
      </c>
      <c r="BG92" s="20">
        <f t="shared" si="61"/>
        <v>684.5475636033417</v>
      </c>
      <c r="BH92" s="59">
        <f t="shared" si="62"/>
        <v>958.57020731486523</v>
      </c>
      <c r="BI92" s="59">
        <f ca="1">AVERAGE(OFFSET($BH$3,0,0,'Données projet'!$E$11+1,1))-AVERAGE(OFFSET($H$3,0,0,'Données projet'!$E$11+1,1))</f>
        <v>711.91538686535682</v>
      </c>
      <c r="BJ92" s="59">
        <f t="shared" si="92"/>
        <v>313.24593837351722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20.991510997075903</v>
      </c>
      <c r="BQ92" s="21">
        <f>EXP(-LN(2)/25)*BQ91+(1-EXP(-LN(2)/25))/(LN(2)/25)*Calculateur!BL92*Calculateur!BN92*VLOOKUP('Données projet'!$B$11,Paramètres!$A$1:$I$89,3,0)*0.475*44/12</f>
        <v>27.081479663796397</v>
      </c>
      <c r="BR92" s="21">
        <f>EXP(-LN(2)/2)*BR91+(1-EXP(-LN(2)/2))/(LN(2)/2)*BL92*BO92*VLOOKUP('Données projet'!$B$11,Paramètres!$A$1:$I$89,3,0)*0.475*44/12</f>
        <v>1.085832558536481</v>
      </c>
      <c r="BS92" s="22">
        <f t="shared" si="63"/>
        <v>49.158823219408781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9.1730000000000018</v>
      </c>
      <c r="BY92" s="12">
        <f>IF('Données projet'!$A$114&gt;35,BY91+BX92-CG91,IF(A92&lt;'Données projet'!$A$114,$BV$205^A92,IF(A92='Données projet'!$A$114,'Données projet'!$B$114,BY91+BX92-CG91)))</f>
        <v>334.2650000000005</v>
      </c>
      <c r="BZ92" s="13">
        <f>BY92*VLOOKUP('Données projet'!$B$12,Paramètres!$A$1:$I$89,3,0)*VLOOKUP('Données projet'!$B$12,Paramètres!$A$1:$I$89,5,0)</f>
        <v>323.30110800000045</v>
      </c>
      <c r="CA92" s="13">
        <f t="shared" si="93"/>
        <v>76.039802573007748</v>
      </c>
      <c r="CB92" s="20">
        <f t="shared" si="64"/>
        <v>695.51875258132259</v>
      </c>
      <c r="CC92" s="59">
        <f t="shared" si="65"/>
        <v>969.54139629284623</v>
      </c>
      <c r="CD92" s="59">
        <f ca="1">AVERAGE(OFFSET($CC$3,0,0,'Données projet'!$E$12+1,1))-AVERAGE(OFFSET($H$3,0,0,'Données projet'!$E$12+1,1))</f>
        <v>722.05521609092671</v>
      </c>
      <c r="CE92" s="59">
        <f t="shared" si="94"/>
        <v>317.36319714884644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21.335634128175514</v>
      </c>
      <c r="CL92" s="21">
        <f>EXP(-LN(2)/25)*CL91+(1-EXP(-LN(2)/25))/(LN(2)/25)*Calculateur!CG92*Calculateur!CI92*VLOOKUP('Données projet'!$B$12,Paramètres!$A$1:$I$89,3,0)*0.475*44/12</f>
        <v>27.525438346809452</v>
      </c>
      <c r="CM92" s="21">
        <f>EXP(-LN(2)/2)*CM91+(1-EXP(-LN(2)/2))/(LN(2)/2)*CG92*CJ92*VLOOKUP('Données projet'!$B$12,Paramètres!$A$1:$I$89,3,0)*0.475*44/12</f>
        <v>1.1036330922829805</v>
      </c>
      <c r="CN92" s="22">
        <f t="shared" si="66"/>
        <v>49.964705567267949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9.1730000000000018</v>
      </c>
      <c r="CT92" s="12">
        <f>IF('Données projet'!$A$140&gt;35,CT91+CS92-DB91,IF(A92&lt;'Données projet'!$A$140,$CQ$205^A92,IF(A92='Données projet'!$A$140,'Données projet'!$B$140,CT91+CS92-DB91)))</f>
        <v>334.2650000000005</v>
      </c>
      <c r="CU92" s="17">
        <f>CT92*VLOOKUP('Données projet'!$B$13,Paramètres!$A$1:$I$89,3,0)*VLOOKUP('Données projet'!$B$13,Paramètres!$A$1:$I$89,5,0)</f>
        <v>359.8028460000005</v>
      </c>
      <c r="CV92" s="13">
        <f t="shared" si="95"/>
        <v>83.577762516147487</v>
      </c>
      <c r="CW92" s="20">
        <f t="shared" si="67"/>
        <v>772.22122649895766</v>
      </c>
      <c r="CX92" s="59">
        <f t="shared" si="68"/>
        <v>1046.2438702104812</v>
      </c>
      <c r="CY92" s="59">
        <f ca="1">AVERAGE(OFFSET($CX$3,0,0,'Données projet'!$E$13+1,1))-AVERAGE(OFFSET($H$3,0,0,'Données projet'!$E$13+1,1))</f>
        <v>792.94606354161886</v>
      </c>
      <c r="CZ92" s="59">
        <f t="shared" si="96"/>
        <v>346.14443498270919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23.744496045872747</v>
      </c>
      <c r="DG92" s="21">
        <f>EXP(-LN(2)/25)*DG91+(1-EXP(-LN(2)/25))/(LN(2)/25)*Calculateur!DB92*Calculateur!DD92*VLOOKUP('Données projet'!$B$13,Paramètres!$A$1:$I$89,3,0)*0.475*44/12</f>
        <v>30.633149127900836</v>
      </c>
      <c r="DH92" s="21">
        <f>EXP(-LN(2)/2)*DH91+(1-EXP(-LN(2)/2))/(LN(2)/2)*DB92*DE92*VLOOKUP('Données projet'!$B$13,Paramètres!$A$1:$I$89,3,0)*0.475*44/12</f>
        <v>1.2282368285084779</v>
      </c>
      <c r="DI92" s="22">
        <f t="shared" si="69"/>
        <v>55.605882002282065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1.7948717948717956</v>
      </c>
      <c r="DO92" s="12">
        <f>IF('Données projet'!$A$166&gt;35,DO91+DN92-DW91,IF(A92&lt;'Données projet'!$A$166,$DL$205^A92,IF(A92='Données projet'!$A$166,'Données projet'!$B$166,DO91+DN92-DW91)))</f>
        <v>136.02564102564097</v>
      </c>
      <c r="DP92" s="17">
        <f>DO92*VLOOKUP('Données projet'!$B$14,Paramètres!$A$1:$I$89,3,0)*VLOOKUP('Données projet'!$B$14,Paramètres!$A$1:$I$89,5,0)</f>
        <v>142.17399999999995</v>
      </c>
      <c r="DQ92" s="13">
        <f t="shared" si="97"/>
        <v>36.794590842933211</v>
      </c>
      <c r="DR92" s="20">
        <f t="shared" si="70"/>
        <v>311.70362905144191</v>
      </c>
      <c r="DS92" s="59">
        <f t="shared" si="71"/>
        <v>585.72627276296544</v>
      </c>
      <c r="DT92" s="59">
        <f ca="1">AVERAGE(OFFSET($DS$3,0,0,'Données projet'!$E$14+1,1))-AVERAGE(OFFSET($H$3,0,0,'Données projet'!$E$14+1,1))</f>
        <v>269.21114382490202</v>
      </c>
      <c r="DU92" s="59">
        <f t="shared" si="98"/>
        <v>233.07776944102309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1.4800708992234994</v>
      </c>
      <c r="EB92" s="21">
        <f>EXP(-LN(2)/25)*EB91+(1-EXP(-LN(2)/25))/(LN(2)/25)*Calculateur!DW92*Calculateur!DY92*VLOOKUP('Données projet'!$B$14,Paramètres!$A$1:$I$89,3,0)*0.475*44/12</f>
        <v>13.982092218200131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15.46216311742363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9.1730000000000018</v>
      </c>
      <c r="FE92" s="12">
        <f>IF('Données projet'!$A$218&gt;35,FE91+FD92-FM91,IF(A92&lt;'Données projet'!$A$218,$FB$205^A92,IF(A92='Données projet'!$A$218,'Données projet'!$B$218,FE91+FD92-FM91)))</f>
        <v>334.2650000000005</v>
      </c>
      <c r="FF92" s="17">
        <f>FE92*VLOOKUP('Données projet'!$B$16,Paramètres!$A$1:$I$89,3,0)*VLOOKUP('Données projet'!$B$16,Paramètres!$A$1:$I$89,5,0)</f>
        <v>380.66098200000056</v>
      </c>
      <c r="FG92" s="13">
        <f t="shared" si="101"/>
        <v>87.844740244092691</v>
      </c>
      <c r="FH92" s="20">
        <f t="shared" si="76"/>
        <v>815.98079957512903</v>
      </c>
      <c r="FI92" s="59">
        <f t="shared" si="77"/>
        <v>1090.0034432866526</v>
      </c>
      <c r="FJ92" s="59">
        <f ca="1">AVERAGE(OFFSET($FI$3,0,0,'Données projet'!$E$16+1,1))-AVERAGE(OFFSET($H$3,0,0,'Données projet'!$E$16+1,1))</f>
        <v>833.39050463936144</v>
      </c>
      <c r="FK92" s="59">
        <f t="shared" si="102"/>
        <v>362.56178526355507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25.120988570271173</v>
      </c>
      <c r="FR92" s="21">
        <f>EXP(-LN(2)/25)*FR91+(1-EXP(-LN(2)/25))/(LN(2)/25)*Calculateur!FM92*Calculateur!FO92*VLOOKUP('Données projet'!$B$16,Paramètres!$A$1:$I$89,3,0)*0.475*44/12</f>
        <v>32.408983859953068</v>
      </c>
      <c r="FS92" s="21">
        <f>EXP(-LN(2)/2)*FS91+(1-EXP(-LN(2)/2))/(LN(2)/2)*FM92*FP92*VLOOKUP('Données projet'!$B$16,Paramètres!$A$1:$I$89,3,0)*0.475*44/12</f>
        <v>1.2994389634944774</v>
      </c>
      <c r="FT92" s="22">
        <f t="shared" si="78"/>
        <v>58.829411393718715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943.44783190500175</v>
      </c>
      <c r="S93" s="59">
        <f ca="1">AVERAGE(OFFSET($R$3,0,0,'Données projet'!$E$9+1,1))-AVERAGE(OFFSET($H$3,0,0,'Données projet'!$E$9+1,1))</f>
        <v>681.47578137804555</v>
      </c>
      <c r="T93" s="59">
        <f t="shared" si="88"/>
        <v>300.88511065995885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348.24613200000056</v>
      </c>
      <c r="AK93" s="13">
        <f t="shared" si="89"/>
        <v>81.201266081189317</v>
      </c>
      <c r="AL93" s="20">
        <f t="shared" si="58"/>
        <v>747.95421832473903</v>
      </c>
      <c r="AM93" s="59">
        <f t="shared" si="59"/>
        <v>1022.3118593289666</v>
      </c>
      <c r="AN93" s="59">
        <f ca="1">AVERAGE(OFFSET($AM$3,0,0,'Données projet'!$E$10+1,1))-AVERAGE(OFFSET($H$3,0,0,'Données projet'!$E$10+1,1))</f>
        <v>752.45542076695506</v>
      </c>
      <c r="AO93" s="59">
        <f t="shared" si="90"/>
        <v>329.70629768420724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21.929380615553217</v>
      </c>
      <c r="AV93" s="21">
        <f>EXP(-LN(2)/25)*AV92+(1-EXP(-LN(2)/25))/(LN(2)/25)*Calculateur!AQ93*Calculateur!AS93*VLOOKUP('Données projet'!$B$10,Paramètres!$A$1:$I$89,3,0)*0.475*44/12</f>
        <v>28.068209616153936</v>
      </c>
      <c r="AW93" s="21">
        <f>EXP(-LN(2)/2)*AW92+(1-EXP(-LN(2)/2))/(LN(2)/2)*AQ93*AT93*VLOOKUP('Données projet'!$B$10,Paramètres!$A$1:$I$89,3,0)*0.475*44/12</f>
        <v>0.81814707785784435</v>
      </c>
      <c r="AX93" s="21">
        <f t="shared" si="60"/>
        <v>50.815737309564994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326.81560080000048</v>
      </c>
      <c r="BF93" s="13">
        <f t="shared" si="91"/>
        <v>76.769727854125406</v>
      </c>
      <c r="BG93" s="20">
        <f t="shared" si="61"/>
        <v>702.91111407260257</v>
      </c>
      <c r="BH93" s="59">
        <f t="shared" si="62"/>
        <v>977.2687550768303</v>
      </c>
      <c r="BI93" s="59">
        <f ca="1">AVERAGE(OFFSET($BH$3,0,0,'Données projet'!$E$11+1,1))-AVERAGE(OFFSET($H$3,0,0,'Données projet'!$E$11+1,1))</f>
        <v>711.91538686535682</v>
      </c>
      <c r="BJ93" s="59">
        <f t="shared" si="92"/>
        <v>313.24593837351722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20.579880269980706</v>
      </c>
      <c r="BQ93" s="21">
        <f>EXP(-LN(2)/25)*BQ92+(1-EXP(-LN(2)/25))/(LN(2)/25)*Calculateur!BL93*Calculateur!BN93*VLOOKUP('Données projet'!$B$11,Paramètres!$A$1:$I$89,3,0)*0.475*44/12</f>
        <v>26.340935178236766</v>
      </c>
      <c r="BR93" s="21">
        <f>EXP(-LN(2)/2)*BR92+(1-EXP(-LN(2)/2))/(LN(2)/2)*BL93*BO93*VLOOKUP('Données projet'!$B$11,Paramètres!$A$1:$I$89,3,0)*0.475*44/12</f>
        <v>0.76779956537428451</v>
      </c>
      <c r="BS93" s="22">
        <f t="shared" si="63"/>
        <v>47.68861501359175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9.1730000000000018</v>
      </c>
      <c r="BY93" s="12">
        <f>IF('Données projet'!$A$114&gt;35,BY92+BX93-CG92,IF(A93&lt;'Données projet'!$A$114,$BV$205^A93,IF(A93='Données projet'!$A$114,'Données projet'!$B$114,BY92+BX93-CG92)))</f>
        <v>343.4380000000005</v>
      </c>
      <c r="BZ93" s="13">
        <f>BY93*VLOOKUP('Données projet'!$B$12,Paramètres!$A$1:$I$89,3,0)*VLOOKUP('Données projet'!$B$12,Paramètres!$A$1:$I$89,5,0)</f>
        <v>332.17323360000046</v>
      </c>
      <c r="CA93" s="13">
        <f t="shared" si="93"/>
        <v>77.880701672444999</v>
      </c>
      <c r="CB93" s="20">
        <f t="shared" si="64"/>
        <v>714.17727059950914</v>
      </c>
      <c r="CC93" s="59">
        <f t="shared" si="65"/>
        <v>988.53491160373687</v>
      </c>
      <c r="CD93" s="59">
        <f ca="1">AVERAGE(OFFSET($CC$3,0,0,'Données projet'!$E$12+1,1))-AVERAGE(OFFSET($H$3,0,0,'Données projet'!$E$12+1,1))</f>
        <v>722.05521609092671</v>
      </c>
      <c r="CE93" s="59">
        <f t="shared" si="94"/>
        <v>317.36319714884644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20.91725535637384</v>
      </c>
      <c r="CL93" s="21">
        <f>EXP(-LN(2)/25)*CL92+(1-EXP(-LN(2)/25))/(LN(2)/25)*Calculateur!CG93*Calculateur!CI93*VLOOKUP('Données projet'!$B$12,Paramètres!$A$1:$I$89,3,0)*0.475*44/12</f>
        <v>26.772753787716056</v>
      </c>
      <c r="CM93" s="21">
        <f>EXP(-LN(2)/2)*CM92+(1-EXP(-LN(2)/2))/(LN(2)/2)*CG93*CJ93*VLOOKUP('Données projet'!$B$12,Paramètres!$A$1:$I$89,3,0)*0.475*44/12</f>
        <v>0.78038644349517428</v>
      </c>
      <c r="CN93" s="22">
        <f t="shared" si="66"/>
        <v>48.470395587585074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9.1730000000000018</v>
      </c>
      <c r="CT93" s="12">
        <f>IF('Données projet'!$A$140&gt;35,CT92+CS93-DB92,IF(A93&lt;'Données projet'!$A$140,$CQ$205^A93,IF(A93='Données projet'!$A$140,'Données projet'!$B$140,CT92+CS93-DB92)))</f>
        <v>343.4380000000005</v>
      </c>
      <c r="CU93" s="17">
        <f>CT93*VLOOKUP('Données projet'!$B$13,Paramètres!$A$1:$I$89,3,0)*VLOOKUP('Données projet'!$B$13,Paramètres!$A$1:$I$89,5,0)</f>
        <v>369.67666320000052</v>
      </c>
      <c r="CV93" s="13">
        <f t="shared" si="95"/>
        <v>85.601153195012515</v>
      </c>
      <c r="CW93" s="20">
        <f t="shared" si="67"/>
        <v>792.94219688798103</v>
      </c>
      <c r="CX93" s="59">
        <f t="shared" si="68"/>
        <v>1067.2998378922086</v>
      </c>
      <c r="CY93" s="59">
        <f ca="1">AVERAGE(OFFSET($CX$3,0,0,'Données projet'!$E$13+1,1))-AVERAGE(OFFSET($H$3,0,0,'Données projet'!$E$13+1,1))</f>
        <v>792.94606354161886</v>
      </c>
      <c r="CZ93" s="59">
        <f t="shared" si="96"/>
        <v>346.14443498270919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23.278880961125722</v>
      </c>
      <c r="DG93" s="21">
        <f>EXP(-LN(2)/25)*DG92+(1-EXP(-LN(2)/25))/(LN(2)/25)*Calculateur!DB93*Calculateur!DD93*VLOOKUP('Données projet'!$B$13,Paramètres!$A$1:$I$89,3,0)*0.475*44/12</f>
        <v>29.795484054071089</v>
      </c>
      <c r="DH93" s="21">
        <f>EXP(-LN(2)/2)*DH92+(1-EXP(-LN(2)/2))/(LN(2)/2)*DB93*DE93*VLOOKUP('Données projet'!$B$13,Paramètres!$A$1:$I$89,3,0)*0.475*44/12</f>
        <v>0.86849459034140342</v>
      </c>
      <c r="DI93" s="22">
        <f t="shared" si="69"/>
        <v>53.942859605538217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137.82051282051282</v>
      </c>
      <c r="DM93" s="12">
        <f>VLOOKUP(A93,'Données projet'!$A$165:$I$185,9,0)</f>
        <v>1.7948717948717956</v>
      </c>
      <c r="DN93" s="12">
        <f t="array" ref="DN93">INDEX(DM:DM,MIN(IF(ISNUMBER(DM93:DM289),ROW(DM93:DM289),"")))</f>
        <v>1.7948717948717956</v>
      </c>
      <c r="DO93" s="12">
        <f>IF('Données projet'!$A$166&gt;35,DO92+DN93-DW92,IF(A93&lt;'Données projet'!$A$166,$DL$205^A93,IF(A93='Données projet'!$A$166,'Données projet'!$B$166,DO92+DN93-DW92)))</f>
        <v>137.82051282051276</v>
      </c>
      <c r="DP93" s="17">
        <f>DO93*VLOOKUP('Données projet'!$B$14,Paramètres!$A$1:$I$89,3,0)*VLOOKUP('Données projet'!$B$14,Paramètres!$A$1:$I$89,5,0)</f>
        <v>144.04999999999995</v>
      </c>
      <c r="DQ93" s="13">
        <f t="shared" si="97"/>
        <v>37.223258105752187</v>
      </c>
      <c r="DR93" s="20">
        <f t="shared" si="70"/>
        <v>315.71759120085159</v>
      </c>
      <c r="DS93" s="59">
        <f t="shared" si="71"/>
        <v>590.07523220507926</v>
      </c>
      <c r="DT93" s="59">
        <f ca="1">AVERAGE(OFFSET($DS$3,0,0,'Données projet'!$E$14+1,1))-AVERAGE(OFFSET($H$3,0,0,'Données projet'!$E$14+1,1))</f>
        <v>269.21114382490202</v>
      </c>
      <c r="DU93" s="59">
        <f t="shared" si="98"/>
        <v>233.07776944102309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6.4102564102564097</v>
      </c>
      <c r="DX93" s="16">
        <f>IF(ISNA(VLOOKUP(A93,'Données projet'!$A$165:$I$185,5,0)),0%,VLOOKUP(A93,'Données projet'!$A$165:$I$185,5,0)*VLOOKUP('Données projet'!$B$14,Paramètres!$A$1:$I$89,7,0))</f>
        <v>4.3000000000000003E-2</v>
      </c>
      <c r="DY93" s="16">
        <f>IF(ISNA(VLOOKUP(A93,'Données projet'!$A$165:$I$185,6,0)),0%,VLOOKUP(A93,'Données projet'!$A$165:$I$185,6,0)*VLOOKUP('Données projet'!$B$14,Paramètres!$A$1:$I$89,7,0))</f>
        <v>0.215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1.7695336279872784</v>
      </c>
      <c r="EB93" s="21">
        <f>EXP(-LN(2)/25)*EB92+(1-EXP(-LN(2)/25))/(LN(2)/25)*Calculateur!DW93*Calculateur!DY93*VLOOKUP('Données projet'!$B$14,Paramètres!$A$1:$I$89,3,0)*0.475*44/12</f>
        <v>15.185911248929239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16.955444876916516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9.1730000000000018</v>
      </c>
      <c r="FE93" s="12">
        <f>IF('Données projet'!$A$218&gt;35,FE92+FD93-FM92,IF(A93&lt;'Données projet'!$A$218,$FB$205^A93,IF(A93='Données projet'!$A$218,'Données projet'!$B$218,FE92+FD93-FM92)))</f>
        <v>343.4380000000005</v>
      </c>
      <c r="FF93" s="17">
        <f>FE93*VLOOKUP('Données projet'!$B$16,Paramètres!$A$1:$I$89,3,0)*VLOOKUP('Données projet'!$B$16,Paramètres!$A$1:$I$89,5,0)</f>
        <v>391.10719440000054</v>
      </c>
      <c r="FG93" s="13">
        <f t="shared" si="101"/>
        <v>89.971433077762143</v>
      </c>
      <c r="FH93" s="20">
        <f t="shared" si="76"/>
        <v>837.87860952377002</v>
      </c>
      <c r="FI93" s="59">
        <f t="shared" si="77"/>
        <v>1112.2362505279978</v>
      </c>
      <c r="FJ93" s="59">
        <f ca="1">AVERAGE(OFFSET($FI$3,0,0,'Données projet'!$E$16+1,1))-AVERAGE(OFFSET($H$3,0,0,'Données projet'!$E$16+1,1))</f>
        <v>833.39050463936144</v>
      </c>
      <c r="FK93" s="59">
        <f t="shared" si="102"/>
        <v>362.56178526355507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24.628381306698234</v>
      </c>
      <c r="FR93" s="21">
        <f>EXP(-LN(2)/25)*FR92+(1-EXP(-LN(2)/25))/(LN(2)/25)*Calculateur!FM93*Calculateur!FO93*VLOOKUP('Données projet'!$B$16,Paramètres!$A$1:$I$89,3,0)*0.475*44/12</f>
        <v>31.522758491988263</v>
      </c>
      <c r="FS93" s="21">
        <f>EXP(-LN(2)/2)*FS92+(1-EXP(-LN(2)/2))/(LN(2)/2)*FM93*FP93*VLOOKUP('Données projet'!$B$16,Paramètres!$A$1:$I$89,3,0)*0.475*44/12</f>
        <v>0.91884210282496359</v>
      </c>
      <c r="FT93" s="22">
        <f t="shared" si="78"/>
        <v>57.069981901511461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961.2457505969237</v>
      </c>
      <c r="S94" s="59">
        <f ca="1">AVERAGE(OFFSET($R$3,0,0,'Données projet'!$E$9+1,1))-AVERAGE(OFFSET($H$3,0,0,'Données projet'!$E$9+1,1))</f>
        <v>681.47578137804555</v>
      </c>
      <c r="T94" s="59">
        <f t="shared" si="88"/>
        <v>300.88511065995885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357.54755400000056</v>
      </c>
      <c r="AK94" s="13">
        <f t="shared" si="89"/>
        <v>83.114695969480493</v>
      </c>
      <c r="AL94" s="20">
        <f t="shared" si="58"/>
        <v>767.48675203017956</v>
      </c>
      <c r="AM94" s="59">
        <f t="shared" si="59"/>
        <v>1042.1735788730246</v>
      </c>
      <c r="AN94" s="59">
        <f ca="1">AVERAGE(OFFSET($AM$3,0,0,'Données projet'!$E$10+1,1))-AVERAGE(OFFSET($H$3,0,0,'Données projet'!$E$10+1,1))</f>
        <v>752.45542076695506</v>
      </c>
      <c r="AO94" s="59">
        <f t="shared" si="90"/>
        <v>329.70629768420724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21.499358837283662</v>
      </c>
      <c r="AV94" s="21">
        <f>EXP(-LN(2)/25)*AV93+(1-EXP(-LN(2)/25))/(LN(2)/25)*Calculateur!AQ94*Calculateur!AS94*VLOOKUP('Données projet'!$B$10,Paramètres!$A$1:$I$89,3,0)*0.475*44/12</f>
        <v>27.300682948157213</v>
      </c>
      <c r="AW94" s="21">
        <f>EXP(-LN(2)/2)*AW93+(1-EXP(-LN(2)/2))/(LN(2)/2)*AQ94*AT94*VLOOKUP('Données projet'!$B$10,Paramètres!$A$1:$I$89,3,0)*0.475*44/12</f>
        <v>0.57851734676124</v>
      </c>
      <c r="AX94" s="21">
        <f t="shared" si="60"/>
        <v>49.378559132202113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335.54462760000047</v>
      </c>
      <c r="BF94" s="13">
        <f t="shared" si="91"/>
        <v>78.578732798028639</v>
      </c>
      <c r="BG94" s="20">
        <f t="shared" si="61"/>
        <v>721.26485269323393</v>
      </c>
      <c r="BH94" s="59">
        <f t="shared" si="62"/>
        <v>995.95167953607893</v>
      </c>
      <c r="BI94" s="59">
        <f ca="1">AVERAGE(OFFSET($BH$3,0,0,'Données projet'!$E$11+1,1))-AVERAGE(OFFSET($H$3,0,0,'Données projet'!$E$11+1,1))</f>
        <v>711.91538686535682</v>
      </c>
      <c r="BJ94" s="59">
        <f t="shared" si="92"/>
        <v>313.24593837351722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20.176321370373895</v>
      </c>
      <c r="BQ94" s="21">
        <f>EXP(-LN(2)/25)*BQ93+(1-EXP(-LN(2)/25))/(LN(2)/25)*Calculateur!BL94*Calculateur!BN94*VLOOKUP('Données projet'!$B$11,Paramètres!$A$1:$I$89,3,0)*0.475*44/12</f>
        <v>25.620640920578303</v>
      </c>
      <c r="BR94" s="21">
        <f>EXP(-LN(2)/2)*BR93+(1-EXP(-LN(2)/2))/(LN(2)/2)*BL94*BO94*VLOOKUP('Données projet'!$B$11,Paramètres!$A$1:$I$89,3,0)*0.475*44/12</f>
        <v>0.54291627926824049</v>
      </c>
      <c r="BS94" s="22">
        <f t="shared" si="63"/>
        <v>46.339878570220435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9.1730000000000018</v>
      </c>
      <c r="BY94" s="12">
        <f>IF('Données projet'!$A$114&gt;35,BY93+BX94-CG93,IF(A94&lt;'Données projet'!$A$114,$BV$205^A94,IF(A94='Données projet'!$A$114,'Données projet'!$B$114,BY93+BX94-CG93)))</f>
        <v>352.6110000000005</v>
      </c>
      <c r="BZ94" s="13">
        <f>BY94*VLOOKUP('Données projet'!$B$12,Paramètres!$A$1:$I$89,3,0)*VLOOKUP('Données projet'!$B$12,Paramètres!$A$1:$I$89,5,0)</f>
        <v>341.04535920000052</v>
      </c>
      <c r="CA94" s="13">
        <f t="shared" si="93"/>
        <v>79.715885647928317</v>
      </c>
      <c r="CB94" s="20">
        <f t="shared" si="64"/>
        <v>732.8258347768093</v>
      </c>
      <c r="CC94" s="59">
        <f t="shared" si="65"/>
        <v>1007.5126616196544</v>
      </c>
      <c r="CD94" s="59">
        <f ca="1">AVERAGE(OFFSET($CC$3,0,0,'Données projet'!$E$12+1,1))-AVERAGE(OFFSET($H$3,0,0,'Données projet'!$E$12+1,1))</f>
        <v>722.05521609092671</v>
      </c>
      <c r="CE94" s="59">
        <f t="shared" si="94"/>
        <v>317.36319714884644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20.507080737101344</v>
      </c>
      <c r="CL94" s="21">
        <f>EXP(-LN(2)/25)*CL93+(1-EXP(-LN(2)/25))/(LN(2)/25)*Calculateur!CG94*Calculateur!CI94*VLOOKUP('Données projet'!$B$12,Paramètres!$A$1:$I$89,3,0)*0.475*44/12</f>
        <v>26.04065142747303</v>
      </c>
      <c r="CM94" s="21">
        <f>EXP(-LN(2)/2)*CM93+(1-EXP(-LN(2)/2))/(LN(2)/2)*CG94*CJ94*VLOOKUP('Données projet'!$B$12,Paramètres!$A$1:$I$89,3,0)*0.475*44/12</f>
        <v>0.55181654614149023</v>
      </c>
      <c r="CN94" s="22">
        <f t="shared" si="66"/>
        <v>47.099548710715858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9.1730000000000018</v>
      </c>
      <c r="CT94" s="12">
        <f>IF('Données projet'!$A$140&gt;35,CT93+CS94-DB93,IF(A94&lt;'Données projet'!$A$140,$CQ$205^A94,IF(A94='Données projet'!$A$140,'Données projet'!$B$140,CT93+CS94-DB93)))</f>
        <v>352.6110000000005</v>
      </c>
      <c r="CU94" s="17">
        <f>CT94*VLOOKUP('Données projet'!$B$13,Paramètres!$A$1:$I$89,3,0)*VLOOKUP('Données projet'!$B$13,Paramètres!$A$1:$I$89,5,0)</f>
        <v>379.55048040000048</v>
      </c>
      <c r="CV94" s="13">
        <f t="shared" si="95"/>
        <v>87.618262199590845</v>
      </c>
      <c r="CW94" s="20">
        <f t="shared" si="67"/>
        <v>813.65222669428829</v>
      </c>
      <c r="CX94" s="59">
        <f t="shared" si="68"/>
        <v>1088.3390535371334</v>
      </c>
      <c r="CY94" s="59">
        <f ca="1">AVERAGE(OFFSET($CX$3,0,0,'Données projet'!$E$13+1,1))-AVERAGE(OFFSET($H$3,0,0,'Données projet'!$E$13+1,1))</f>
        <v>792.94606354161886</v>
      </c>
      <c r="CZ94" s="59">
        <f t="shared" si="96"/>
        <v>346.14443498270919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22.822396304193425</v>
      </c>
      <c r="DG94" s="21">
        <f>EXP(-LN(2)/25)*DG93+(1-EXP(-LN(2)/25))/(LN(2)/25)*Calculateur!DB94*Calculateur!DD94*VLOOKUP('Données projet'!$B$13,Paramètres!$A$1:$I$89,3,0)*0.475*44/12</f>
        <v>28.980724975736106</v>
      </c>
      <c r="DH94" s="21">
        <f>EXP(-LN(2)/2)*DH93+(1-EXP(-LN(2)/2))/(LN(2)/2)*DB94*DE94*VLOOKUP('Données projet'!$B$13,Paramètres!$A$1:$I$89,3,0)*0.475*44/12</f>
        <v>0.61411841425423896</v>
      </c>
      <c r="DI94" s="22">
        <f t="shared" si="69"/>
        <v>52.417239694183763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1.7948717948717956</v>
      </c>
      <c r="DO94" s="12">
        <f>IF('Données projet'!$A$166&gt;35,DO93+DN94-DW93,IF(A94&lt;'Données projet'!$A$166,$DL$205^A94,IF(A94='Données projet'!$A$166,'Données projet'!$B$166,DO93+DN94-DW93)))</f>
        <v>133.20512820512815</v>
      </c>
      <c r="DP94" s="17">
        <f>DO94*VLOOKUP('Données projet'!$B$14,Paramètres!$A$1:$I$89,3,0)*VLOOKUP('Données projet'!$B$14,Paramètres!$A$1:$I$89,5,0)</f>
        <v>139.22599999999994</v>
      </c>
      <c r="DQ94" s="13">
        <f t="shared" si="97"/>
        <v>36.119635793564001</v>
      </c>
      <c r="DR94" s="20">
        <f t="shared" si="70"/>
        <v>305.39364900712383</v>
      </c>
      <c r="DS94" s="59">
        <f t="shared" si="71"/>
        <v>580.08047584996893</v>
      </c>
      <c r="DT94" s="59">
        <f ca="1">AVERAGE(OFFSET($DS$3,0,0,'Données projet'!$E$14+1,1))-AVERAGE(OFFSET($H$3,0,0,'Données projet'!$E$14+1,1))</f>
        <v>269.21114382490202</v>
      </c>
      <c r="DU94" s="59">
        <f t="shared" si="98"/>
        <v>233.07776944102309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1.734834152851388</v>
      </c>
      <c r="EB94" s="21">
        <f>EXP(-LN(2)/25)*EB93+(1-EXP(-LN(2)/25))/(LN(2)/25)*Calculateur!DW94*Calculateur!DY94*VLOOKUP('Données projet'!$B$14,Paramètres!$A$1:$I$89,3,0)*0.475*44/12</f>
        <v>14.770651707234904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16.505485860086292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9.1730000000000018</v>
      </c>
      <c r="FE94" s="12">
        <f>IF('Données projet'!$A$218&gt;35,FE93+FD94-FM93,IF(A94&lt;'Données projet'!$A$218,$FB$205^A94,IF(A94='Données projet'!$A$218,'Données projet'!$B$218,FE93+FD94-FM93)))</f>
        <v>352.6110000000005</v>
      </c>
      <c r="FF94" s="17">
        <f>FE94*VLOOKUP('Données projet'!$B$16,Paramètres!$A$1:$I$89,3,0)*VLOOKUP('Données projet'!$B$16,Paramètres!$A$1:$I$89,5,0)</f>
        <v>401.55340680000063</v>
      </c>
      <c r="FG94" s="13">
        <f t="shared" si="101"/>
        <v>92.091523532648111</v>
      </c>
      <c r="FH94" s="20">
        <f t="shared" si="76"/>
        <v>859.76492032936324</v>
      </c>
      <c r="FI94" s="59">
        <f t="shared" si="77"/>
        <v>1134.4517471722083</v>
      </c>
      <c r="FJ94" s="59">
        <f ca="1">AVERAGE(OFFSET($FI$3,0,0,'Données projet'!$E$16+1,1))-AVERAGE(OFFSET($H$3,0,0,'Données projet'!$E$16+1,1))</f>
        <v>833.39050463936144</v>
      </c>
      <c r="FK94" s="59">
        <f t="shared" si="102"/>
        <v>362.56178526355507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24.145433771103196</v>
      </c>
      <c r="FR94" s="21">
        <f>EXP(-LN(2)/25)*FR93+(1-EXP(-LN(2)/25))/(LN(2)/25)*Calculateur!FM94*Calculateur!FO94*VLOOKUP('Données projet'!$B$16,Paramètres!$A$1:$I$89,3,0)*0.475*44/12</f>
        <v>30.660767003315023</v>
      </c>
      <c r="FS94" s="21">
        <f>EXP(-LN(2)/2)*FS93+(1-EXP(-LN(2)/2))/(LN(2)/2)*FM94*FP94*VLOOKUP('Données projet'!$B$16,Paramètres!$A$1:$I$89,3,0)*0.475*44/12</f>
        <v>0.64971948174723881</v>
      </c>
      <c r="FT94" s="22">
        <f t="shared" si="78"/>
        <v>55.455920256165456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979.02884661845201</v>
      </c>
      <c r="S95" s="59">
        <f ca="1">AVERAGE(OFFSET($R$3,0,0,'Données projet'!$E$9+1,1))-AVERAGE(OFFSET($H$3,0,0,'Données projet'!$E$9+1,1))</f>
        <v>681.47578137804555</v>
      </c>
      <c r="T95" s="59">
        <f t="shared" si="88"/>
        <v>300.88511065995885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366.8489760000005</v>
      </c>
      <c r="AK95" s="13">
        <f t="shared" si="89"/>
        <v>85.022339897263734</v>
      </c>
      <c r="AL95" s="20">
        <f t="shared" si="58"/>
        <v>787.00920852106856</v>
      </c>
      <c r="AM95" s="59">
        <f t="shared" si="59"/>
        <v>1062.0195105641803</v>
      </c>
      <c r="AN95" s="59">
        <f ca="1">AVERAGE(OFFSET($AM$3,0,0,'Données projet'!$E$10+1,1))-AVERAGE(OFFSET($H$3,0,0,'Données projet'!$E$10+1,1))</f>
        <v>752.45542076695506</v>
      </c>
      <c r="AO95" s="59">
        <f t="shared" si="90"/>
        <v>329.70629768420724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21.077769523798587</v>
      </c>
      <c r="AV95" s="21">
        <f>EXP(-LN(2)/25)*AV94+(1-EXP(-LN(2)/25))/(LN(2)/25)*Calculateur!AQ95*Calculateur!AS95*VLOOKUP('Données projet'!$B$10,Paramètres!$A$1:$I$89,3,0)*0.475*44/12</f>
        <v>26.554144337259334</v>
      </c>
      <c r="AW95" s="21">
        <f>EXP(-LN(2)/2)*AW94+(1-EXP(-LN(2)/2))/(LN(2)/2)*AQ95*AT95*VLOOKUP('Données projet'!$B$10,Paramètres!$A$1:$I$89,3,0)*0.475*44/12</f>
        <v>0.40907353892892218</v>
      </c>
      <c r="AX95" s="21">
        <f t="shared" si="60"/>
        <v>48.040987399986847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344.27365440000045</v>
      </c>
      <c r="BF95" s="13">
        <f t="shared" si="91"/>
        <v>80.382267548731363</v>
      </c>
      <c r="BG95" s="20">
        <f t="shared" si="61"/>
        <v>739.60906406070796</v>
      </c>
      <c r="BH95" s="59">
        <f t="shared" si="62"/>
        <v>1014.6193661038196</v>
      </c>
      <c r="BI95" s="59">
        <f ca="1">AVERAGE(OFFSET($BH$3,0,0,'Données projet'!$E$11+1,1))-AVERAGE(OFFSET($H$3,0,0,'Données projet'!$E$11+1,1))</f>
        <v>711.91538686535682</v>
      </c>
      <c r="BJ95" s="59">
        <f t="shared" si="92"/>
        <v>313.24593837351722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19.780676014641749</v>
      </c>
      <c r="BQ95" s="21">
        <f>EXP(-LN(2)/25)*BQ94+(1-EXP(-LN(2)/25))/(LN(2)/25)*Calculateur!BL95*Calculateur!BN95*VLOOKUP('Données projet'!$B$11,Paramètres!$A$1:$I$89,3,0)*0.475*44/12</f>
        <v>24.920043147274139</v>
      </c>
      <c r="BR95" s="21">
        <f>EXP(-LN(2)/2)*BR94+(1-EXP(-LN(2)/2))/(LN(2)/2)*BL95*BO95*VLOOKUP('Données projet'!$B$11,Paramètres!$A$1:$I$89,3,0)*0.475*44/12</f>
        <v>0.38389978268714225</v>
      </c>
      <c r="BS95" s="22">
        <f t="shared" si="63"/>
        <v>45.084618944603029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9.1730000000000018</v>
      </c>
      <c r="BY95" s="12">
        <f>IF('Données projet'!$A$114&gt;35,BY94+BX95-CG94,IF(A95&lt;'Données projet'!$A$114,$BV$205^A95,IF(A95='Données projet'!$A$114,'Données projet'!$B$114,BY94+BX95-CG94)))</f>
        <v>361.7840000000005</v>
      </c>
      <c r="BZ95" s="13">
        <f>BY95*VLOOKUP('Données projet'!$B$12,Paramètres!$A$1:$I$89,3,0)*VLOOKUP('Données projet'!$B$12,Paramètres!$A$1:$I$89,5,0)</f>
        <v>349.91748480000052</v>
      </c>
      <c r="CA95" s="13">
        <f t="shared" si="93"/>
        <v>81.545520268260205</v>
      </c>
      <c r="CB95" s="20">
        <f t="shared" si="64"/>
        <v>751.4647338272207</v>
      </c>
      <c r="CC95" s="59">
        <f t="shared" si="65"/>
        <v>1026.4750358703325</v>
      </c>
      <c r="CD95" s="59">
        <f ca="1">AVERAGE(OFFSET($CC$3,0,0,'Données projet'!$E$12+1,1))-AVERAGE(OFFSET($H$3,0,0,'Données projet'!$E$12+1,1))</f>
        <v>722.05521609092671</v>
      </c>
      <c r="CE95" s="59">
        <f t="shared" si="94"/>
        <v>317.36319714884644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20.104949391930965</v>
      </c>
      <c r="CL95" s="21">
        <f>EXP(-LN(2)/25)*CL94+(1-EXP(-LN(2)/25))/(LN(2)/25)*Calculateur!CG95*Calculateur!CI95*VLOOKUP('Données projet'!$B$12,Paramètres!$A$1:$I$89,3,0)*0.475*44/12</f>
        <v>25.328568444770436</v>
      </c>
      <c r="CM95" s="21">
        <f>EXP(-LN(2)/2)*CM94+(1-EXP(-LN(2)/2))/(LN(2)/2)*CG95*CJ95*VLOOKUP('Données projet'!$B$12,Paramètres!$A$1:$I$89,3,0)*0.475*44/12</f>
        <v>0.39019322174758714</v>
      </c>
      <c r="CN95" s="22">
        <f t="shared" si="66"/>
        <v>45.823711058448986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9.1730000000000018</v>
      </c>
      <c r="CT95" s="12">
        <f>IF('Données projet'!$A$140&gt;35,CT94+CS95-DB94,IF(A95&lt;'Données projet'!$A$140,$CQ$205^A95,IF(A95='Données projet'!$A$140,'Données projet'!$B$140,CT94+CS95-DB94)))</f>
        <v>361.7840000000005</v>
      </c>
      <c r="CU95" s="17">
        <f>CT95*VLOOKUP('Données projet'!$B$13,Paramètres!$A$1:$I$89,3,0)*VLOOKUP('Données projet'!$B$13,Paramètres!$A$1:$I$89,5,0)</f>
        <v>389.4242976000005</v>
      </c>
      <c r="CV95" s="13">
        <f t="shared" si="95"/>
        <v>89.629271731639719</v>
      </c>
      <c r="CW95" s="20">
        <f t="shared" si="67"/>
        <v>834.3516332526068</v>
      </c>
      <c r="CX95" s="59">
        <f t="shared" si="68"/>
        <v>1109.3619352957185</v>
      </c>
      <c r="CY95" s="59">
        <f ca="1">AVERAGE(OFFSET($CX$3,0,0,'Données projet'!$E$13+1,1))-AVERAGE(OFFSET($H$3,0,0,'Données projet'!$E$13+1,1))</f>
        <v>792.94606354161886</v>
      </c>
      <c r="CZ95" s="59">
        <f t="shared" si="96"/>
        <v>346.14443498270919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22.374863032955425</v>
      </c>
      <c r="DG95" s="21">
        <f>EXP(-LN(2)/25)*DG94+(1-EXP(-LN(2)/25))/(LN(2)/25)*Calculateur!DB95*Calculateur!DD95*VLOOKUP('Données projet'!$B$13,Paramètres!$A$1:$I$89,3,0)*0.475*44/12</f>
        <v>28.188245527244511</v>
      </c>
      <c r="DH95" s="21">
        <f>EXP(-LN(2)/2)*DH94+(1-EXP(-LN(2)/2))/(LN(2)/2)*DB95*DE95*VLOOKUP('Données projet'!$B$13,Paramètres!$A$1:$I$89,3,0)*0.475*44/12</f>
        <v>0.43424729517070171</v>
      </c>
      <c r="DI95" s="22">
        <f t="shared" si="69"/>
        <v>50.997355855370635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1.7948717948717956</v>
      </c>
      <c r="DO95" s="12">
        <f>IF('Données projet'!$A$166&gt;35,DO94+DN95-DW94,IF(A95&lt;'Données projet'!$A$166,$DL$205^A95,IF(A95='Données projet'!$A$166,'Données projet'!$B$166,DO94+DN95-DW94)))</f>
        <v>134.99999999999994</v>
      </c>
      <c r="DP95" s="17">
        <f>DO95*VLOOKUP('Données projet'!$B$14,Paramètres!$A$1:$I$89,3,0)*VLOOKUP('Données projet'!$B$14,Paramètres!$A$1:$I$89,5,0)</f>
        <v>141.10199999999995</v>
      </c>
      <c r="DQ95" s="13">
        <f t="shared" si="97"/>
        <v>36.549342904663185</v>
      </c>
      <c r="DR95" s="20">
        <f t="shared" si="70"/>
        <v>309.4094222256216</v>
      </c>
      <c r="DS95" s="59">
        <f t="shared" si="71"/>
        <v>584.41972426873326</v>
      </c>
      <c r="DT95" s="59">
        <f ca="1">AVERAGE(OFFSET($DS$3,0,0,'Données projet'!$E$14+1,1))-AVERAGE(OFFSET($H$3,0,0,'Données projet'!$E$14+1,1))</f>
        <v>269.21114382490202</v>
      </c>
      <c r="DU95" s="59">
        <f t="shared" si="98"/>
        <v>233.07776944102309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1.7008151132583225</v>
      </c>
      <c r="EB95" s="21">
        <f>EXP(-LN(2)/25)*EB94+(1-EXP(-LN(2)/25))/(LN(2)/25)*Calculateur!DW95*Calculateur!DY95*VLOOKUP('Données projet'!$B$14,Paramètres!$A$1:$I$89,3,0)*0.475*44/12</f>
        <v>14.366747459545751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16.067562572804075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9.1730000000000018</v>
      </c>
      <c r="FE95" s="12">
        <f>IF('Données projet'!$A$218&gt;35,FE94+FD95-FM94,IF(A95&lt;'Données projet'!$A$218,$FB$205^A95,IF(A95='Données projet'!$A$218,'Données projet'!$B$218,FE94+FD95-FM94)))</f>
        <v>361.7840000000005</v>
      </c>
      <c r="FF95" s="17">
        <f>FE95*VLOOKUP('Données projet'!$B$16,Paramètres!$A$1:$I$89,3,0)*VLOOKUP('Données projet'!$B$16,Paramètres!$A$1:$I$89,5,0)</f>
        <v>411.99961920000055</v>
      </c>
      <c r="FG95" s="13">
        <f t="shared" si="101"/>
        <v>94.205203112633072</v>
      </c>
      <c r="FH95" s="20">
        <f t="shared" si="76"/>
        <v>881.64006552783678</v>
      </c>
      <c r="FI95" s="59">
        <f t="shared" si="77"/>
        <v>1156.6503675709484</v>
      </c>
      <c r="FJ95" s="59">
        <f ca="1">AVERAGE(OFFSET($FI$3,0,0,'Données projet'!$E$16+1,1))-AVERAGE(OFFSET($H$3,0,0,'Données projet'!$E$16+1,1))</f>
        <v>833.39050463936144</v>
      </c>
      <c r="FK95" s="59">
        <f t="shared" si="102"/>
        <v>362.56178526355507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23.671956542112266</v>
      </c>
      <c r="FR95" s="21">
        <f>EXP(-LN(2)/25)*FR94+(1-EXP(-LN(2)/25))/(LN(2)/25)*Calculateur!FM95*Calculateur!FO95*VLOOKUP('Données projet'!$B$16,Paramètres!$A$1:$I$89,3,0)*0.475*44/12</f>
        <v>29.822346717229713</v>
      </c>
      <c r="FS95" s="21">
        <f>EXP(-LN(2)/2)*FS94+(1-EXP(-LN(2)/2))/(LN(2)/2)*FM95*FP95*VLOOKUP('Données projet'!$B$16,Paramètres!$A$1:$I$89,3,0)*0.475*44/12</f>
        <v>0.45942105141248191</v>
      </c>
      <c r="FT95" s="22">
        <f t="shared" si="78"/>
        <v>53.95372431075446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996.79747663917988</v>
      </c>
      <c r="S96" s="59">
        <f ca="1">AVERAGE(OFFSET($R$3,0,0,'Données projet'!$E$9+1,1))-AVERAGE(OFFSET($H$3,0,0,'Données projet'!$E$9+1,1))</f>
        <v>681.47578137804555</v>
      </c>
      <c r="T96" s="59">
        <f t="shared" si="88"/>
        <v>300.88511065995885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376.15039800000056</v>
      </c>
      <c r="AK96" s="13">
        <f t="shared" si="89"/>
        <v>86.92436143722324</v>
      </c>
      <c r="AL96" s="20">
        <f t="shared" si="58"/>
        <v>806.52187268649811</v>
      </c>
      <c r="AM96" s="59">
        <f t="shared" si="59"/>
        <v>1081.8500383583341</v>
      </c>
      <c r="AN96" s="59">
        <f ca="1">AVERAGE(OFFSET($AM$3,0,0,'Données projet'!$E$10+1,1))-AVERAGE(OFFSET($H$3,0,0,'Données projet'!$E$10+1,1))</f>
        <v>752.45542076695506</v>
      </c>
      <c r="AO96" s="59">
        <f t="shared" si="90"/>
        <v>329.70629768420724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20.664447319606865</v>
      </c>
      <c r="AV96" s="21">
        <f>EXP(-LN(2)/25)*AV95+(1-EXP(-LN(2)/25))/(LN(2)/25)*Calculateur!AQ96*Calculateur!AS96*VLOOKUP('Données projet'!$B$10,Paramètres!$A$1:$I$89,3,0)*0.475*44/12</f>
        <v>25.828019863935218</v>
      </c>
      <c r="AW96" s="21">
        <f>EXP(-LN(2)/2)*AW95+(1-EXP(-LN(2)/2))/(LN(2)/2)*AQ96*AT96*VLOOKUP('Données projet'!$B$10,Paramètres!$A$1:$I$89,3,0)*0.475*44/12</f>
        <v>0.28925867338062</v>
      </c>
      <c r="AX96" s="21">
        <f t="shared" si="60"/>
        <v>46.781725856922705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353.0026812000005</v>
      </c>
      <c r="BF96" s="13">
        <f t="shared" si="91"/>
        <v>82.180486751981036</v>
      </c>
      <c r="BG96" s="20">
        <f t="shared" si="61"/>
        <v>757.94401751636781</v>
      </c>
      <c r="BH96" s="59">
        <f t="shared" si="62"/>
        <v>1033.2721831882038</v>
      </c>
      <c r="BI96" s="59">
        <f ca="1">AVERAGE(OFFSET($BH$3,0,0,'Données projet'!$E$11+1,1))-AVERAGE(OFFSET($H$3,0,0,'Données projet'!$E$11+1,1))</f>
        <v>711.91538686535682</v>
      </c>
      <c r="BJ96" s="59">
        <f t="shared" si="92"/>
        <v>313.24593837351722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19.39278902301567</v>
      </c>
      <c r="BQ96" s="21">
        <f>EXP(-LN(2)/25)*BQ95+(1-EXP(-LN(2)/25))/(LN(2)/25)*Calculateur!BL96*Calculateur!BN96*VLOOKUP('Données projet'!$B$11,Paramètres!$A$1:$I$89,3,0)*0.475*44/12</f>
        <v>24.238603256923813</v>
      </c>
      <c r="BR96" s="21">
        <f>EXP(-LN(2)/2)*BR95+(1-EXP(-LN(2)/2))/(LN(2)/2)*BL96*BO96*VLOOKUP('Données projet'!$B$11,Paramètres!$A$1:$I$89,3,0)*0.475*44/12</f>
        <v>0.27145813963412024</v>
      </c>
      <c r="BS96" s="22">
        <f t="shared" si="63"/>
        <v>43.902850419573603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9.1730000000000018</v>
      </c>
      <c r="BY96" s="12">
        <f>IF('Données projet'!$A$114&gt;35,BY95+BX96-CG95,IF(A96&lt;'Données projet'!$A$114,$BV$205^A96,IF(A96='Données projet'!$A$114,'Données projet'!$B$114,BY95+BX96-CG95)))</f>
        <v>370.95700000000051</v>
      </c>
      <c r="BZ96" s="13">
        <f>BY96*VLOOKUP('Données projet'!$B$12,Paramètres!$A$1:$I$89,3,0)*VLOOKUP('Données projet'!$B$12,Paramètres!$A$1:$I$89,5,0)</f>
        <v>358.78961040000047</v>
      </c>
      <c r="CA96" s="13">
        <f t="shared" si="93"/>
        <v>83.369762417145594</v>
      </c>
      <c r="CB96" s="20">
        <f t="shared" si="64"/>
        <v>770.09424098986267</v>
      </c>
      <c r="CC96" s="59">
        <f t="shared" si="65"/>
        <v>1045.4224066616987</v>
      </c>
      <c r="CD96" s="59">
        <f ca="1">AVERAGE(OFFSET($CC$3,0,0,'Données projet'!$E$12+1,1))-AVERAGE(OFFSET($H$3,0,0,'Données projet'!$E$12+1,1))</f>
        <v>722.05521609092671</v>
      </c>
      <c r="CE96" s="59">
        <f t="shared" si="94"/>
        <v>317.36319714884644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19.710703597163477</v>
      </c>
      <c r="CL96" s="21">
        <f>EXP(-LN(2)/25)*CL95+(1-EXP(-LN(2)/25))/(LN(2)/25)*Calculateur!CG96*Calculateur!CI96*VLOOKUP('Données projet'!$B$12,Paramètres!$A$1:$I$89,3,0)*0.475*44/12</f>
        <v>24.635957408676664</v>
      </c>
      <c r="CM96" s="21">
        <f>EXP(-LN(2)/2)*CM95+(1-EXP(-LN(2)/2))/(LN(2)/2)*CG96*CJ96*VLOOKUP('Données projet'!$B$12,Paramètres!$A$1:$I$89,3,0)*0.475*44/12</f>
        <v>0.27590827307074511</v>
      </c>
      <c r="CN96" s="22">
        <f t="shared" si="66"/>
        <v>44.622569278910888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9.1730000000000018</v>
      </c>
      <c r="CT96" s="12">
        <f>IF('Données projet'!$A$140&gt;35,CT95+CS96-DB95,IF(A96&lt;'Données projet'!$A$140,$CQ$205^A96,IF(A96='Données projet'!$A$140,'Données projet'!$B$140,CT95+CS96-DB95)))</f>
        <v>370.95700000000051</v>
      </c>
      <c r="CU96" s="17">
        <f>CT96*VLOOKUP('Données projet'!$B$13,Paramètres!$A$1:$I$89,3,0)*VLOOKUP('Données projet'!$B$13,Paramètres!$A$1:$I$89,5,0)</f>
        <v>399.29811480000052</v>
      </c>
      <c r="CV96" s="13">
        <f t="shared" si="95"/>
        <v>91.6343542270222</v>
      </c>
      <c r="CW96" s="20">
        <f t="shared" si="67"/>
        <v>855.04071688873125</v>
      </c>
      <c r="CX96" s="59">
        <f t="shared" si="68"/>
        <v>1130.3688825605673</v>
      </c>
      <c r="CY96" s="59">
        <f ca="1">AVERAGE(OFFSET($CX$3,0,0,'Données projet'!$E$13+1,1))-AVERAGE(OFFSET($H$3,0,0,'Données projet'!$E$13+1,1))</f>
        <v>792.94606354161886</v>
      </c>
      <c r="CZ96" s="59">
        <f t="shared" si="96"/>
        <v>346.14443498270919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21.936105616198059</v>
      </c>
      <c r="DG96" s="21">
        <f>EXP(-LN(2)/25)*DG95+(1-EXP(-LN(2)/25))/(LN(2)/25)*Calculateur!DB96*Calculateur!DD96*VLOOKUP('Données projet'!$B$13,Paramètres!$A$1:$I$89,3,0)*0.475*44/12</f>
        <v>27.417436470946605</v>
      </c>
      <c r="DH96" s="21">
        <f>EXP(-LN(2)/2)*DH95+(1-EXP(-LN(2)/2))/(LN(2)/2)*DB96*DE96*VLOOKUP('Données projet'!$B$13,Paramètres!$A$1:$I$89,3,0)*0.475*44/12</f>
        <v>0.30705920712711948</v>
      </c>
      <c r="DI96" s="22">
        <f t="shared" si="69"/>
        <v>49.660601294271778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1.7948717948717956</v>
      </c>
      <c r="DO96" s="12">
        <f>IF('Données projet'!$A$166&gt;35,DO95+DN96-DW95,IF(A96&lt;'Données projet'!$A$166,$DL$205^A96,IF(A96='Données projet'!$A$166,'Données projet'!$B$166,DO95+DN96-DW95)))</f>
        <v>136.79487179487174</v>
      </c>
      <c r="DP96" s="17">
        <f>DO96*VLOOKUP('Données projet'!$B$14,Paramètres!$A$1:$I$89,3,0)*VLOOKUP('Données projet'!$B$14,Paramètres!$A$1:$I$89,5,0)</f>
        <v>142.97799999999995</v>
      </c>
      <c r="DQ96" s="13">
        <f t="shared" si="97"/>
        <v>36.978385503948552</v>
      </c>
      <c r="DR96" s="20">
        <f t="shared" si="70"/>
        <v>313.42403808604359</v>
      </c>
      <c r="DS96" s="59">
        <f t="shared" si="71"/>
        <v>588.75220375787956</v>
      </c>
      <c r="DT96" s="59">
        <f ca="1">AVERAGE(OFFSET($DS$3,0,0,'Données projet'!$E$14+1,1))-AVERAGE(OFFSET($H$3,0,0,'Données projet'!$E$14+1,1))</f>
        <v>269.21114382490202</v>
      </c>
      <c r="DU96" s="59">
        <f t="shared" si="98"/>
        <v>233.07776944102309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1.6674631662821116</v>
      </c>
      <c r="EB96" s="21">
        <f>EXP(-LN(2)/25)*EB95+(1-EXP(-LN(2)/25))/(LN(2)/25)*Calculateur!DW96*Calculateur!DY96*VLOOKUP('Données projet'!$B$14,Paramètres!$A$1:$I$89,3,0)*0.475*44/12</f>
        <v>13.97388799475006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15.641351161032171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9.1730000000000018</v>
      </c>
      <c r="FE96" s="12">
        <f>IF('Données projet'!$A$218&gt;35,FE95+FD96-FM95,IF(A96&lt;'Données projet'!$A$218,$FB$205^A96,IF(A96='Données projet'!$A$218,'Données projet'!$B$218,FE95+FD96-FM95)))</f>
        <v>370.95700000000051</v>
      </c>
      <c r="FF96" s="17">
        <f>FE96*VLOOKUP('Données projet'!$B$16,Paramètres!$A$1:$I$89,3,0)*VLOOKUP('Données projet'!$B$16,Paramètres!$A$1:$I$89,5,0)</f>
        <v>422.44583160000053</v>
      </c>
      <c r="FG96" s="13">
        <f t="shared" si="101"/>
        <v>96.312653057118339</v>
      </c>
      <c r="FH96" s="20">
        <f t="shared" si="76"/>
        <v>903.50436077781535</v>
      </c>
      <c r="FI96" s="59">
        <f t="shared" si="77"/>
        <v>1178.8325264496514</v>
      </c>
      <c r="FJ96" s="59">
        <f ca="1">AVERAGE(OFFSET($FI$3,0,0,'Données projet'!$E$16+1,1))-AVERAGE(OFFSET($H$3,0,0,'Données projet'!$E$16+1,1))</f>
        <v>833.39050463936144</v>
      </c>
      <c r="FK96" s="59">
        <f t="shared" si="102"/>
        <v>362.56178526355507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23.207763912789254</v>
      </c>
      <c r="FR96" s="21">
        <f>EXP(-LN(2)/25)*FR95+(1-EXP(-LN(2)/25))/(LN(2)/25)*Calculateur!FM96*Calculateur!FO96*VLOOKUP('Données projet'!$B$16,Paramètres!$A$1:$I$89,3,0)*0.475*44/12</f>
        <v>29.006853077958013</v>
      </c>
      <c r="FS96" s="21">
        <f>EXP(-LN(2)/2)*FS95+(1-EXP(-LN(2)/2))/(LN(2)/2)*FM96*FP96*VLOOKUP('Données projet'!$B$16,Paramètres!$A$1:$I$89,3,0)*0.475*44/12</f>
        <v>0.32485974087361946</v>
      </c>
      <c r="FT96" s="22">
        <f t="shared" si="78"/>
        <v>52.539476731620887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1014.5519821439257</v>
      </c>
      <c r="S97" s="59">
        <f ca="1">AVERAGE(OFFSET($R$3,0,0,'Données projet'!$E$9+1,1))-AVERAGE(OFFSET($H$3,0,0,'Données projet'!$E$9+1,1))</f>
        <v>681.47578137804555</v>
      </c>
      <c r="T97" s="59">
        <f t="shared" si="88"/>
        <v>300.88511065995885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385.45182000000051</v>
      </c>
      <c r="AK97" s="13">
        <f t="shared" si="89"/>
        <v>88.820915611280114</v>
      </c>
      <c r="AL97" s="20">
        <f t="shared" si="58"/>
        <v>826.02501452298031</v>
      </c>
      <c r="AM97" s="59">
        <f t="shared" si="59"/>
        <v>1101.6655296002189</v>
      </c>
      <c r="AN97" s="59">
        <f ca="1">AVERAGE(OFFSET($AM$3,0,0,'Données projet'!$E$10+1,1))-AVERAGE(OFFSET($H$3,0,0,'Données projet'!$E$10+1,1))</f>
        <v>752.45542076695506</v>
      </c>
      <c r="AO97" s="59">
        <f t="shared" si="90"/>
        <v>329.70629768420724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31.62134471313977</v>
      </c>
      <c r="AV97" s="21">
        <f>EXP(-LN(2)/25)*AV96+(1-EXP(-LN(2)/25))/(LN(2)/25)*Calculateur!AQ97*Calculateur!AS97*VLOOKUP('Données projet'!$B$10,Paramètres!$A$1:$I$89,3,0)*0.475*44/12</f>
        <v>31.588824232182965</v>
      </c>
      <c r="AW97" s="21">
        <f>EXP(-LN(2)/2)*AW96+(1-EXP(-LN(2)/2))/(LN(2)/2)*AQ97*AT97*VLOOKUP('Données projet'!$B$10,Paramètres!$A$1:$I$89,3,0)*0.475*44/12</f>
        <v>6.6481556921098957</v>
      </c>
      <c r="AX97" s="21">
        <f t="shared" si="60"/>
        <v>69.858324637432631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361.73170800000048</v>
      </c>
      <c r="BF97" s="13">
        <f t="shared" si="91"/>
        <v>83.973536969416998</v>
      </c>
      <c r="BG97" s="20">
        <f t="shared" si="61"/>
        <v>776.26996832173552</v>
      </c>
      <c r="BH97" s="59">
        <f t="shared" si="62"/>
        <v>1051.9104833989741</v>
      </c>
      <c r="BI97" s="59">
        <f ca="1">AVERAGE(OFFSET($BH$3,0,0,'Données projet'!$E$11+1,1))-AVERAGE(OFFSET($H$3,0,0,'Données projet'!$E$11+1,1))</f>
        <v>711.91538686535682</v>
      </c>
      <c r="BJ97" s="59">
        <f t="shared" si="92"/>
        <v>313.24593837351722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29.67541580771578</v>
      </c>
      <c r="BQ97" s="21">
        <f>EXP(-LN(2)/25)*BQ96+(1-EXP(-LN(2)/25))/(LN(2)/25)*Calculateur!BL97*Calculateur!BN97*VLOOKUP('Données projet'!$B$11,Paramètres!$A$1:$I$89,3,0)*0.475*44/12</f>
        <v>29.644896587125547</v>
      </c>
      <c r="BR97" s="21">
        <f>EXP(-LN(2)/2)*BR96+(1-EXP(-LN(2)/2))/(LN(2)/2)*BL97*BO97*VLOOKUP('Données projet'!$B$11,Paramètres!$A$1:$I$89,3,0)*0.475*44/12</f>
        <v>6.2390384187492867</v>
      </c>
      <c r="BS97" s="22">
        <f t="shared" si="63"/>
        <v>65.559350813590612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9.1730000000000018</v>
      </c>
      <c r="BX97" s="12">
        <f t="array" ref="BX97">INDEX(BW:BW,MIN(IF(ISNUMBER(BW97:BW293),ROW(BW97:BW293),"")))</f>
        <v>9.1730000000000018</v>
      </c>
      <c r="BY97" s="12">
        <f>IF('Données projet'!$A$114&gt;35,BY96+BX97-CG96,IF(A97&lt;'Données projet'!$A$114,$BV$205^A97,IF(A97='Données projet'!$A$114,'Données projet'!$B$114,BY96+BX97-CG96)))</f>
        <v>380.13000000000051</v>
      </c>
      <c r="BZ97" s="13">
        <f>BY97*VLOOKUP('Données projet'!$B$12,Paramètres!$A$1:$I$89,3,0)*VLOOKUP('Données projet'!$B$12,Paramètres!$A$1:$I$89,5,0)</f>
        <v>367.66173600000047</v>
      </c>
      <c r="CA97" s="13">
        <f t="shared" si="93"/>
        <v>85.188760777191661</v>
      </c>
      <c r="CB97" s="20">
        <f t="shared" si="64"/>
        <v>788.7146152202763</v>
      </c>
      <c r="CC97" s="59">
        <f t="shared" si="65"/>
        <v>1064.3551302975147</v>
      </c>
      <c r="CD97" s="59">
        <f ca="1">AVERAGE(OFFSET($CC$3,0,0,'Données projet'!$E$12+1,1))-AVERAGE(OFFSET($H$3,0,0,'Données projet'!$E$12+1,1))</f>
        <v>722.05521609092671</v>
      </c>
      <c r="CE97" s="59">
        <f t="shared" si="94"/>
        <v>317.36319714884644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67.350000000000023</v>
      </c>
      <c r="CH97" s="16">
        <f>IF(ISNA(VLOOKUP(A97,'Données projet'!$A$113:$I$133,5,0)),0%,VLOOKUP(A97,'Données projet'!$A$113:$I$133,5,0)*VLOOKUP('Données projet'!$B$12,Paramètres!$A$1:$I$89,7,0))</f>
        <v>0.15049999999999999</v>
      </c>
      <c r="CI97" s="16">
        <f>IF(ISNA(VLOOKUP(A97,'Données projet'!$A$113:$I$133,6,0)),0%,VLOOKUP(A97,'Données projet'!$A$113:$I$133,6,0)*VLOOKUP('Données projet'!$B$12,Paramètres!$A$1:$I$89,7,0))</f>
        <v>8.6000000000000007E-2</v>
      </c>
      <c r="CJ97" s="16">
        <f>IF(ISNA(VLOOKUP(A97,'Données projet'!$A$113:$I$133,7,0)),0%,VLOOKUP(A97,'Données projet'!$A$113:$I$133,7,0))</f>
        <v>0.1</v>
      </c>
      <c r="CK97" s="21">
        <f>EXP(-LN(2)/35)*CK96+(1-EXP(-LN(2)/35))/(LN(2)/35)*CG97*CH97*VLOOKUP('Données projet'!$B$12,Paramètres!$A$1:$I$89,3,0)*0.475*44/12</f>
        <v>30.161898034071783</v>
      </c>
      <c r="CL97" s="21">
        <f>EXP(-LN(2)/25)*CL96+(1-EXP(-LN(2)/25))/(LN(2)/25)*Calculateur!CG97*Calculateur!CI97*VLOOKUP('Données projet'!$B$12,Paramètres!$A$1:$I$89,3,0)*0.475*44/12</f>
        <v>30.130878498389901</v>
      </c>
      <c r="CM97" s="21">
        <f>EXP(-LN(2)/2)*CM96+(1-EXP(-LN(2)/2))/(LN(2)/2)*CG97*CJ97*VLOOKUP('Données projet'!$B$12,Paramètres!$A$1:$I$89,3,0)*0.475*44/12</f>
        <v>6.3413177370894376</v>
      </c>
      <c r="CN97" s="22">
        <f t="shared" si="66"/>
        <v>66.634094269551127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380.13</v>
      </c>
      <c r="CR97" s="12">
        <f>VLOOKUP(A97,'Données projet'!$A$139:$I$159,9,0)</f>
        <v>9.1730000000000018</v>
      </c>
      <c r="CS97" s="12">
        <f t="array" ref="CS97">INDEX(CR:CR,MIN(IF(ISNUMBER(CR97:CR293),ROW(CR97:CR293),"")))</f>
        <v>9.1730000000000018</v>
      </c>
      <c r="CT97" s="12">
        <f>IF('Données projet'!$A$140&gt;35,CT96+CS97-DB96,IF(A97&lt;'Données projet'!$A$140,$CQ$205^A97,IF(A97='Données projet'!$A$140,'Données projet'!$B$140,CT96+CS97-DB96)))</f>
        <v>380.13000000000051</v>
      </c>
      <c r="CU97" s="17">
        <f>CT97*VLOOKUP('Données projet'!$B$13,Paramètres!$A$1:$I$89,3,0)*VLOOKUP('Données projet'!$B$13,Paramètres!$A$1:$I$89,5,0)</f>
        <v>409.17193200000054</v>
      </c>
      <c r="CV97" s="13">
        <f t="shared" si="95"/>
        <v>93.633673107515506</v>
      </c>
      <c r="CW97" s="20">
        <f t="shared" si="67"/>
        <v>875.71976222892374</v>
      </c>
      <c r="CX97" s="59">
        <f t="shared" si="68"/>
        <v>1151.3602773061623</v>
      </c>
      <c r="CY97" s="59">
        <f ca="1">AVERAGE(OFFSET($CX$3,0,0,'Données projet'!$E$13+1,1))-AVERAGE(OFFSET($H$3,0,0,'Données projet'!$E$13+1,1))</f>
        <v>792.94606354161886</v>
      </c>
      <c r="CZ97" s="59">
        <f t="shared" si="96"/>
        <v>346.14443498270919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67.350000000000023</v>
      </c>
      <c r="DC97" s="16">
        <f>IF(ISNA(VLOOKUP(A97,'Données projet'!$A$139:$I$159,5,0)),0%,VLOOKUP(A97,'Données projet'!$A$139:$I$159,5,0)*VLOOKUP('Données projet'!$B$13,Paramètres!$A$1:$I$89,7,0))</f>
        <v>0.15049999999999999</v>
      </c>
      <c r="DD97" s="16">
        <f>IF(ISNA(VLOOKUP(A97,'Données projet'!$A$139:$I$159,6,0)),0%,VLOOKUP(A97,'Données projet'!$A$139:$I$159,6,0)*VLOOKUP('Données projet'!$B$13,Paramètres!$A$1:$I$89,7,0))</f>
        <v>8.6000000000000007E-2</v>
      </c>
      <c r="DE97" s="16">
        <f>IF(ISNA(VLOOKUP(A97,'Données projet'!$A$139:$I$159,7,0)),0%,VLOOKUP(A97,'Données projet'!$A$139:$I$159,7,0))</f>
        <v>0.1</v>
      </c>
      <c r="DF97" s="21">
        <f>EXP(-LN(2)/35)*DF96+(1-EXP(-LN(2)/35))/(LN(2)/35)*DB97*DC97*VLOOKUP('Données projet'!$B$13,Paramètres!$A$1:$I$89,3,0)*0.475*44/12</f>
        <v>33.567273618563753</v>
      </c>
      <c r="DG97" s="21">
        <f>EXP(-LN(2)/25)*DG96+(1-EXP(-LN(2)/25))/(LN(2)/25)*Calculateur!DB97*Calculateur!DD97*VLOOKUP('Données projet'!$B$13,Paramètres!$A$1:$I$89,3,0)*0.475*44/12</f>
        <v>33.532751877240372</v>
      </c>
      <c r="DH97" s="21">
        <f>EXP(-LN(2)/2)*DH96+(1-EXP(-LN(2)/2))/(LN(2)/2)*DB97*DE97*VLOOKUP('Données projet'!$B$13,Paramètres!$A$1:$I$89,3,0)*0.475*44/12</f>
        <v>7.0572729654705029</v>
      </c>
      <c r="DI97" s="22">
        <f t="shared" si="69"/>
        <v>74.157298461274621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1.7948717948717956</v>
      </c>
      <c r="DO97" s="12">
        <f>IF('Données projet'!$A$166&gt;35,DO96+DN97-DW96,IF(A97&lt;'Données projet'!$A$166,$DL$205^A97,IF(A97='Données projet'!$A$166,'Données projet'!$B$166,DO96+DN97-DW96)))</f>
        <v>138.58974358974353</v>
      </c>
      <c r="DP97" s="17">
        <f>DO97*VLOOKUP('Données projet'!$B$14,Paramètres!$A$1:$I$89,3,0)*VLOOKUP('Données projet'!$B$14,Paramètres!$A$1:$I$89,5,0)</f>
        <v>144.85399999999996</v>
      </c>
      <c r="DQ97" s="13">
        <f t="shared" si="97"/>
        <v>37.406773318436002</v>
      </c>
      <c r="DR97" s="20">
        <f t="shared" si="70"/>
        <v>317.43751352960925</v>
      </c>
      <c r="DS97" s="59">
        <f t="shared" si="71"/>
        <v>593.07802860684774</v>
      </c>
      <c r="DT97" s="59">
        <f ca="1">AVERAGE(OFFSET($DS$3,0,0,'Données projet'!$E$14+1,1))-AVERAGE(OFFSET($H$3,0,0,'Données projet'!$E$14+1,1))</f>
        <v>269.21114382490202</v>
      </c>
      <c r="DU97" s="59">
        <f t="shared" si="98"/>
        <v>233.07776944102309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1.6347652306434253</v>
      </c>
      <c r="EB97" s="21">
        <f>EXP(-LN(2)/25)*EB96+(1-EXP(-LN(2)/25))/(LN(2)/25)*Calculateur!DW97*Calculateur!DY97*VLOOKUP('Données projet'!$B$14,Paramètres!$A$1:$I$89,3,0)*0.475*44/12</f>
        <v>13.591771292678787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15.226536523322213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>
        <f>VLOOKUP(A97,'Données projet'!$A$217:$I$237,2,0)</f>
        <v>380.13</v>
      </c>
      <c r="FC97" s="12">
        <f>VLOOKUP(A97,'Données projet'!$A$217:$I$237,9,0)</f>
        <v>9.1730000000000018</v>
      </c>
      <c r="FD97" s="12">
        <f t="array" ref="FD97">INDEX(FC:FC,MIN(IF(ISNUMBER(FC97:FC293),ROW(FC97:FC293),"")))</f>
        <v>9.1730000000000018</v>
      </c>
      <c r="FE97" s="12">
        <f>IF('Données projet'!$A$218&gt;35,FE96+FD97-FM96,IF(A97&lt;'Données projet'!$A$218,$FB$205^A97,IF(A97='Données projet'!$A$218,'Données projet'!$B$218,FE96+FD97-FM96)))</f>
        <v>380.13000000000051</v>
      </c>
      <c r="FF97" s="17">
        <f>FE97*VLOOKUP('Données projet'!$B$16,Paramètres!$A$1:$I$89,3,0)*VLOOKUP('Données projet'!$B$16,Paramètres!$A$1:$I$89,5,0)</f>
        <v>432.89204400000057</v>
      </c>
      <c r="FG97" s="13">
        <f t="shared" si="101"/>
        <v>98.414045131213555</v>
      </c>
      <c r="FH97" s="20">
        <f t="shared" si="76"/>
        <v>925.3581052368645</v>
      </c>
      <c r="FI97" s="59">
        <f t="shared" si="77"/>
        <v>1200.9986203141029</v>
      </c>
      <c r="FJ97" s="59">
        <f ca="1">AVERAGE(OFFSET($FI$3,0,0,'Données projet'!$E$16+1,1))-AVERAGE(OFFSET($H$3,0,0,'Données projet'!$E$16+1,1))</f>
        <v>833.39050463936144</v>
      </c>
      <c r="FK97" s="59">
        <f t="shared" si="102"/>
        <v>362.56178526355507</v>
      </c>
      <c r="FL97" s="15">
        <f>IF(ISNA(VLOOKUP(A97,'Données projet'!$A$217:$I$237,3,0)),0,VLOOKUP(A97,'Données projet'!$A$217:$I$237,3,0))</f>
        <v>7</v>
      </c>
      <c r="FM97" s="15">
        <f>IF(ISNA(VLOOKUP(A97,'Données projet'!$A$217:$I$237,4,0)),0,VLOOKUP(A97,'Données projet'!$A$217:$I$237,4,0))</f>
        <v>67.350000000000023</v>
      </c>
      <c r="FN97" s="16">
        <f>IF(ISNA(VLOOKUP(A97,'Données projet'!$A$217:$I$237,5,0)),0%,VLOOKUP(A97,'Données projet'!$A$217:$I$237,5,0)*VLOOKUP('Données projet'!$B$16,Paramètres!$A$1:$I$89,7,0))</f>
        <v>0.15049999999999999</v>
      </c>
      <c r="FO97" s="16">
        <f>IF(ISNA(VLOOKUP(A97,'Données projet'!$A$217:$I$237,6,0)),0%,VLOOKUP(A97,'Données projet'!$A$217:$I$237,6,0)*VLOOKUP('Données projet'!$B$16,Paramètres!$A$1:$I$89,7,0))</f>
        <v>8.6000000000000007E-2</v>
      </c>
      <c r="FP97" s="16">
        <f>IF(ISNA(VLOOKUP(A97,'Données projet'!$A$217:$I$237,7,0)),0%,VLOOKUP(A97,'Données projet'!$A$217:$I$237,7,0))</f>
        <v>0.1</v>
      </c>
      <c r="FQ97" s="21">
        <f>EXP(-LN(2)/35)*FQ96+(1-EXP(-LN(2)/35))/(LN(2)/35)*FM97*FN97*VLOOKUP('Données projet'!$B$16,Paramètres!$A$1:$I$89,3,0)*0.475*44/12</f>
        <v>35.513202523987744</v>
      </c>
      <c r="FR97" s="21">
        <f>EXP(-LN(2)/25)*FR96+(1-EXP(-LN(2)/25))/(LN(2)/25)*Calculateur!FM97*Calculateur!FO97*VLOOKUP('Données projet'!$B$16,Paramètres!$A$1:$I$89,3,0)*0.475*44/12</f>
        <v>35.476679522297793</v>
      </c>
      <c r="FS97" s="21">
        <f>EXP(-LN(2)/2)*FS96+(1-EXP(-LN(2)/2))/(LN(2)/2)*FM97*FP97*VLOOKUP('Données projet'!$B$16,Paramètres!$A$1:$I$89,3,0)*0.475*44/12</f>
        <v>7.4663902388311127</v>
      </c>
      <c r="FT97" s="22">
        <f t="shared" si="78"/>
        <v>78.456272285116654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903.64453264415488</v>
      </c>
      <c r="S98" s="59">
        <f ca="1">AVERAGE(OFFSET($R$3,0,0,'Données projet'!$E$9+1,1))-AVERAGE(OFFSET($H$3,0,0,'Données projet'!$E$9+1,1))</f>
        <v>681.47578137804555</v>
      </c>
      <c r="T98" s="59">
        <f t="shared" si="88"/>
        <v>300.88511065995885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326.22610800000052</v>
      </c>
      <c r="AK98" s="13">
        <f t="shared" si="89"/>
        <v>76.647360081996098</v>
      </c>
      <c r="AL98" s="20">
        <f t="shared" si="58"/>
        <v>701.67129024281076</v>
      </c>
      <c r="AM98" s="59">
        <f t="shared" si="59"/>
        <v>977.61873616157663</v>
      </c>
      <c r="AN98" s="59">
        <f ca="1">AVERAGE(OFFSET($AM$3,0,0,'Données projet'!$E$10+1,1))-AVERAGE(OFFSET($H$3,0,0,'Données projet'!$E$10+1,1))</f>
        <v>752.45542076695506</v>
      </c>
      <c r="AO98" s="59">
        <f t="shared" si="90"/>
        <v>329.70629768420724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31.001269430430931</v>
      </c>
      <c r="AV98" s="21">
        <f>EXP(-LN(2)/25)*AV97+(1-EXP(-LN(2)/25))/(LN(2)/25)*Calculateur!AQ98*Calculateur!AS98*VLOOKUP('Données projet'!$B$10,Paramètres!$A$1:$I$89,3,0)*0.475*44/12</f>
        <v>30.725026172369851</v>
      </c>
      <c r="AW98" s="21">
        <f>EXP(-LN(2)/2)*AW97+(1-EXP(-LN(2)/2))/(LN(2)/2)*AQ98*AT98*VLOOKUP('Données projet'!$B$10,Paramètres!$A$1:$I$89,3,0)*0.475*44/12</f>
        <v>4.7009559722748531</v>
      </c>
      <c r="AX98" s="21">
        <f t="shared" si="60"/>
        <v>66.42725157507563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306.15065520000047</v>
      </c>
      <c r="BF98" s="13">
        <f t="shared" si="91"/>
        <v>72.464350104451199</v>
      </c>
      <c r="BG98" s="20">
        <f t="shared" si="61"/>
        <v>659.42113423858666</v>
      </c>
      <c r="BH98" s="59">
        <f t="shared" si="62"/>
        <v>935.36858015735265</v>
      </c>
      <c r="BI98" s="59">
        <f ca="1">AVERAGE(OFFSET($BH$3,0,0,'Données projet'!$E$11+1,1))-AVERAGE(OFFSET($H$3,0,0,'Données projet'!$E$11+1,1))</f>
        <v>711.91538686535682</v>
      </c>
      <c r="BJ98" s="59">
        <f t="shared" si="92"/>
        <v>313.24593837351722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29.093499003942867</v>
      </c>
      <c r="BQ98" s="21">
        <f>EXP(-LN(2)/25)*BQ97+(1-EXP(-LN(2)/25))/(LN(2)/25)*Calculateur!BL98*Calculateur!BN98*VLOOKUP('Données projet'!$B$11,Paramètres!$A$1:$I$89,3,0)*0.475*44/12</f>
        <v>28.834255330993241</v>
      </c>
      <c r="BR98" s="21">
        <f>EXP(-LN(2)/2)*BR97+(1-EXP(-LN(2)/2))/(LN(2)/2)*BL98*BO98*VLOOKUP('Données projet'!$B$11,Paramètres!$A$1:$I$89,3,0)*0.475*44/12</f>
        <v>4.4116663739810154</v>
      </c>
      <c r="BS98" s="22">
        <f t="shared" si="63"/>
        <v>62.339420708917125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8.9420000000000019</v>
      </c>
      <c r="BY98" s="12">
        <f>IF('Données projet'!$A$114&gt;35,BY97+BX98-CG97,IF(A98&lt;'Données projet'!$A$114,$BV$205^A98,IF(A98='Données projet'!$A$114,'Données projet'!$B$114,BY97+BX98-CG97)))</f>
        <v>321.72200000000049</v>
      </c>
      <c r="BZ98" s="13">
        <f>BY98*VLOOKUP('Données projet'!$B$12,Paramètres!$A$1:$I$89,3,0)*VLOOKUP('Données projet'!$B$12,Paramètres!$A$1:$I$89,5,0)</f>
        <v>311.16951840000047</v>
      </c>
      <c r="CA98" s="13">
        <f t="shared" si="93"/>
        <v>73.51301860931504</v>
      </c>
      <c r="CB98" s="20">
        <f t="shared" si="64"/>
        <v>669.98875195789117</v>
      </c>
      <c r="CC98" s="59">
        <f t="shared" si="65"/>
        <v>945.93619787665716</v>
      </c>
      <c r="CD98" s="59">
        <f ca="1">AVERAGE(OFFSET($CC$3,0,0,'Données projet'!$E$12+1,1))-AVERAGE(OFFSET($H$3,0,0,'Données projet'!$E$12+1,1))</f>
        <v>722.05521609092671</v>
      </c>
      <c r="CE98" s="59">
        <f t="shared" si="94"/>
        <v>317.36319714884644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29.570441610564888</v>
      </c>
      <c r="CL98" s="21">
        <f>EXP(-LN(2)/25)*CL97+(1-EXP(-LN(2)/25))/(LN(2)/25)*Calculateur!CG98*Calculateur!CI98*VLOOKUP('Données projet'!$B$12,Paramètres!$A$1:$I$89,3,0)*0.475*44/12</f>
        <v>29.306948041337392</v>
      </c>
      <c r="CM98" s="21">
        <f>EXP(-LN(2)/2)*CM97+(1-EXP(-LN(2)/2))/(LN(2)/2)*CG98*CJ98*VLOOKUP('Données projet'!$B$12,Paramètres!$A$1:$I$89,3,0)*0.475*44/12</f>
        <v>4.4839887735544739</v>
      </c>
      <c r="CN98" s="22">
        <f t="shared" si="66"/>
        <v>63.361378425456749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8.9420000000000019</v>
      </c>
      <c r="CT98" s="12">
        <f>IF('Données projet'!$A$140&gt;35,CT97+CS98-DB97,IF(A98&lt;'Données projet'!$A$140,$CQ$205^A98,IF(A98='Données projet'!$A$140,'Données projet'!$B$140,CT97+CS98-DB97)))</f>
        <v>321.72200000000049</v>
      </c>
      <c r="CU98" s="17">
        <f>CT98*VLOOKUP('Données projet'!$B$13,Paramètres!$A$1:$I$89,3,0)*VLOOKUP('Données projet'!$B$13,Paramètres!$A$1:$I$89,5,0)</f>
        <v>346.30156080000052</v>
      </c>
      <c r="CV98" s="13">
        <f t="shared" si="95"/>
        <v>80.800493994910113</v>
      </c>
      <c r="CW98" s="20">
        <f t="shared" si="67"/>
        <v>743.86941210113582</v>
      </c>
      <c r="CX98" s="59">
        <f t="shared" si="68"/>
        <v>1019.8168580199017</v>
      </c>
      <c r="CY98" s="59">
        <f ca="1">AVERAGE(OFFSET($CX$3,0,0,'Données projet'!$E$13+1,1))-AVERAGE(OFFSET($H$3,0,0,'Données projet'!$E$13+1,1))</f>
        <v>792.94606354161886</v>
      </c>
      <c r="CZ98" s="59">
        <f t="shared" si="96"/>
        <v>346.14443498270919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32.909039856918987</v>
      </c>
      <c r="DG98" s="21">
        <f>EXP(-LN(2)/25)*DG97+(1-EXP(-LN(2)/25))/(LN(2)/25)*Calculateur!DB98*Calculateur!DD98*VLOOKUP('Données projet'!$B$13,Paramètres!$A$1:$I$89,3,0)*0.475*44/12</f>
        <v>32.615797013746452</v>
      </c>
      <c r="DH98" s="21">
        <f>EXP(-LN(2)/2)*DH97+(1-EXP(-LN(2)/2))/(LN(2)/2)*DB98*DE98*VLOOKUP('Données projet'!$B$13,Paramètres!$A$1:$I$89,3,0)*0.475*44/12</f>
        <v>4.990245570568689</v>
      </c>
      <c r="DI98" s="22">
        <f t="shared" si="69"/>
        <v>70.515082441234128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140.38461538461539</v>
      </c>
      <c r="DM98" s="12">
        <f>VLOOKUP(A98,'Données projet'!$A$165:$I$185,9,0)</f>
        <v>1.7948717948717956</v>
      </c>
      <c r="DN98" s="12">
        <f t="array" ref="DN98">INDEX(DM:DM,MIN(IF(ISNUMBER(DM98:DM294),ROW(DM98:DM294),"")))</f>
        <v>1.7948717948717956</v>
      </c>
      <c r="DO98" s="12">
        <f>IF('Données projet'!$A$166&gt;35,DO97+DN98-DW97,IF(A98&lt;'Données projet'!$A$166,$DL$205^A98,IF(A98='Données projet'!$A$166,'Données projet'!$B$166,DO97+DN98-DW97)))</f>
        <v>140.38461538461533</v>
      </c>
      <c r="DP98" s="17">
        <f>DO98*VLOOKUP('Données projet'!$B$14,Paramètres!$A$1:$I$89,3,0)*VLOOKUP('Données projet'!$B$14,Paramètres!$A$1:$I$89,5,0)</f>
        <v>146.72999999999996</v>
      </c>
      <c r="DQ98" s="13">
        <f t="shared" si="97"/>
        <v>37.834515808707891</v>
      </c>
      <c r="DR98" s="20">
        <f t="shared" si="70"/>
        <v>321.44986503349952</v>
      </c>
      <c r="DS98" s="59">
        <f t="shared" si="71"/>
        <v>597.39731095226546</v>
      </c>
      <c r="DT98" s="59">
        <f ca="1">AVERAGE(OFFSET($DS$3,0,0,'Données projet'!$E$14+1,1))-AVERAGE(OFFSET($H$3,0,0,'Données projet'!$E$14+1,1))</f>
        <v>269.21114382490202</v>
      </c>
      <c r="DU98" s="59">
        <f t="shared" si="98"/>
        <v>233.07776944102309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7.0512820512820511</v>
      </c>
      <c r="DX98" s="16">
        <f>IF(ISNA(VLOOKUP(A98,'Données projet'!$A$165:$I$185,5,0)),0%,VLOOKUP(A98,'Données projet'!$A$165:$I$185,5,0)*VLOOKUP('Données projet'!$B$14,Paramètres!$A$1:$I$89,7,0))</f>
        <v>4.3000000000000003E-2</v>
      </c>
      <c r="DY98" s="16">
        <f>IF(ISNA(VLOOKUP(A98,'Données projet'!$A$165:$I$185,6,0)),0%,VLOOKUP(A98,'Données projet'!$A$165:$I$185,6,0)*VLOOKUP('Données projet'!$B$14,Paramètres!$A$1:$I$89,7,0))</f>
        <v>0.215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1.9530430995566295</v>
      </c>
      <c r="EB98" s="21">
        <f>EXP(-LN(2)/25)*EB97+(1-EXP(-LN(2)/25))/(LN(2)/25)*Calculateur!DW98*Calculateur!DY98*VLOOKUP('Données projet'!$B$14,Paramètres!$A$1:$I$89,3,0)*0.475*44/12</f>
        <v>14.964879677414567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16.917922776971196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8.9420000000000019</v>
      </c>
      <c r="FE98" s="12">
        <f>IF('Données projet'!$A$218&gt;35,FE97+FD98-FM97,IF(A98&lt;'Données projet'!$A$218,$FB$205^A98,IF(A98='Données projet'!$A$218,'Données projet'!$B$218,FE97+FD98-FM97)))</f>
        <v>321.72200000000049</v>
      </c>
      <c r="FF98" s="17">
        <f>FE98*VLOOKUP('Données projet'!$B$16,Paramètres!$A$1:$I$89,3,0)*VLOOKUP('Données projet'!$B$16,Paramètres!$A$1:$I$89,5,0)</f>
        <v>366.37701360000057</v>
      </c>
      <c r="FG98" s="13">
        <f t="shared" si="101"/>
        <v>84.925681100949717</v>
      </c>
      <c r="FH98" s="20">
        <f t="shared" si="76"/>
        <v>786.01885993748829</v>
      </c>
      <c r="FI98" s="59">
        <f t="shared" si="77"/>
        <v>1061.9663058562542</v>
      </c>
      <c r="FJ98" s="59">
        <f ca="1">AVERAGE(OFFSET($FI$3,0,0,'Données projet'!$E$16+1,1))-AVERAGE(OFFSET($H$3,0,0,'Données projet'!$E$16+1,1))</f>
        <v>833.39050463936144</v>
      </c>
      <c r="FK98" s="59">
        <f t="shared" si="102"/>
        <v>362.56178526355507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34.816810283407044</v>
      </c>
      <c r="FR98" s="21">
        <f>EXP(-LN(2)/25)*FR97+(1-EXP(-LN(2)/25))/(LN(2)/25)*Calculateur!FM98*Calculateur!FO98*VLOOKUP('Données projet'!$B$16,Paramètres!$A$1:$I$89,3,0)*0.475*44/12</f>
        <v>34.506567855123066</v>
      </c>
      <c r="FS98" s="21">
        <f>EXP(-LN(2)/2)*FS97+(1-EXP(-LN(2)/2))/(LN(2)/2)*FM98*FP98*VLOOKUP('Données projet'!$B$16,Paramètres!$A$1:$I$89,3,0)*0.475*44/12</f>
        <v>5.2795351688625267</v>
      </c>
      <c r="FT98" s="22">
        <f t="shared" si="78"/>
        <v>74.602913307392626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920.9971993154553</v>
      </c>
      <c r="S99" s="59">
        <f ca="1">AVERAGE(OFFSET($R$3,0,0,'Données projet'!$E$9+1,1))-AVERAGE(OFFSET($H$3,0,0,'Données projet'!$E$9+1,1))</f>
        <v>681.47578137804555</v>
      </c>
      <c r="T99" s="59">
        <f t="shared" si="88"/>
        <v>300.88511065995885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335.29329600000057</v>
      </c>
      <c r="AK99" s="13">
        <f t="shared" si="89"/>
        <v>78.526724041362712</v>
      </c>
      <c r="AL99" s="20">
        <f t="shared" si="58"/>
        <v>720.73653490537436</v>
      </c>
      <c r="AM99" s="59">
        <f t="shared" si="59"/>
        <v>996.98558710176178</v>
      </c>
      <c r="AN99" s="59">
        <f ca="1">AVERAGE(OFFSET($AM$3,0,0,'Données projet'!$E$10+1,1))-AVERAGE(OFFSET($H$3,0,0,'Données projet'!$E$10+1,1))</f>
        <v>752.45542076695506</v>
      </c>
      <c r="AO99" s="59">
        <f t="shared" si="90"/>
        <v>329.70629768420724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30.393353445807435</v>
      </c>
      <c r="AV99" s="21">
        <f>EXP(-LN(2)/25)*AV98+(1-EXP(-LN(2)/25))/(LN(2)/25)*Calculateur!AQ99*Calculateur!AS99*VLOOKUP('Données projet'!$B$10,Paramètres!$A$1:$I$89,3,0)*0.475*44/12</f>
        <v>29.884848715927493</v>
      </c>
      <c r="AW99" s="21">
        <f>EXP(-LN(2)/2)*AW98+(1-EXP(-LN(2)/2))/(LN(2)/2)*AQ99*AT99*VLOOKUP('Données projet'!$B$10,Paramètres!$A$1:$I$89,3,0)*0.475*44/12</f>
        <v>3.3240778460549487</v>
      </c>
      <c r="AX99" s="21">
        <f t="shared" si="60"/>
        <v>63.602280007789872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314.65986240000052</v>
      </c>
      <c r="BF99" s="13">
        <f t="shared" si="91"/>
        <v>74.241148258745596</v>
      </c>
      <c r="BG99" s="20">
        <f t="shared" si="61"/>
        <v>677.3359268973162</v>
      </c>
      <c r="BH99" s="59">
        <f t="shared" si="62"/>
        <v>953.58497909370362</v>
      </c>
      <c r="BI99" s="59">
        <f ca="1">AVERAGE(OFFSET($BH$3,0,0,'Données projet'!$E$11+1,1))-AVERAGE(OFFSET($H$3,0,0,'Données projet'!$E$11+1,1))</f>
        <v>711.91538686535682</v>
      </c>
      <c r="BJ99" s="59">
        <f t="shared" si="92"/>
        <v>313.24593837351722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28.522993233757738</v>
      </c>
      <c r="BQ99" s="21">
        <f>EXP(-LN(2)/25)*BQ98+(1-EXP(-LN(2)/25))/(LN(2)/25)*Calculateur!BL99*Calculateur!BN99*VLOOKUP('Données projet'!$B$11,Paramètres!$A$1:$I$89,3,0)*0.475*44/12</f>
        <v>28.045781102639644</v>
      </c>
      <c r="BR99" s="21">
        <f>EXP(-LN(2)/2)*BR98+(1-EXP(-LN(2)/2))/(LN(2)/2)*BL99*BO99*VLOOKUP('Données projet'!$B$11,Paramètres!$A$1:$I$89,3,0)*0.475*44/12</f>
        <v>3.1195192093746438</v>
      </c>
      <c r="BS99" s="22">
        <f t="shared" si="63"/>
        <v>59.688293545772027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8.9420000000000019</v>
      </c>
      <c r="BY99" s="12">
        <f>IF('Données projet'!$A$114&gt;35,BY98+BX99-CG98,IF(A99&lt;'Données projet'!$A$114,$BV$205^A99,IF(A99='Données projet'!$A$114,'Données projet'!$B$114,BY98+BX99-CG98)))</f>
        <v>330.6640000000005</v>
      </c>
      <c r="BZ99" s="13">
        <f>BY99*VLOOKUP('Données projet'!$B$12,Paramètres!$A$1:$I$89,3,0)*VLOOKUP('Données projet'!$B$12,Paramètres!$A$1:$I$89,5,0)</f>
        <v>319.81822080000046</v>
      </c>
      <c r="CA99" s="13">
        <f t="shared" si="93"/>
        <v>75.315529714339334</v>
      </c>
      <c r="CB99" s="20">
        <f t="shared" si="64"/>
        <v>688.19128214580849</v>
      </c>
      <c r="CC99" s="59">
        <f t="shared" si="65"/>
        <v>964.44033434219591</v>
      </c>
      <c r="CD99" s="59">
        <f ca="1">AVERAGE(OFFSET($CC$3,0,0,'Données projet'!$E$12+1,1))-AVERAGE(OFFSET($H$3,0,0,'Données projet'!$E$12+1,1))</f>
        <v>722.05521609092671</v>
      </c>
      <c r="CE99" s="59">
        <f t="shared" si="94"/>
        <v>317.36319714884644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28.990583286770168</v>
      </c>
      <c r="CL99" s="21">
        <f>EXP(-LN(2)/25)*CL98+(1-EXP(-LN(2)/25))/(LN(2)/25)*Calculateur!CG99*Calculateur!CI99*VLOOKUP('Données projet'!$B$12,Paramètres!$A$1:$I$89,3,0)*0.475*44/12</f>
        <v>28.505548005961607</v>
      </c>
      <c r="CM99" s="21">
        <f>EXP(-LN(2)/2)*CM98+(1-EXP(-LN(2)/2))/(LN(2)/2)*CG99*CJ99*VLOOKUP('Données projet'!$B$12,Paramètres!$A$1:$I$89,3,0)*0.475*44/12</f>
        <v>3.1706588685447192</v>
      </c>
      <c r="CN99" s="22">
        <f t="shared" si="66"/>
        <v>60.666790161276495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8.9420000000000019</v>
      </c>
      <c r="CT99" s="12">
        <f>IF('Données projet'!$A$140&gt;35,CT98+CS99-DB98,IF(A99&lt;'Données projet'!$A$140,$CQ$205^A99,IF(A99='Données projet'!$A$140,'Données projet'!$B$140,CT98+CS99-DB98)))</f>
        <v>330.6640000000005</v>
      </c>
      <c r="CU99" s="17">
        <f>CT99*VLOOKUP('Données projet'!$B$13,Paramètres!$A$1:$I$89,3,0)*VLOOKUP('Données projet'!$B$13,Paramètres!$A$1:$I$89,5,0)</f>
        <v>355.9267296000005</v>
      </c>
      <c r="CV99" s="13">
        <f t="shared" si="95"/>
        <v>82.781691209668736</v>
      </c>
      <c r="CW99" s="20">
        <f t="shared" si="67"/>
        <v>764.0838329101739</v>
      </c>
      <c r="CX99" s="59">
        <f t="shared" si="68"/>
        <v>1040.3328851065612</v>
      </c>
      <c r="CY99" s="59">
        <f ca="1">AVERAGE(OFFSET($CX$3,0,0,'Données projet'!$E$13+1,1))-AVERAGE(OFFSET($H$3,0,0,'Données projet'!$E$13+1,1))</f>
        <v>792.94606354161886</v>
      </c>
      <c r="CZ99" s="59">
        <f t="shared" si="96"/>
        <v>346.14443498270919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32.263713657857117</v>
      </c>
      <c r="DG99" s="21">
        <f>EXP(-LN(2)/25)*DG98+(1-EXP(-LN(2)/25))/(LN(2)/25)*Calculateur!DB99*Calculateur!DD99*VLOOKUP('Données projet'!$B$13,Paramètres!$A$1:$I$89,3,0)*0.475*44/12</f>
        <v>31.723916329215335</v>
      </c>
      <c r="DH99" s="21">
        <f>EXP(-LN(2)/2)*DH98+(1-EXP(-LN(2)/2))/(LN(2)/2)*DB99*DE99*VLOOKUP('Données projet'!$B$13,Paramètres!$A$1:$I$89,3,0)*0.475*44/12</f>
        <v>3.5286364827352523</v>
      </c>
      <c r="DI99" s="22">
        <f t="shared" si="69"/>
        <v>67.516266469807704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1.9230769230769227</v>
      </c>
      <c r="DO99" s="12">
        <f>IF('Données projet'!$A$166&gt;35,DO98+DN99-DW98,IF(A99&lt;'Données projet'!$A$166,$DL$205^A99,IF(A99='Données projet'!$A$166,'Données projet'!$B$166,DO98+DN99-DW98)))</f>
        <v>135.25641025641022</v>
      </c>
      <c r="DP99" s="17">
        <f>DO99*VLOOKUP('Données projet'!$B$14,Paramètres!$A$1:$I$89,3,0)*VLOOKUP('Données projet'!$B$14,Paramètres!$A$1:$I$89,5,0)</f>
        <v>141.36999999999998</v>
      </c>
      <c r="DQ99" s="13">
        <f t="shared" si="97"/>
        <v>36.610675159135589</v>
      </c>
      <c r="DR99" s="20">
        <f t="shared" si="70"/>
        <v>309.98300923549442</v>
      </c>
      <c r="DS99" s="59">
        <f t="shared" si="71"/>
        <v>586.2320614318819</v>
      </c>
      <c r="DT99" s="59">
        <f ca="1">AVERAGE(OFFSET($DS$3,0,0,'Données projet'!$E$14+1,1))-AVERAGE(OFFSET($H$3,0,0,'Données projet'!$E$14+1,1))</f>
        <v>269.21114382490202</v>
      </c>
      <c r="DU99" s="59">
        <f t="shared" si="98"/>
        <v>233.07776944102309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1.9147451156129895</v>
      </c>
      <c r="EB99" s="21">
        <f>EXP(-LN(2)/25)*EB98+(1-EXP(-LN(2)/25))/(LN(2)/25)*Calculateur!DW99*Calculateur!DY99*VLOOKUP('Données projet'!$B$14,Paramètres!$A$1:$I$89,3,0)*0.475*44/12</f>
        <v>14.555664255666846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16.470409371279835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8.9420000000000019</v>
      </c>
      <c r="FE99" s="12">
        <f>IF('Données projet'!$A$218&gt;35,FE98+FD99-FM98,IF(A99&lt;'Données projet'!$A$218,$FB$205^A99,IF(A99='Données projet'!$A$218,'Données projet'!$B$218,FE98+FD99-FM98)))</f>
        <v>330.6640000000005</v>
      </c>
      <c r="FF99" s="17">
        <f>FE99*VLOOKUP('Données projet'!$B$16,Paramètres!$A$1:$I$89,3,0)*VLOOKUP('Données projet'!$B$16,Paramètres!$A$1:$I$89,5,0)</f>
        <v>376.56016320000055</v>
      </c>
      <c r="FG99" s="13">
        <f t="shared" si="101"/>
        <v>87.008026326082629</v>
      </c>
      <c r="FH99" s="20">
        <f t="shared" si="76"/>
        <v>807.38126342459475</v>
      </c>
      <c r="FI99" s="59">
        <f t="shared" si="77"/>
        <v>1083.6303156209822</v>
      </c>
      <c r="FJ99" s="59">
        <f ca="1">AVERAGE(OFFSET($FI$3,0,0,'Données projet'!$E$16+1,1))-AVERAGE(OFFSET($H$3,0,0,'Données projet'!$E$16+1,1))</f>
        <v>833.39050463936144</v>
      </c>
      <c r="FK99" s="59">
        <f t="shared" si="102"/>
        <v>362.56178526355507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34.134073869906807</v>
      </c>
      <c r="FR99" s="21">
        <f>EXP(-LN(2)/25)*FR98+(1-EXP(-LN(2)/25))/(LN(2)/25)*Calculateur!FM99*Calculateur!FO99*VLOOKUP('Données projet'!$B$16,Paramètres!$A$1:$I$89,3,0)*0.475*44/12</f>
        <v>33.562983942503188</v>
      </c>
      <c r="FS99" s="21">
        <f>EXP(-LN(2)/2)*FS98+(1-EXP(-LN(2)/2))/(LN(2)/2)*FM99*FP99*VLOOKUP('Données projet'!$B$16,Paramètres!$A$1:$I$89,3,0)*0.475*44/12</f>
        <v>3.7331951194155573</v>
      </c>
      <c r="FT99" s="22">
        <f t="shared" si="78"/>
        <v>71.430252931825549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938.33533077135417</v>
      </c>
      <c r="S100" s="59">
        <f ca="1">AVERAGE(OFFSET($R$3,0,0,'Données projet'!$E$9+1,1))-AVERAGE(OFFSET($H$3,0,0,'Données projet'!$E$9+1,1))</f>
        <v>681.47578137804555</v>
      </c>
      <c r="T100" s="59">
        <f t="shared" si="88"/>
        <v>300.88511065995885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344.36048400000055</v>
      </c>
      <c r="AK100" s="13">
        <f t="shared" si="89"/>
        <v>80.400180766145681</v>
      </c>
      <c r="AL100" s="20">
        <f t="shared" si="58"/>
        <v>739.79149113437143</v>
      </c>
      <c r="AM100" s="59">
        <f t="shared" si="59"/>
        <v>1016.3369174137542</v>
      </c>
      <c r="AN100" s="59">
        <f ca="1">AVERAGE(OFFSET($AM$3,0,0,'Données projet'!$E$10+1,1))-AVERAGE(OFFSET($H$3,0,0,'Données projet'!$E$10+1,1))</f>
        <v>752.45542076695506</v>
      </c>
      <c r="AO100" s="59">
        <f t="shared" si="90"/>
        <v>329.70629768420724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29.797358322850265</v>
      </c>
      <c r="AV100" s="21">
        <f>EXP(-LN(2)/25)*AV99+(1-EXP(-LN(2)/25))/(LN(2)/25)*Calculateur!AQ100*Calculateur!AS100*VLOOKUP('Données projet'!$B$10,Paramètres!$A$1:$I$89,3,0)*0.475*44/12</f>
        <v>29.067645956214566</v>
      </c>
      <c r="AW100" s="21">
        <f>EXP(-LN(2)/2)*AW99+(1-EXP(-LN(2)/2))/(LN(2)/2)*AQ100*AT100*VLOOKUP('Données projet'!$B$10,Paramètres!$A$1:$I$89,3,0)*0.475*44/12</f>
        <v>2.350477986137427</v>
      </c>
      <c r="AX100" s="21">
        <f t="shared" si="60"/>
        <v>61.215482265202262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323.16906960000051</v>
      </c>
      <c r="BF100" s="13">
        <f t="shared" si="91"/>
        <v>76.012361564265504</v>
      </c>
      <c r="BG100" s="20">
        <f t="shared" si="61"/>
        <v>695.24099261109666</v>
      </c>
      <c r="BH100" s="59">
        <f t="shared" si="62"/>
        <v>971.78641889047947</v>
      </c>
      <c r="BI100" s="59">
        <f ca="1">AVERAGE(OFFSET($BH$3,0,0,'Données projet'!$E$11+1,1))-AVERAGE(OFFSET($H$3,0,0,'Données projet'!$E$11+1,1))</f>
        <v>711.91538686535682</v>
      </c>
      <c r="BJ100" s="59">
        <f t="shared" si="92"/>
        <v>313.24593837351722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27.96367473375178</v>
      </c>
      <c r="BQ100" s="21">
        <f>EXP(-LN(2)/25)*BQ99+(1-EXP(-LN(2)/25))/(LN(2)/25)*Calculateur!BL100*Calculateur!BN100*VLOOKUP('Données projet'!$B$11,Paramètres!$A$1:$I$89,3,0)*0.475*44/12</f>
        <v>27.278867743524433</v>
      </c>
      <c r="BR100" s="21">
        <f>EXP(-LN(2)/2)*BR99+(1-EXP(-LN(2)/2))/(LN(2)/2)*BL100*BO100*VLOOKUP('Données projet'!$B$11,Paramètres!$A$1:$I$89,3,0)*0.475*44/12</f>
        <v>2.2058331869905081</v>
      </c>
      <c r="BS100" s="22">
        <f t="shared" si="63"/>
        <v>57.448375664266727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8.9420000000000019</v>
      </c>
      <c r="BY100" s="12">
        <f>IF('Données projet'!$A$114&gt;35,BY99+BX100-CG99,IF(A100&lt;'Données projet'!$A$114,$BV$205^A100,IF(A100='Données projet'!$A$114,'Données projet'!$B$114,BY99+BX100-CG99)))</f>
        <v>339.60600000000051</v>
      </c>
      <c r="BZ100" s="13">
        <f>BY100*VLOOKUP('Données projet'!$B$12,Paramètres!$A$1:$I$89,3,0)*VLOOKUP('Données projet'!$B$12,Paramètres!$A$1:$I$89,5,0)</f>
        <v>328.46692320000051</v>
      </c>
      <c r="CA100" s="13">
        <f t="shared" si="93"/>
        <v>77.112375149399028</v>
      </c>
      <c r="CB100" s="20">
        <f t="shared" si="64"/>
        <v>706.38394462520421</v>
      </c>
      <c r="CC100" s="59">
        <f t="shared" si="65"/>
        <v>982.92937090458702</v>
      </c>
      <c r="CD100" s="59">
        <f ca="1">AVERAGE(OFFSET($CC$3,0,0,'Données projet'!$E$12+1,1))-AVERAGE(OFFSET($H$3,0,0,'Données projet'!$E$12+1,1))</f>
        <v>722.05521609092671</v>
      </c>
      <c r="CE100" s="59">
        <f t="shared" si="94"/>
        <v>317.36319714884644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28.422095631026405</v>
      </c>
      <c r="CL100" s="21">
        <f>EXP(-LN(2)/25)*CL99+(1-EXP(-LN(2)/25))/(LN(2)/25)*Calculateur!CG100*Calculateur!CI100*VLOOKUP('Données projet'!$B$12,Paramètres!$A$1:$I$89,3,0)*0.475*44/12</f>
        <v>27.726062296696966</v>
      </c>
      <c r="CM100" s="21">
        <f>EXP(-LN(2)/2)*CM99+(1-EXP(-LN(2)/2))/(LN(2)/2)*CG100*CJ100*VLOOKUP('Données projet'!$B$12,Paramètres!$A$1:$I$89,3,0)*0.475*44/12</f>
        <v>2.2419943867772374</v>
      </c>
      <c r="CN100" s="22">
        <f t="shared" si="66"/>
        <v>58.390152314500611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8.9420000000000019</v>
      </c>
      <c r="CT100" s="12">
        <f>IF('Données projet'!$A$140&gt;35,CT99+CS100-DB99,IF(A100&lt;'Données projet'!$A$140,$CQ$205^A100,IF(A100='Données projet'!$A$140,'Données projet'!$B$140,CT99+CS100-DB99)))</f>
        <v>339.60600000000051</v>
      </c>
      <c r="CU100" s="17">
        <f>CT100*VLOOKUP('Données projet'!$B$13,Paramètres!$A$1:$I$89,3,0)*VLOOKUP('Données projet'!$B$13,Paramètres!$A$1:$I$89,5,0)</f>
        <v>365.55189840000054</v>
      </c>
      <c r="CV100" s="13">
        <f t="shared" si="95"/>
        <v>84.756661106591608</v>
      </c>
      <c r="CW100" s="20">
        <f t="shared" si="67"/>
        <v>784.28740780731459</v>
      </c>
      <c r="CX100" s="59">
        <f t="shared" si="68"/>
        <v>1060.8328340866974</v>
      </c>
      <c r="CY100" s="59">
        <f ca="1">AVERAGE(OFFSET($CX$3,0,0,'Données projet'!$E$13+1,1))-AVERAGE(OFFSET($H$3,0,0,'Données projet'!$E$13+1,1))</f>
        <v>792.94606354161886</v>
      </c>
      <c r="CZ100" s="59">
        <f t="shared" si="96"/>
        <v>346.14443498270919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31.631041911948738</v>
      </c>
      <c r="DG100" s="21">
        <f>EXP(-LN(2)/25)*DG99+(1-EXP(-LN(2)/25))/(LN(2)/25)*Calculateur!DB100*Calculateur!DD100*VLOOKUP('Données projet'!$B$13,Paramètres!$A$1:$I$89,3,0)*0.475*44/12</f>
        <v>30.856424168904688</v>
      </c>
      <c r="DH100" s="21">
        <f>EXP(-LN(2)/2)*DH99+(1-EXP(-LN(2)/2))/(LN(2)/2)*DB100*DE100*VLOOKUP('Données projet'!$B$13,Paramètres!$A$1:$I$89,3,0)*0.475*44/12</f>
        <v>2.4951227852843449</v>
      </c>
      <c r="DI100" s="22">
        <f t="shared" si="69"/>
        <v>64.982588866137775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1.9230769230769227</v>
      </c>
      <c r="DO100" s="12">
        <f>IF('Données projet'!$A$166&gt;35,DO99+DN100-DW99,IF(A100&lt;'Données projet'!$A$166,$DL$205^A100,IF(A100='Données projet'!$A$166,'Données projet'!$B$166,DO99+DN100-DW99)))</f>
        <v>137.17948717948715</v>
      </c>
      <c r="DP100" s="17">
        <f>DO100*VLOOKUP('Données projet'!$B$14,Paramètres!$A$1:$I$89,3,0)*VLOOKUP('Données projet'!$B$14,Paramètres!$A$1:$I$89,5,0)</f>
        <v>143.37999999999997</v>
      </c>
      <c r="DQ100" s="13">
        <f t="shared" si="97"/>
        <v>37.070237688614135</v>
      </c>
      <c r="DR100" s="20">
        <f t="shared" si="70"/>
        <v>314.2841639743362</v>
      </c>
      <c r="DS100" s="59">
        <f t="shared" si="71"/>
        <v>590.82959025371906</v>
      </c>
      <c r="DT100" s="59">
        <f ca="1">AVERAGE(OFFSET($DS$3,0,0,'Données projet'!$E$14+1,1))-AVERAGE(OFFSET($H$3,0,0,'Données projet'!$E$14+1,1))</f>
        <v>269.21114382490202</v>
      </c>
      <c r="DU100" s="59">
        <f t="shared" si="98"/>
        <v>233.07776944102309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1.8771981317750208</v>
      </c>
      <c r="EB100" s="21">
        <f>EXP(-LN(2)/25)*EB99+(1-EXP(-LN(2)/25))/(LN(2)/25)*Calculateur!DW100*Calculateur!DY100*VLOOKUP('Données projet'!$B$14,Paramètres!$A$1:$I$89,3,0)*0.475*44/12</f>
        <v>14.157638851146521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16.03483698292154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8.9420000000000019</v>
      </c>
      <c r="FE100" s="12">
        <f>IF('Données projet'!$A$218&gt;35,FE99+FD100-FM99,IF(A100&lt;'Données projet'!$A$218,$FB$205^A100,IF(A100='Données projet'!$A$218,'Données projet'!$B$218,FE99+FD100-FM99)))</f>
        <v>339.60600000000051</v>
      </c>
      <c r="FF100" s="17">
        <f>FE100*VLOOKUP('Données projet'!$B$16,Paramètres!$A$1:$I$89,3,0)*VLOOKUP('Données projet'!$B$16,Paramètres!$A$1:$I$89,5,0)</f>
        <v>386.74331280000058</v>
      </c>
      <c r="FG100" s="13">
        <f t="shared" si="101"/>
        <v>89.08382630399629</v>
      </c>
      <c r="FH100" s="20">
        <f t="shared" si="76"/>
        <v>828.7322672727945</v>
      </c>
      <c r="FI100" s="59">
        <f t="shared" si="77"/>
        <v>1105.2776935521774</v>
      </c>
      <c r="FJ100" s="59">
        <f ca="1">AVERAGE(OFFSET($FI$3,0,0,'Données projet'!$E$16+1,1))-AVERAGE(OFFSET($H$3,0,0,'Données projet'!$E$16+1,1))</f>
        <v>833.39050463936144</v>
      </c>
      <c r="FK100" s="59">
        <f t="shared" si="102"/>
        <v>362.56178526355507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33.464725501047219</v>
      </c>
      <c r="FR100" s="21">
        <f>EXP(-LN(2)/25)*FR99+(1-EXP(-LN(2)/25))/(LN(2)/25)*Calculateur!FM100*Calculateur!FO100*VLOOKUP('Données projet'!$B$16,Paramètres!$A$1:$I$89,3,0)*0.475*44/12</f>
        <v>32.645202381594821</v>
      </c>
      <c r="FS100" s="21">
        <f>EXP(-LN(2)/2)*FS99+(1-EXP(-LN(2)/2))/(LN(2)/2)*FM100*FP100*VLOOKUP('Données projet'!$B$16,Paramètres!$A$1:$I$89,3,0)*0.475*44/12</f>
        <v>2.6397675844312638</v>
      </c>
      <c r="FT100" s="22">
        <f t="shared" si="78"/>
        <v>68.749695467073309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955.6592908898408</v>
      </c>
      <c r="S101" s="59">
        <f ca="1">AVERAGE(OFFSET($R$3,0,0,'Données projet'!$E$9+1,1))-AVERAGE(OFFSET($H$3,0,0,'Données projet'!$E$9+1,1))</f>
        <v>681.47578137804555</v>
      </c>
      <c r="T101" s="59">
        <f t="shared" si="88"/>
        <v>300.88511065995885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353.42767200000054</v>
      </c>
      <c r="AK101" s="13">
        <f t="shared" si="89"/>
        <v>82.26790367650959</v>
      </c>
      <c r="AL101" s="20">
        <f t="shared" si="58"/>
        <v>758.83646096992186</v>
      </c>
      <c r="AM101" s="59">
        <f t="shared" si="59"/>
        <v>1035.6731199045532</v>
      </c>
      <c r="AN101" s="59">
        <f ca="1">AVERAGE(OFFSET($AM$3,0,0,'Données projet'!$E$10+1,1))-AVERAGE(OFFSET($H$3,0,0,'Données projet'!$E$10+1,1))</f>
        <v>752.45542076695506</v>
      </c>
      <c r="AO101" s="59">
        <f t="shared" si="90"/>
        <v>329.70629768420724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29.213050300733155</v>
      </c>
      <c r="AV101" s="21">
        <f>EXP(-LN(2)/25)*AV100+(1-EXP(-LN(2)/25))/(LN(2)/25)*Calculateur!AQ101*Calculateur!AS101*VLOOKUP('Données projet'!$B$10,Paramètres!$A$1:$I$89,3,0)*0.475*44/12</f>
        <v>28.272789648940812</v>
      </c>
      <c r="AW101" s="21">
        <f>EXP(-LN(2)/2)*AW100+(1-EXP(-LN(2)/2))/(LN(2)/2)*AQ101*AT101*VLOOKUP('Données projet'!$B$10,Paramètres!$A$1:$I$89,3,0)*0.475*44/12</f>
        <v>1.6620389230274746</v>
      </c>
      <c r="AX101" s="21">
        <f t="shared" si="60"/>
        <v>59.14787887270144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331.6782768000005</v>
      </c>
      <c r="BF101" s="13">
        <f t="shared" si="91"/>
        <v>77.778153976814764</v>
      </c>
      <c r="BG101" s="20">
        <f t="shared" si="61"/>
        <v>713.13661693628671</v>
      </c>
      <c r="BH101" s="59">
        <f t="shared" si="62"/>
        <v>989.97327587091809</v>
      </c>
      <c r="BI101" s="59">
        <f ca="1">AVERAGE(OFFSET($BH$3,0,0,'Données projet'!$E$11+1,1))-AVERAGE(OFFSET($H$3,0,0,'Données projet'!$E$11+1,1))</f>
        <v>711.91538686535682</v>
      </c>
      <c r="BJ101" s="59">
        <f t="shared" si="92"/>
        <v>313.24593837351722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27.415324128380341</v>
      </c>
      <c r="BQ101" s="21">
        <f>EXP(-LN(2)/25)*BQ100+(1-EXP(-LN(2)/25))/(LN(2)/25)*Calculateur!BL101*Calculateur!BN101*VLOOKUP('Données projet'!$B$11,Paramètres!$A$1:$I$89,3,0)*0.475*44/12</f>
        <v>26.532925670544451</v>
      </c>
      <c r="BR101" s="21">
        <f>EXP(-LN(2)/2)*BR100+(1-EXP(-LN(2)/2))/(LN(2)/2)*BL101*BO101*VLOOKUP('Données projet'!$B$11,Paramètres!$A$1:$I$89,3,0)*0.475*44/12</f>
        <v>1.5597596046873221</v>
      </c>
      <c r="BS101" s="22">
        <f t="shared" si="63"/>
        <v>55.508009403612114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8.9420000000000019</v>
      </c>
      <c r="BY101" s="12">
        <f>IF('Données projet'!$A$114&gt;35,BY100+BX101-CG100,IF(A101&lt;'Données projet'!$A$114,$BV$205^A101,IF(A101='Données projet'!$A$114,'Données projet'!$B$114,BY100+BX101-CG100)))</f>
        <v>348.54800000000051</v>
      </c>
      <c r="BZ101" s="13">
        <f>BY101*VLOOKUP('Données projet'!$B$12,Paramètres!$A$1:$I$89,3,0)*VLOOKUP('Données projet'!$B$12,Paramètres!$A$1:$I$89,5,0)</f>
        <v>337.1156256000005</v>
      </c>
      <c r="CA101" s="13">
        <f t="shared" si="93"/>
        <v>78.903721242985981</v>
      </c>
      <c r="CB101" s="20">
        <f t="shared" si="64"/>
        <v>724.56702908486795</v>
      </c>
      <c r="CC101" s="59">
        <f t="shared" si="65"/>
        <v>1001.4036880194993</v>
      </c>
      <c r="CD101" s="59">
        <f ca="1">AVERAGE(OFFSET($CC$3,0,0,'Données projet'!$E$12+1,1))-AVERAGE(OFFSET($H$3,0,0,'Données projet'!$E$12+1,1))</f>
        <v>722.05521609092671</v>
      </c>
      <c r="CE101" s="59">
        <f t="shared" si="94"/>
        <v>317.36319714884644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27.864755671468547</v>
      </c>
      <c r="CL101" s="21">
        <f>EXP(-LN(2)/25)*CL100+(1-EXP(-LN(2)/25))/(LN(2)/25)*Calculateur!CG101*Calculateur!CI101*VLOOKUP('Données projet'!$B$12,Paramètres!$A$1:$I$89,3,0)*0.475*44/12</f>
        <v>26.96789166514354</v>
      </c>
      <c r="CM101" s="21">
        <f>EXP(-LN(2)/2)*CM100+(1-EXP(-LN(2)/2))/(LN(2)/2)*CG101*CJ101*VLOOKUP('Données projet'!$B$12,Paramètres!$A$1:$I$89,3,0)*0.475*44/12</f>
        <v>1.5853294342723598</v>
      </c>
      <c r="CN101" s="22">
        <f t="shared" si="66"/>
        <v>56.417976770884444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8.9420000000000019</v>
      </c>
      <c r="CT101" s="12">
        <f>IF('Données projet'!$A$140&gt;35,CT100+CS101-DB100,IF(A101&lt;'Données projet'!$A$140,$CQ$205^A101,IF(A101='Données projet'!$A$140,'Données projet'!$B$140,CT100+CS101-DB100)))</f>
        <v>348.54800000000051</v>
      </c>
      <c r="CU101" s="17">
        <f>CT101*VLOOKUP('Données projet'!$B$13,Paramètres!$A$1:$I$89,3,0)*VLOOKUP('Données projet'!$B$13,Paramètres!$A$1:$I$89,5,0)</f>
        <v>375.17706720000052</v>
      </c>
      <c r="CV101" s="13">
        <f t="shared" si="95"/>
        <v>86.72558650260747</v>
      </c>
      <c r="CW101" s="20">
        <f t="shared" si="67"/>
        <v>804.48045519870891</v>
      </c>
      <c r="CX101" s="59">
        <f t="shared" si="68"/>
        <v>1081.3171141333403</v>
      </c>
      <c r="CY101" s="59">
        <f ca="1">AVERAGE(OFFSET($CX$3,0,0,'Données projet'!$E$13+1,1))-AVERAGE(OFFSET($H$3,0,0,'Données projet'!$E$13+1,1))</f>
        <v>792.94606354161886</v>
      </c>
      <c r="CZ101" s="59">
        <f t="shared" si="96"/>
        <v>346.14443498270919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31.010776473085961</v>
      </c>
      <c r="DG101" s="21">
        <f>EXP(-LN(2)/25)*DG100+(1-EXP(-LN(2)/25))/(LN(2)/25)*Calculateur!DB101*Calculateur!DD101*VLOOKUP('Données projet'!$B$13,Paramètres!$A$1:$I$89,3,0)*0.475*44/12</f>
        <v>30.012653627337166</v>
      </c>
      <c r="DH101" s="21">
        <f>EXP(-LN(2)/2)*DH100+(1-EXP(-LN(2)/2))/(LN(2)/2)*DB101*DE101*VLOOKUP('Données projet'!$B$13,Paramètres!$A$1:$I$89,3,0)*0.475*44/12</f>
        <v>1.7643182413676264</v>
      </c>
      <c r="DI101" s="22">
        <f t="shared" si="69"/>
        <v>62.787748341790753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1.9230769230769227</v>
      </c>
      <c r="DO101" s="12">
        <f>IF('Données projet'!$A$166&gt;35,DO100+DN101-DW100,IF(A101&lt;'Données projet'!$A$166,$DL$205^A101,IF(A101='Données projet'!$A$166,'Données projet'!$B$166,DO100+DN101-DW100)))</f>
        <v>139.10256410256409</v>
      </c>
      <c r="DP101" s="17">
        <f>DO101*VLOOKUP('Données projet'!$B$14,Paramètres!$A$1:$I$89,3,0)*VLOOKUP('Données projet'!$B$14,Paramètres!$A$1:$I$89,5,0)</f>
        <v>145.38999999999999</v>
      </c>
      <c r="DQ101" s="13">
        <f t="shared" si="97"/>
        <v>37.529050900676538</v>
      </c>
      <c r="DR101" s="20">
        <f t="shared" si="70"/>
        <v>318.58401365201161</v>
      </c>
      <c r="DS101" s="59">
        <f t="shared" si="71"/>
        <v>595.42067258664292</v>
      </c>
      <c r="DT101" s="59">
        <f ca="1">AVERAGE(OFFSET($DS$3,0,0,'Données projet'!$E$14+1,1))-AVERAGE(OFFSET($H$3,0,0,'Données projet'!$E$14+1,1))</f>
        <v>269.21114382490202</v>
      </c>
      <c r="DU101" s="59">
        <f t="shared" si="98"/>
        <v>233.07776944102309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1.8403874213887159</v>
      </c>
      <c r="EB101" s="21">
        <f>EXP(-LN(2)/25)*EB100+(1-EXP(-LN(2)/25))/(LN(2)/25)*Calculateur!DW101*Calculateur!DY101*VLOOKUP('Données projet'!$B$14,Paramètres!$A$1:$I$89,3,0)*0.475*44/12</f>
        <v>13.770497472244049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15.610884893632765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8.9420000000000019</v>
      </c>
      <c r="FE101" s="12">
        <f>IF('Données projet'!$A$218&gt;35,FE100+FD101-FM100,IF(A101&lt;'Données projet'!$A$218,$FB$205^A101,IF(A101='Données projet'!$A$218,'Données projet'!$B$218,FE100+FD101-FM100)))</f>
        <v>348.54800000000051</v>
      </c>
      <c r="FF101" s="17">
        <f>FE101*VLOOKUP('Données projet'!$B$16,Paramètres!$A$1:$I$89,3,0)*VLOOKUP('Données projet'!$B$16,Paramètres!$A$1:$I$89,5,0)</f>
        <v>396.92646240000062</v>
      </c>
      <c r="FG101" s="13">
        <f t="shared" si="101"/>
        <v>91.153273185151974</v>
      </c>
      <c r="FH101" s="20">
        <f t="shared" si="76"/>
        <v>850.07220614414075</v>
      </c>
      <c r="FI101" s="59">
        <f t="shared" si="77"/>
        <v>1126.9088650787721</v>
      </c>
      <c r="FJ101" s="59">
        <f ca="1">AVERAGE(OFFSET($FI$3,0,0,'Données projet'!$E$16+1,1))-AVERAGE(OFFSET($H$3,0,0,'Données projet'!$E$16+1,1))</f>
        <v>833.39050463936144</v>
      </c>
      <c r="FK101" s="59">
        <f t="shared" si="102"/>
        <v>362.56178526355507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32.808502645438772</v>
      </c>
      <c r="FR101" s="21">
        <f>EXP(-LN(2)/25)*FR100+(1-EXP(-LN(2)/25))/(LN(2)/25)*Calculateur!FM101*Calculateur!FO101*VLOOKUP('Données projet'!$B$16,Paramètres!$A$1:$I$89,3,0)*0.475*44/12</f>
        <v>31.75251760573353</v>
      </c>
      <c r="FS101" s="21">
        <f>EXP(-LN(2)/2)*FS100+(1-EXP(-LN(2)/2))/(LN(2)/2)*FM101*FP101*VLOOKUP('Données projet'!$B$16,Paramètres!$A$1:$I$89,3,0)*0.475*44/12</f>
        <v>1.8665975597077789</v>
      </c>
      <c r="FT101" s="22">
        <f t="shared" si="78"/>
        <v>66.427617810880079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972.96942716261128</v>
      </c>
      <c r="S102" s="59">
        <f ca="1">AVERAGE(OFFSET($R$3,0,0,'Données projet'!$E$9+1,1))-AVERAGE(OFFSET($H$3,0,0,'Données projet'!$E$9+1,1))</f>
        <v>681.47578137804555</v>
      </c>
      <c r="T102" s="59">
        <f t="shared" si="88"/>
        <v>300.88511065995885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362.49486000000059</v>
      </c>
      <c r="AK102" s="13">
        <f t="shared" si="89"/>
        <v>84.130056787487845</v>
      </c>
      <c r="AL102" s="20">
        <f t="shared" si="58"/>
        <v>777.87173007154217</v>
      </c>
      <c r="AM102" s="59">
        <f t="shared" si="59"/>
        <v>1054.9945694259522</v>
      </c>
      <c r="AN102" s="59">
        <f ca="1">AVERAGE(OFFSET($AM$3,0,0,'Données projet'!$E$10+1,1))-AVERAGE(OFFSET($H$3,0,0,'Données projet'!$E$10+1,1))</f>
        <v>752.45542076695506</v>
      </c>
      <c r="AO102" s="59">
        <f t="shared" si="90"/>
        <v>329.70629768420724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28.640200202537059</v>
      </c>
      <c r="AV102" s="21">
        <f>EXP(-LN(2)/25)*AV101+(1-EXP(-LN(2)/25))/(LN(2)/25)*Calculateur!AQ102*Calculateur!AS102*VLOOKUP('Données projet'!$B$10,Paramètres!$A$1:$I$89,3,0)*0.475*44/12</f>
        <v>27.499668729189136</v>
      </c>
      <c r="AW102" s="21">
        <f>EXP(-LN(2)/2)*AW101+(1-EXP(-LN(2)/2))/(LN(2)/2)*AQ102*AT102*VLOOKUP('Données projet'!$B$10,Paramètres!$A$1:$I$89,3,0)*0.475*44/12</f>
        <v>1.1752389930687137</v>
      </c>
      <c r="AX102" s="21">
        <f t="shared" si="60"/>
        <v>57.315107924794916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340.1874840000005</v>
      </c>
      <c r="BF102" s="13">
        <f t="shared" si="91"/>
        <v>79.538680560348226</v>
      </c>
      <c r="BG102" s="20">
        <f t="shared" si="61"/>
        <v>731.02306994260732</v>
      </c>
      <c r="BH102" s="59">
        <f t="shared" si="62"/>
        <v>1008.1459092970174</v>
      </c>
      <c r="BI102" s="59">
        <f ca="1">AVERAGE(OFFSET($BH$3,0,0,'Données projet'!$E$11+1,1))-AVERAGE(OFFSET($H$3,0,0,'Données projet'!$E$11+1,1))</f>
        <v>711.91538686535682</v>
      </c>
      <c r="BJ102" s="59">
        <f t="shared" si="92"/>
        <v>313.24593837351722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26.877726343919392</v>
      </c>
      <c r="BQ102" s="21">
        <f>EXP(-LN(2)/25)*BQ101+(1-EXP(-LN(2)/25))/(LN(2)/25)*Calculateur!BL102*Calculateur!BN102*VLOOKUP('Données projet'!$B$11,Paramètres!$A$1:$I$89,3,0)*0.475*44/12</f>
        <v>25.807381422777492</v>
      </c>
      <c r="BR102" s="21">
        <f>EXP(-LN(2)/2)*BR101+(1-EXP(-LN(2)/2))/(LN(2)/2)*BL102*BO102*VLOOKUP('Données projet'!$B$11,Paramètres!$A$1:$I$89,3,0)*0.475*44/12</f>
        <v>1.1029165934952543</v>
      </c>
      <c r="BS102" s="22">
        <f t="shared" si="63"/>
        <v>53.788024360192139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8.9420000000000019</v>
      </c>
      <c r="BY102" s="12">
        <f>IF('Données projet'!$A$114&gt;35,BY101+BX102-CG101,IF(A102&lt;'Données projet'!$A$114,$BV$205^A102,IF(A102='Données projet'!$A$114,'Données projet'!$B$114,BY101+BX102-CG101)))</f>
        <v>357.49000000000052</v>
      </c>
      <c r="BZ102" s="13">
        <f>BY102*VLOOKUP('Données projet'!$B$12,Paramètres!$A$1:$I$89,3,0)*VLOOKUP('Données projet'!$B$12,Paramètres!$A$1:$I$89,5,0)</f>
        <v>345.76432800000049</v>
      </c>
      <c r="CA102" s="13">
        <f t="shared" si="93"/>
        <v>80.689725303064279</v>
      </c>
      <c r="CB102" s="20">
        <f t="shared" si="64"/>
        <v>742.74080950283769</v>
      </c>
      <c r="CC102" s="59">
        <f t="shared" si="65"/>
        <v>1019.8636488572479</v>
      </c>
      <c r="CD102" s="59">
        <f ca="1">AVERAGE(OFFSET($CC$3,0,0,'Données projet'!$E$12+1,1))-AVERAGE(OFFSET($H$3,0,0,'Données projet'!$E$12+1,1))</f>
        <v>722.05521609092671</v>
      </c>
      <c r="CE102" s="59">
        <f t="shared" si="94"/>
        <v>317.36319714884644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27.318344808573812</v>
      </c>
      <c r="CL102" s="21">
        <f>EXP(-LN(2)/25)*CL101+(1-EXP(-LN(2)/25))/(LN(2)/25)*Calculateur!CG102*Calculateur!CI102*VLOOKUP('Données projet'!$B$12,Paramètres!$A$1:$I$89,3,0)*0.475*44/12</f>
        <v>26.230453249380403</v>
      </c>
      <c r="CM102" s="21">
        <f>EXP(-LN(2)/2)*CM101+(1-EXP(-LN(2)/2))/(LN(2)/2)*CG102*CJ102*VLOOKUP('Données projet'!$B$12,Paramètres!$A$1:$I$89,3,0)*0.475*44/12</f>
        <v>1.1209971933886187</v>
      </c>
      <c r="CN102" s="22">
        <f t="shared" si="66"/>
        <v>54.669795251342833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8.9420000000000019</v>
      </c>
      <c r="CT102" s="12">
        <f>IF('Données projet'!$A$140&gt;35,CT101+CS102-DB101,IF(A102&lt;'Données projet'!$A$140,$CQ$205^A102,IF(A102='Données projet'!$A$140,'Données projet'!$B$140,CT101+CS102-DB101)))</f>
        <v>357.49000000000052</v>
      </c>
      <c r="CU102" s="17">
        <f>CT102*VLOOKUP('Données projet'!$B$13,Paramètres!$A$1:$I$89,3,0)*VLOOKUP('Données projet'!$B$13,Paramètres!$A$1:$I$89,5,0)</f>
        <v>384.80223600000056</v>
      </c>
      <c r="CV102" s="13">
        <f t="shared" si="95"/>
        <v>88.688640299897202</v>
      </c>
      <c r="CW102" s="20">
        <f t="shared" si="67"/>
        <v>824.66327622232177</v>
      </c>
      <c r="CX102" s="59">
        <f t="shared" si="68"/>
        <v>1101.7861155767318</v>
      </c>
      <c r="CY102" s="59">
        <f ca="1">AVERAGE(OFFSET($CX$3,0,0,'Données projet'!$E$13+1,1))-AVERAGE(OFFSET($H$3,0,0,'Données projet'!$E$13+1,1))</f>
        <v>792.94606354161886</v>
      </c>
      <c r="CZ102" s="59">
        <f t="shared" si="96"/>
        <v>346.14443498270919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30.402674061154723</v>
      </c>
      <c r="DG102" s="21">
        <f>EXP(-LN(2)/25)*DG101+(1-EXP(-LN(2)/25))/(LN(2)/25)*Calculateur!DB102*Calculateur!DD102*VLOOKUP('Données projet'!$B$13,Paramètres!$A$1:$I$89,3,0)*0.475*44/12</f>
        <v>29.191956035600771</v>
      </c>
      <c r="DH102" s="21">
        <f>EXP(-LN(2)/2)*DH101+(1-EXP(-LN(2)/2))/(LN(2)/2)*DB102*DE102*VLOOKUP('Données projet'!$B$13,Paramètres!$A$1:$I$89,3,0)*0.475*44/12</f>
        <v>1.2475613926421727</v>
      </c>
      <c r="DI102" s="22">
        <f t="shared" si="69"/>
        <v>60.842191489397671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1.9230769230769227</v>
      </c>
      <c r="DO102" s="12">
        <f>IF('Données projet'!$A$166&gt;35,DO101+DN102-DW101,IF(A102&lt;'Données projet'!$A$166,$DL$205^A102,IF(A102='Données projet'!$A$166,'Données projet'!$B$166,DO101+DN102-DW101)))</f>
        <v>141.02564102564102</v>
      </c>
      <c r="DP102" s="17">
        <f>DO102*VLOOKUP('Données projet'!$B$14,Paramètres!$A$1:$I$89,3,0)*VLOOKUP('Données projet'!$B$14,Paramètres!$A$1:$I$89,5,0)</f>
        <v>147.4</v>
      </c>
      <c r="DQ102" s="13">
        <f t="shared" si="97"/>
        <v>37.987126351804257</v>
      </c>
      <c r="DR102" s="20">
        <f t="shared" si="70"/>
        <v>322.88257839605905</v>
      </c>
      <c r="DS102" s="59">
        <f t="shared" si="71"/>
        <v>600.00541775046918</v>
      </c>
      <c r="DT102" s="59">
        <f ca="1">AVERAGE(OFFSET($DS$3,0,0,'Données projet'!$E$14+1,1))-AVERAGE(OFFSET($H$3,0,0,'Données projet'!$E$14+1,1))</f>
        <v>269.21114382490202</v>
      </c>
      <c r="DU102" s="59">
        <f t="shared" si="98"/>
        <v>233.07776944102309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1.8042985465807702</v>
      </c>
      <c r="EB102" s="21">
        <f>EXP(-LN(2)/25)*EB101+(1-EXP(-LN(2)/25))/(LN(2)/25)*Calculateur!DW102*Calculateur!DY102*VLOOKUP('Données projet'!$B$14,Paramètres!$A$1:$I$89,3,0)*0.475*44/12</f>
        <v>13.393942494706547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15.198241041287318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8.9420000000000019</v>
      </c>
      <c r="FE102" s="12">
        <f>IF('Données projet'!$A$218&gt;35,FE101+FD102-FM101,IF(A102&lt;'Données projet'!$A$218,$FB$205^A102,IF(A102='Données projet'!$A$218,'Données projet'!$B$218,FE101+FD102-FM101)))</f>
        <v>357.49000000000052</v>
      </c>
      <c r="FF102" s="17">
        <f>FE102*VLOOKUP('Données projet'!$B$16,Paramètres!$A$1:$I$89,3,0)*VLOOKUP('Données projet'!$B$16,Paramètres!$A$1:$I$89,5,0)</f>
        <v>407.1096120000006</v>
      </c>
      <c r="FG102" s="13">
        <f t="shared" si="101"/>
        <v>93.21654869907573</v>
      </c>
      <c r="FH102" s="20">
        <f t="shared" si="76"/>
        <v>871.40139655089126</v>
      </c>
      <c r="FI102" s="59">
        <f t="shared" si="77"/>
        <v>1148.5242359053013</v>
      </c>
      <c r="FJ102" s="59">
        <f ca="1">AVERAGE(OFFSET($FI$3,0,0,'Données projet'!$E$16+1,1))-AVERAGE(OFFSET($H$3,0,0,'Données projet'!$E$16+1,1))</f>
        <v>833.39050463936144</v>
      </c>
      <c r="FK102" s="59">
        <f t="shared" si="102"/>
        <v>362.56178526355507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32.165147919772387</v>
      </c>
      <c r="FR102" s="21">
        <f>EXP(-LN(2)/25)*FR101+(1-EXP(-LN(2)/25))/(LN(2)/25)*Calculateur!FM102*Calculateur!FO102*VLOOKUP('Données projet'!$B$16,Paramètres!$A$1:$I$89,3,0)*0.475*44/12</f>
        <v>30.884243342012418</v>
      </c>
      <c r="FS102" s="21">
        <f>EXP(-LN(2)/2)*FS101+(1-EXP(-LN(2)/2))/(LN(2)/2)*FM102*FP102*VLOOKUP('Données projet'!$B$16,Paramètres!$A$1:$I$89,3,0)*0.475*44/12</f>
        <v>1.3198837922156321</v>
      </c>
      <c r="FT102" s="22">
        <f t="shared" si="78"/>
        <v>64.36927505400044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990.26607187578247</v>
      </c>
      <c r="S103" s="59">
        <f ca="1">AVERAGE(OFFSET($R$3,0,0,'Données projet'!$E$9+1,1))-AVERAGE(OFFSET($H$3,0,0,'Données projet'!$E$9+1,1))</f>
        <v>681.47578137804555</v>
      </c>
      <c r="T103" s="59">
        <f t="shared" si="88"/>
        <v>300.88511065995885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371.56204800000057</v>
      </c>
      <c r="AK103" s="13">
        <f t="shared" si="89"/>
        <v>85.986795441367093</v>
      </c>
      <c r="AL103" s="20">
        <f t="shared" si="58"/>
        <v>796.89756899371525</v>
      </c>
      <c r="AM103" s="59">
        <f t="shared" si="59"/>
        <v>1074.3016241774244</v>
      </c>
      <c r="AN103" s="59">
        <f ca="1">AVERAGE(OFFSET($AM$3,0,0,'Données projet'!$E$10+1,1))-AVERAGE(OFFSET($H$3,0,0,'Données projet'!$E$10+1,1))</f>
        <v>752.45542076695506</v>
      </c>
      <c r="AO103" s="59">
        <f t="shared" si="90"/>
        <v>329.70629768420724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28.078583345362532</v>
      </c>
      <c r="AV103" s="21">
        <f>EXP(-LN(2)/25)*AV102+(1-EXP(-LN(2)/25))/(LN(2)/25)*Calculateur!AQ103*Calculateur!AS103*VLOOKUP('Données projet'!$B$10,Paramètres!$A$1:$I$89,3,0)*0.475*44/12</f>
        <v>26.747688841644731</v>
      </c>
      <c r="AW103" s="21">
        <f>EXP(-LN(2)/2)*AW102+(1-EXP(-LN(2)/2))/(LN(2)/2)*AQ103*AT103*VLOOKUP('Données projet'!$B$10,Paramètres!$A$1:$I$89,3,0)*0.475*44/12</f>
        <v>0.8310194615137374</v>
      </c>
      <c r="AX103" s="21">
        <f t="shared" si="60"/>
        <v>55.657291648521003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348.69669120000049</v>
      </c>
      <c r="BF103" s="13">
        <f t="shared" si="91"/>
        <v>81.294088179387458</v>
      </c>
      <c r="BG103" s="20">
        <f t="shared" si="61"/>
        <v>748.90060741910065</v>
      </c>
      <c r="BH103" s="59">
        <f t="shared" si="62"/>
        <v>1026.3046626028099</v>
      </c>
      <c r="BI103" s="59">
        <f ca="1">AVERAGE(OFFSET($BH$3,0,0,'Données projet'!$E$11+1,1))-AVERAGE(OFFSET($H$3,0,0,'Données projet'!$E$11+1,1))</f>
        <v>711.91538686535682</v>
      </c>
      <c r="BJ103" s="59">
        <f t="shared" si="92"/>
        <v>313.24593837351722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26.35067052410945</v>
      </c>
      <c r="BQ103" s="21">
        <f>EXP(-LN(2)/25)*BQ102+(1-EXP(-LN(2)/25))/(LN(2)/25)*Calculateur!BL103*Calculateur!BN103*VLOOKUP('Données projet'!$B$11,Paramètres!$A$1:$I$89,3,0)*0.475*44/12</f>
        <v>25.101677220620438</v>
      </c>
      <c r="BR103" s="21">
        <f>EXP(-LN(2)/2)*BR102+(1-EXP(-LN(2)/2))/(LN(2)/2)*BL103*BO103*VLOOKUP('Données projet'!$B$11,Paramètres!$A$1:$I$89,3,0)*0.475*44/12</f>
        <v>0.77987980234366117</v>
      </c>
      <c r="BS103" s="22">
        <f t="shared" si="63"/>
        <v>52.232227547073556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8.9420000000000019</v>
      </c>
      <c r="BY103" s="12">
        <f>IF('Données projet'!$A$114&gt;35,BY102+BX103-CG102,IF(A103&lt;'Données projet'!$A$114,$BV$205^A103,IF(A103='Données projet'!$A$114,'Données projet'!$B$114,BY102+BX103-CG102)))</f>
        <v>366.43200000000053</v>
      </c>
      <c r="BZ103" s="13">
        <f>BY103*VLOOKUP('Données projet'!$B$12,Paramètres!$A$1:$I$89,3,0)*VLOOKUP('Données projet'!$B$12,Paramètres!$A$1:$I$89,5,0)</f>
        <v>354.41303040000054</v>
      </c>
      <c r="CA103" s="13">
        <f t="shared" si="93"/>
        <v>82.470536319506934</v>
      </c>
      <c r="CB103" s="20">
        <f t="shared" si="64"/>
        <v>760.90554536980881</v>
      </c>
      <c r="CC103" s="59">
        <f t="shared" si="65"/>
        <v>1038.3096005535181</v>
      </c>
      <c r="CD103" s="59">
        <f ca="1">AVERAGE(OFFSET($CC$3,0,0,'Données projet'!$E$12+1,1))-AVERAGE(OFFSET($H$3,0,0,'Données projet'!$E$12+1,1))</f>
        <v>722.05521609092671</v>
      </c>
      <c r="CE103" s="59">
        <f t="shared" si="94"/>
        <v>317.36319714884644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26.782648729422725</v>
      </c>
      <c r="CL103" s="21">
        <f>EXP(-LN(2)/25)*CL102+(1-EXP(-LN(2)/25))/(LN(2)/25)*Calculateur!CG103*Calculateur!CI103*VLOOKUP('Données projet'!$B$12,Paramètres!$A$1:$I$89,3,0)*0.475*44/12</f>
        <v>25.513180125876509</v>
      </c>
      <c r="CM103" s="21">
        <f>EXP(-LN(2)/2)*CM102+(1-EXP(-LN(2)/2))/(LN(2)/2)*CG103*CJ103*VLOOKUP('Données projet'!$B$12,Paramètres!$A$1:$I$89,3,0)*0.475*44/12</f>
        <v>0.79266471713617992</v>
      </c>
      <c r="CN103" s="22">
        <f t="shared" si="66"/>
        <v>53.088493572435411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8.9420000000000019</v>
      </c>
      <c r="CT103" s="12">
        <f>IF('Données projet'!$A$140&gt;35,CT102+CS103-DB102,IF(A103&lt;'Données projet'!$A$140,$CQ$205^A103,IF(A103='Données projet'!$A$140,'Données projet'!$B$140,CT102+CS103-DB102)))</f>
        <v>366.43200000000053</v>
      </c>
      <c r="CU103" s="17">
        <f>CT103*VLOOKUP('Données projet'!$B$13,Paramètres!$A$1:$I$89,3,0)*VLOOKUP('Données projet'!$B$13,Paramètres!$A$1:$I$89,5,0)</f>
        <v>394.42740480000055</v>
      </c>
      <c r="CV103" s="13">
        <f t="shared" si="95"/>
        <v>90.645986257962804</v>
      </c>
      <c r="CW103" s="20">
        <f t="shared" si="67"/>
        <v>844.83615609261949</v>
      </c>
      <c r="CX103" s="59">
        <f t="shared" si="68"/>
        <v>1122.2402112763286</v>
      </c>
      <c r="CY103" s="59">
        <f ca="1">AVERAGE(OFFSET($CX$3,0,0,'Données projet'!$E$13+1,1))-AVERAGE(OFFSET($H$3,0,0,'Données projet'!$E$13+1,1))</f>
        <v>792.94606354161886</v>
      </c>
      <c r="CZ103" s="59">
        <f t="shared" si="96"/>
        <v>346.14443498270919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29.806496166615609</v>
      </c>
      <c r="DG103" s="21">
        <f>EXP(-LN(2)/25)*DG102+(1-EXP(-LN(2)/25))/(LN(2)/25)*Calculateur!DB103*Calculateur!DD103*VLOOKUP('Données projet'!$B$13,Paramètres!$A$1:$I$89,3,0)*0.475*44/12</f>
        <v>28.39370046266902</v>
      </c>
      <c r="DH103" s="21">
        <f>EXP(-LN(2)/2)*DH102+(1-EXP(-LN(2)/2))/(LN(2)/2)*DB103*DE103*VLOOKUP('Données projet'!$B$13,Paramètres!$A$1:$I$89,3,0)*0.475*44/12</f>
        <v>0.88215912068381341</v>
      </c>
      <c r="DI103" s="22">
        <f t="shared" si="69"/>
        <v>59.08235574996845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142.94871794871796</v>
      </c>
      <c r="DM103" s="12">
        <f>VLOOKUP(A103,'Données projet'!$A$165:$I$185,9,0)</f>
        <v>1.9230769230769227</v>
      </c>
      <c r="DN103" s="12">
        <f t="array" ref="DN103">INDEX(DM:DM,MIN(IF(ISNUMBER(DM103:DM299),ROW(DM103:DM299),"")))</f>
        <v>1.9230769230769227</v>
      </c>
      <c r="DO103" s="12">
        <f>IF('Données projet'!$A$166&gt;35,DO102+DN103-DW102,IF(A103&lt;'Données projet'!$A$166,$DL$205^A103,IF(A103='Données projet'!$A$166,'Données projet'!$B$166,DO102+DN103-DW102)))</f>
        <v>142.94871794871796</v>
      </c>
      <c r="DP103" s="17">
        <f>DO103*VLOOKUP('Données projet'!$B$14,Paramètres!$A$1:$I$89,3,0)*VLOOKUP('Données projet'!$B$14,Paramètres!$A$1:$I$89,5,0)</f>
        <v>149.41000000000003</v>
      </c>
      <c r="DQ103" s="13">
        <f t="shared" si="97"/>
        <v>38.444475265192452</v>
      </c>
      <c r="DR103" s="20">
        <f t="shared" si="70"/>
        <v>327.17987775354362</v>
      </c>
      <c r="DS103" s="59">
        <f t="shared" si="71"/>
        <v>604.58393293725283</v>
      </c>
      <c r="DT103" s="59">
        <f ca="1">AVERAGE(OFFSET($DS$3,0,0,'Données projet'!$E$14+1,1))-AVERAGE(OFFSET($H$3,0,0,'Données projet'!$E$14+1,1))</f>
        <v>269.21114382490202</v>
      </c>
      <c r="DU103" s="59">
        <f t="shared" si="98"/>
        <v>233.07776944102309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142.94871794871796</v>
      </c>
      <c r="DX103" s="16">
        <f>IF(ISNA(VLOOKUP(A103,'Données projet'!$A$165:$I$185,5,0)),0%,VLOOKUP(A103,'Données projet'!$A$165:$I$185,5,0)*VLOOKUP('Données projet'!$B$14,Paramètres!$A$1:$I$89,7,0))</f>
        <v>4.3000000000000003E-2</v>
      </c>
      <c r="DY103" s="16">
        <f>IF(ISNA(VLOOKUP(A103,'Données projet'!$A$165:$I$185,6,0)),0%,VLOOKUP(A103,'Données projet'!$A$165:$I$185,6,0)*VLOOKUP('Données projet'!$B$14,Paramètres!$A$1:$I$89,7,0))</f>
        <v>0.215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8.8711555170545484</v>
      </c>
      <c r="EB103" s="21">
        <f>EXP(-LN(2)/25)*EB102+(1-EXP(-LN(2)/25))/(LN(2)/25)*Calculateur!DW103*Calculateur!DY103*VLOOKUP('Données projet'!$B$14,Paramètres!$A$1:$I$89,3,0)*0.475*44/12</f>
        <v>48.399054166033999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57.270209683088545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8.9420000000000019</v>
      </c>
      <c r="FE103" s="12">
        <f>IF('Données projet'!$A$218&gt;35,FE102+FD103-FM102,IF(A103&lt;'Données projet'!$A$218,$FB$205^A103,IF(A103='Données projet'!$A$218,'Données projet'!$B$218,FE102+FD103-FM102)))</f>
        <v>366.43200000000053</v>
      </c>
      <c r="FF103" s="17">
        <f>FE103*VLOOKUP('Données projet'!$B$16,Paramètres!$A$1:$I$89,3,0)*VLOOKUP('Données projet'!$B$16,Paramètres!$A$1:$I$89,5,0)</f>
        <v>417.29276160000063</v>
      </c>
      <c r="FG103" s="13">
        <f t="shared" si="101"/>
        <v>95.273824965844312</v>
      </c>
      <c r="FH103" s="20">
        <f t="shared" si="76"/>
        <v>892.72013826884665</v>
      </c>
      <c r="FI103" s="59">
        <f t="shared" si="77"/>
        <v>1170.1241934525558</v>
      </c>
      <c r="FJ103" s="59">
        <f ca="1">AVERAGE(OFFSET($FI$3,0,0,'Données projet'!$E$16+1,1))-AVERAGE(OFFSET($H$3,0,0,'Données projet'!$E$16+1,1))</f>
        <v>833.39050463936144</v>
      </c>
      <c r="FK103" s="59">
        <f t="shared" si="102"/>
        <v>362.56178526355507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31.534408987868687</v>
      </c>
      <c r="FR103" s="21">
        <f>EXP(-LN(2)/25)*FR102+(1-EXP(-LN(2)/25))/(LN(2)/25)*Calculateur!FM103*Calculateur!FO103*VLOOKUP('Données projet'!$B$16,Paramètres!$A$1:$I$89,3,0)*0.475*44/12</f>
        <v>30.039712083693317</v>
      </c>
      <c r="FS103" s="21">
        <f>EXP(-LN(2)/2)*FS102+(1-EXP(-LN(2)/2))/(LN(2)/2)*FM103*FP103*VLOOKUP('Données projet'!$B$16,Paramètres!$A$1:$I$89,3,0)*0.475*44/12</f>
        <v>0.93329877985388965</v>
      </c>
      <c r="FT103" s="22">
        <f t="shared" si="78"/>
        <v>62.507419851415897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1007.5495431743766</v>
      </c>
      <c r="S104" s="59">
        <f ca="1">AVERAGE(OFFSET($R$3,0,0,'Données projet'!$E$9+1,1))-AVERAGE(OFFSET($H$3,0,0,'Données projet'!$E$9+1,1))</f>
        <v>681.47578137804555</v>
      </c>
      <c r="T104" s="59">
        <f t="shared" si="88"/>
        <v>300.88511065995885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380.62923600000056</v>
      </c>
      <c r="AK104" s="13">
        <f t="shared" si="89"/>
        <v>87.83826696657087</v>
      </c>
      <c r="AL104" s="20">
        <f t="shared" si="58"/>
        <v>815.91423433344517</v>
      </c>
      <c r="AM104" s="59">
        <f t="shared" si="59"/>
        <v>1093.5946268805196</v>
      </c>
      <c r="AN104" s="59">
        <f ca="1">AVERAGE(OFFSET($AM$3,0,0,'Données projet'!$E$10+1,1))-AVERAGE(OFFSET($H$3,0,0,'Données projet'!$E$10+1,1))</f>
        <v>752.45542076695506</v>
      </c>
      <c r="AO104" s="59">
        <f t="shared" si="90"/>
        <v>329.70629768420724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27.527979452204736</v>
      </c>
      <c r="AV104" s="21">
        <f>EXP(-LN(2)/25)*AV103+(1-EXP(-LN(2)/25))/(LN(2)/25)*Calculateur!AQ104*Calculateur!AS104*VLOOKUP('Données projet'!$B$10,Paramètres!$A$1:$I$89,3,0)*0.475*44/12</f>
        <v>26.016271883670132</v>
      </c>
      <c r="AW104" s="21">
        <f>EXP(-LN(2)/2)*AW103+(1-EXP(-LN(2)/2))/(LN(2)/2)*AQ104*AT104*VLOOKUP('Données projet'!$B$10,Paramètres!$A$1:$I$89,3,0)*0.475*44/12</f>
        <v>0.58761949653435686</v>
      </c>
      <c r="AX104" s="21">
        <f t="shared" si="60"/>
        <v>54.131870832409227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357.20589840000048</v>
      </c>
      <c r="BF104" s="13">
        <f t="shared" si="91"/>
        <v>83.044516121944824</v>
      </c>
      <c r="BG104" s="20">
        <f t="shared" si="61"/>
        <v>766.76947195905461</v>
      </c>
      <c r="BH104" s="59">
        <f t="shared" si="62"/>
        <v>1044.449864506129</v>
      </c>
      <c r="BI104" s="59">
        <f ca="1">AVERAGE(OFFSET($BH$3,0,0,'Données projet'!$E$11+1,1))-AVERAGE(OFFSET($H$3,0,0,'Données projet'!$E$11+1,1))</f>
        <v>711.91538686535682</v>
      </c>
      <c r="BJ104" s="59">
        <f t="shared" si="92"/>
        <v>313.24593837351722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25.833949947453675</v>
      </c>
      <c r="BQ104" s="21">
        <f>EXP(-LN(2)/25)*BQ103+(1-EXP(-LN(2)/25))/(LN(2)/25)*Calculateur!BL104*Calculateur!BN104*VLOOKUP('Données projet'!$B$11,Paramètres!$A$1:$I$89,3,0)*0.475*44/12</f>
        <v>24.415270536982739</v>
      </c>
      <c r="BR104" s="21">
        <f>EXP(-LN(2)/2)*BR103+(1-EXP(-LN(2)/2))/(LN(2)/2)*BL104*BO104*VLOOKUP('Données projet'!$B$11,Paramètres!$A$1:$I$89,3,0)*0.475*44/12</f>
        <v>0.55145829674762714</v>
      </c>
      <c r="BS104" s="22">
        <f t="shared" si="63"/>
        <v>50.80067878118404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8.9420000000000019</v>
      </c>
      <c r="BY104" s="12">
        <f>IF('Données projet'!$A$114&gt;35,BY103+BX104-CG103,IF(A104&lt;'Données projet'!$A$114,$BV$205^A104,IF(A104='Données projet'!$A$114,'Données projet'!$B$114,BY103+BX104-CG103)))</f>
        <v>375.37400000000054</v>
      </c>
      <c r="BZ104" s="13">
        <f>BY104*VLOOKUP('Données projet'!$B$12,Paramètres!$A$1:$I$89,3,0)*VLOOKUP('Données projet'!$B$12,Paramètres!$A$1:$I$89,5,0)</f>
        <v>363.06173280000053</v>
      </c>
      <c r="CA104" s="13">
        <f t="shared" si="93"/>
        <v>84.246295596034003</v>
      </c>
      <c r="CB104" s="20">
        <f t="shared" si="64"/>
        <v>779.06148278976013</v>
      </c>
      <c r="CC104" s="59">
        <f t="shared" si="65"/>
        <v>1056.7418753368345</v>
      </c>
      <c r="CD104" s="59">
        <f ca="1">AVERAGE(OFFSET($CC$3,0,0,'Données projet'!$E$12+1,1))-AVERAGE(OFFSET($H$3,0,0,'Données projet'!$E$12+1,1))</f>
        <v>722.05521609092671</v>
      </c>
      <c r="CE104" s="59">
        <f t="shared" si="94"/>
        <v>317.36319714884644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26.257457323641443</v>
      </c>
      <c r="CL104" s="21">
        <f>EXP(-LN(2)/25)*CL103+(1-EXP(-LN(2)/25))/(LN(2)/25)*Calculateur!CG104*Calculateur!CI104*VLOOKUP('Données projet'!$B$12,Paramètres!$A$1:$I$89,3,0)*0.475*44/12</f>
        <v>24.815520873654584</v>
      </c>
      <c r="CM104" s="21">
        <f>EXP(-LN(2)/2)*CM103+(1-EXP(-LN(2)/2))/(LN(2)/2)*CG104*CJ104*VLOOKUP('Données projet'!$B$12,Paramètres!$A$1:$I$89,3,0)*0.475*44/12</f>
        <v>0.56049859669430935</v>
      </c>
      <c r="CN104" s="22">
        <f t="shared" si="66"/>
        <v>51.633476793990333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8.9420000000000019</v>
      </c>
      <c r="CT104" s="12">
        <f>IF('Données projet'!$A$140&gt;35,CT103+CS104-DB103,IF(A104&lt;'Données projet'!$A$140,$CQ$205^A104,IF(A104='Données projet'!$A$140,'Données projet'!$B$140,CT103+CS104-DB103)))</f>
        <v>375.37400000000054</v>
      </c>
      <c r="CU104" s="17">
        <f>CT104*VLOOKUP('Données projet'!$B$13,Paramètres!$A$1:$I$89,3,0)*VLOOKUP('Données projet'!$B$13,Paramètres!$A$1:$I$89,5,0)</f>
        <v>404.05257360000053</v>
      </c>
      <c r="CV104" s="13">
        <f t="shared" si="95"/>
        <v>92.597779688211872</v>
      </c>
      <c r="CW104" s="20">
        <f t="shared" si="67"/>
        <v>864.99936531030323</v>
      </c>
      <c r="CX104" s="59">
        <f t="shared" si="68"/>
        <v>1142.6797578573776</v>
      </c>
      <c r="CY104" s="59">
        <f ca="1">AVERAGE(OFFSET($CX$3,0,0,'Données projet'!$E$13+1,1))-AVERAGE(OFFSET($H$3,0,0,'Données projet'!$E$13+1,1))</f>
        <v>792.94606354161886</v>
      </c>
      <c r="CZ104" s="59">
        <f t="shared" si="96"/>
        <v>346.14443498270919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29.222008956955797</v>
      </c>
      <c r="DG104" s="21">
        <f>EXP(-LN(2)/25)*DG103+(1-EXP(-LN(2)/25))/(LN(2)/25)*Calculateur!DB104*Calculateur!DD104*VLOOKUP('Données projet'!$B$13,Paramètres!$A$1:$I$89,3,0)*0.475*44/12</f>
        <v>27.617273230357522</v>
      </c>
      <c r="DH104" s="21">
        <f>EXP(-LN(2)/2)*DH103+(1-EXP(-LN(2)/2))/(LN(2)/2)*DB104*DE104*VLOOKUP('Données projet'!$B$13,Paramètres!$A$1:$I$89,3,0)*0.475*44/12</f>
        <v>0.62378069632108646</v>
      </c>
      <c r="DI104" s="22">
        <f t="shared" si="69"/>
        <v>57.4630628836344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269.21114382490202</v>
      </c>
      <c r="DU104" s="59">
        <f t="shared" si="98"/>
        <v>233.07776944102309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8.6971975682356959</v>
      </c>
      <c r="EB104" s="21">
        <f>EXP(-LN(2)/25)*EB103+(1-EXP(-LN(2)/25))/(LN(2)/25)*Calculateur!DW104*Calculateur!DY104*VLOOKUP('Données projet'!$B$14,Paramètres!$A$1:$I$89,3,0)*0.475*44/12</f>
        <v>47.075579484668161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55.772777052903855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8.9420000000000019</v>
      </c>
      <c r="FE104" s="12">
        <f>IF('Données projet'!$A$218&gt;35,FE103+FD104-FM103,IF(A104&lt;'Données projet'!$A$218,$FB$205^A104,IF(A104='Données projet'!$A$218,'Données projet'!$B$218,FE103+FD104-FM103)))</f>
        <v>375.37400000000054</v>
      </c>
      <c r="FF104" s="17">
        <f>FE104*VLOOKUP('Données projet'!$B$16,Paramètres!$A$1:$I$89,3,0)*VLOOKUP('Données projet'!$B$16,Paramètres!$A$1:$I$89,5,0)</f>
        <v>427.47591120000061</v>
      </c>
      <c r="FG104" s="13">
        <f t="shared" si="101"/>
        <v>97.325265226131535</v>
      </c>
      <c r="FH104" s="20">
        <f t="shared" si="76"/>
        <v>914.02871560884671</v>
      </c>
      <c r="FI104" s="59">
        <f t="shared" si="77"/>
        <v>1191.7091081559211</v>
      </c>
      <c r="FJ104" s="59">
        <f ca="1">AVERAGE(OFFSET($FI$3,0,0,'Données projet'!$E$16+1,1))-AVERAGE(OFFSET($H$3,0,0,'Données projet'!$E$16+1,1))</f>
        <v>833.39050463936144</v>
      </c>
      <c r="FK104" s="59">
        <f t="shared" si="102"/>
        <v>362.56178526355507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30.916038461706858</v>
      </c>
      <c r="FR104" s="21">
        <f>EXP(-LN(2)/25)*FR103+(1-EXP(-LN(2)/25))/(LN(2)/25)*Calculateur!FM104*Calculateur!FO104*VLOOKUP('Données projet'!$B$16,Paramètres!$A$1:$I$89,3,0)*0.475*44/12</f>
        <v>29.218274577044923</v>
      </c>
      <c r="FS104" s="21">
        <f>EXP(-LN(2)/2)*FS103+(1-EXP(-LN(2)/2))/(LN(2)/2)*FM104*FP104*VLOOKUP('Données projet'!$B$16,Paramètres!$A$1:$I$89,3,0)*0.475*44/12</f>
        <v>0.65994189610781617</v>
      </c>
      <c r="FT104" s="22">
        <f t="shared" si="78"/>
        <v>60.794254934859602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1024.8201460246814</v>
      </c>
      <c r="S105" s="59">
        <f ca="1">AVERAGE(OFFSET($R$3,0,0,'Données projet'!$E$9+1,1))-AVERAGE(OFFSET($H$3,0,0,'Données projet'!$E$9+1,1))</f>
        <v>681.47578137804555</v>
      </c>
      <c r="T105" s="59">
        <f t="shared" si="88"/>
        <v>300.88511065995885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389.6964240000006</v>
      </c>
      <c r="AK105" s="13">
        <f t="shared" si="89"/>
        <v>89.684611271990661</v>
      </c>
      <c r="AL105" s="20">
        <f t="shared" si="58"/>
        <v>834.9219697653848</v>
      </c>
      <c r="AM105" s="59">
        <f t="shared" si="59"/>
        <v>1112.8739058403678</v>
      </c>
      <c r="AN105" s="59">
        <f ca="1">AVERAGE(OFFSET($AM$3,0,0,'Données projet'!$E$10+1,1))-AVERAGE(OFFSET($H$3,0,0,'Données projet'!$E$10+1,1))</f>
        <v>752.45542076695506</v>
      </c>
      <c r="AO105" s="59">
        <f t="shared" si="90"/>
        <v>329.70629768420724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26.988172565556553</v>
      </c>
      <c r="AV105" s="21">
        <f>EXP(-LN(2)/25)*AV104+(1-EXP(-LN(2)/25))/(LN(2)/25)*Calculateur!AQ105*Calculateur!AS105*VLOOKUP('Données projet'!$B$10,Paramètres!$A$1:$I$89,3,0)*0.475*44/12</f>
        <v>25.304855560874895</v>
      </c>
      <c r="AW105" s="21">
        <f>EXP(-LN(2)/2)*AW104+(1-EXP(-LN(2)/2))/(LN(2)/2)*AQ105*AT105*VLOOKUP('Données projet'!$B$10,Paramètres!$A$1:$I$89,3,0)*0.475*44/12</f>
        <v>0.4155097307568687</v>
      </c>
      <c r="AX105" s="21">
        <f t="shared" si="60"/>
        <v>52.708537857188318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365.71510560000053</v>
      </c>
      <c r="BF105" s="13">
        <f t="shared" si="91"/>
        <v>84.790096661420279</v>
      </c>
      <c r="BG105" s="20">
        <f t="shared" si="61"/>
        <v>784.62989393864109</v>
      </c>
      <c r="BH105" s="59">
        <f t="shared" si="62"/>
        <v>1062.5818300136241</v>
      </c>
      <c r="BI105" s="59">
        <f ca="1">AVERAGE(OFFSET($BH$3,0,0,'Données projet'!$E$11+1,1))-AVERAGE(OFFSET($H$3,0,0,'Données projet'!$E$11+1,1))</f>
        <v>711.91538686535682</v>
      </c>
      <c r="BJ105" s="59">
        <f t="shared" si="92"/>
        <v>313.24593837351722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25.327361946137685</v>
      </c>
      <c r="BQ105" s="21">
        <f>EXP(-LN(2)/25)*BQ104+(1-EXP(-LN(2)/25))/(LN(2)/25)*Calculateur!BL105*Calculateur!BN105*VLOOKUP('Données projet'!$B$11,Paramètres!$A$1:$I$89,3,0)*0.475*44/12</f>
        <v>23.74763368020567</v>
      </c>
      <c r="BR105" s="21">
        <f>EXP(-LN(2)/2)*BR104+(1-EXP(-LN(2)/2))/(LN(2)/2)*BL105*BO105*VLOOKUP('Données projet'!$B$11,Paramètres!$A$1:$I$89,3,0)*0.475*44/12</f>
        <v>0.38993990117183058</v>
      </c>
      <c r="BS105" s="22">
        <f t="shared" si="63"/>
        <v>49.464935527515181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8.9420000000000019</v>
      </c>
      <c r="BY105" s="12">
        <f>IF('Données projet'!$A$114&gt;35,BY104+BX105-CG104,IF(A105&lt;'Données projet'!$A$114,$BV$205^A105,IF(A105='Données projet'!$A$114,'Données projet'!$B$114,BY104+BX105-CG104)))</f>
        <v>384.31600000000054</v>
      </c>
      <c r="BZ105" s="13">
        <f>BY105*VLOOKUP('Données projet'!$B$12,Paramètres!$A$1:$I$89,3,0)*VLOOKUP('Données projet'!$B$12,Paramètres!$A$1:$I$89,5,0)</f>
        <v>371.71043520000052</v>
      </c>
      <c r="CA105" s="13">
        <f t="shared" si="93"/>
        <v>86.017137320241147</v>
      </c>
      <c r="CB105" s="20">
        <f t="shared" si="64"/>
        <v>797.20885547275418</v>
      </c>
      <c r="CC105" s="59">
        <f t="shared" si="65"/>
        <v>1075.1607915477371</v>
      </c>
      <c r="CD105" s="59">
        <f ca="1">AVERAGE(OFFSET($CC$3,0,0,'Données projet'!$E$12+1,1))-AVERAGE(OFFSET($H$3,0,0,'Données projet'!$E$12+1,1))</f>
        <v>722.05521609092671</v>
      </c>
      <c r="CE105" s="59">
        <f t="shared" si="94"/>
        <v>317.36319714884644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25.742564600992406</v>
      </c>
      <c r="CL105" s="21">
        <f>EXP(-LN(2)/25)*CL104+(1-EXP(-LN(2)/25))/(LN(2)/25)*Calculateur!CG105*Calculateur!CI105*VLOOKUP('Données projet'!$B$12,Paramètres!$A$1:$I$89,3,0)*0.475*44/12</f>
        <v>24.136939150372974</v>
      </c>
      <c r="CM105" s="21">
        <f>EXP(-LN(2)/2)*CM104+(1-EXP(-LN(2)/2))/(LN(2)/2)*CG105*CJ105*VLOOKUP('Données projet'!$B$12,Paramètres!$A$1:$I$89,3,0)*0.475*44/12</f>
        <v>0.39633235856808996</v>
      </c>
      <c r="CN105" s="22">
        <f t="shared" si="66"/>
        <v>50.275836109933465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8.9420000000000019</v>
      </c>
      <c r="CT105" s="12">
        <f>IF('Données projet'!$A$140&gt;35,CT104+CS105-DB104,IF(A105&lt;'Données projet'!$A$140,$CQ$205^A105,IF(A105='Données projet'!$A$140,'Données projet'!$B$140,CT104+CS105-DB104)))</f>
        <v>384.31600000000054</v>
      </c>
      <c r="CU105" s="17">
        <f>CT105*VLOOKUP('Données projet'!$B$13,Paramètres!$A$1:$I$89,3,0)*VLOOKUP('Données projet'!$B$13,Paramètres!$A$1:$I$89,5,0)</f>
        <v>413.67774240000057</v>
      </c>
      <c r="CV105" s="13">
        <f t="shared" si="95"/>
        <v>94.54416808049325</v>
      </c>
      <c r="CW105" s="20">
        <f t="shared" si="67"/>
        <v>885.15316075352678</v>
      </c>
      <c r="CX105" s="59">
        <f t="shared" si="68"/>
        <v>1163.1050968285097</v>
      </c>
      <c r="CY105" s="59">
        <f ca="1">AVERAGE(OFFSET($CX$3,0,0,'Données projet'!$E$13+1,1))-AVERAGE(OFFSET($H$3,0,0,'Données projet'!$E$13+1,1))</f>
        <v>792.94606354161886</v>
      </c>
      <c r="CZ105" s="59">
        <f t="shared" si="96"/>
        <v>346.14443498270919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28.648983184975418</v>
      </c>
      <c r="DG105" s="21">
        <f>EXP(-LN(2)/25)*DG104+(1-EXP(-LN(2)/25))/(LN(2)/25)*Calculateur!DB105*Calculateur!DD105*VLOOKUP('Données projet'!$B$13,Paramètres!$A$1:$I$89,3,0)*0.475*44/12</f>
        <v>26.862077441544116</v>
      </c>
      <c r="DH105" s="21">
        <f>EXP(-LN(2)/2)*DH104+(1-EXP(-LN(2)/2))/(LN(2)/2)*DB105*DE105*VLOOKUP('Données projet'!$B$13,Paramètres!$A$1:$I$89,3,0)*0.475*44/12</f>
        <v>0.44107956034190676</v>
      </c>
      <c r="DI105" s="22">
        <f t="shared" si="69"/>
        <v>55.952140186861442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269.21114382490202</v>
      </c>
      <c r="DU105" s="59">
        <f t="shared" si="98"/>
        <v>233.07776944102309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8.5266508286893075</v>
      </c>
      <c r="EB105" s="21">
        <f>EXP(-LN(2)/25)*EB104+(1-EXP(-LN(2)/25))/(LN(2)/25)*Calculateur!DW105*Calculateur!DY105*VLOOKUP('Données projet'!$B$14,Paramètres!$A$1:$I$89,3,0)*0.475*44/12</f>
        <v>45.788295288062777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54.314946116752083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8.9420000000000019</v>
      </c>
      <c r="FE105" s="12">
        <f>IF('Données projet'!$A$218&gt;35,FE104+FD105-FM104,IF(A105&lt;'Données projet'!$A$218,$FB$205^A105,IF(A105='Données projet'!$A$218,'Données projet'!$B$218,FE104+FD105-FM104)))</f>
        <v>384.31600000000054</v>
      </c>
      <c r="FF105" s="17">
        <f>FE105*VLOOKUP('Données projet'!$B$16,Paramètres!$A$1:$I$89,3,0)*VLOOKUP('Données projet'!$B$16,Paramètres!$A$1:$I$89,5,0)</f>
        <v>437.65906080000065</v>
      </c>
      <c r="FG105" s="13">
        <f t="shared" si="101"/>
        <v>99.371024499730666</v>
      </c>
      <c r="FH105" s="20">
        <f t="shared" si="76"/>
        <v>935.32739856369869</v>
      </c>
      <c r="FI105" s="59">
        <f t="shared" si="77"/>
        <v>1213.2793346386816</v>
      </c>
      <c r="FJ105" s="59">
        <f ca="1">AVERAGE(OFFSET($FI$3,0,0,'Données projet'!$E$16+1,1))-AVERAGE(OFFSET($H$3,0,0,'Données projet'!$E$16+1,1))</f>
        <v>833.39050463936144</v>
      </c>
      <c r="FK105" s="59">
        <f t="shared" si="102"/>
        <v>362.56178526355507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30.309793804394282</v>
      </c>
      <c r="FR105" s="21">
        <f>EXP(-LN(2)/25)*FR104+(1-EXP(-LN(2)/25))/(LN(2)/25)*Calculateur!FM105*Calculateur!FO105*VLOOKUP('Données projet'!$B$16,Paramètres!$A$1:$I$89,3,0)*0.475*44/12</f>
        <v>28.419299322213348</v>
      </c>
      <c r="FS105" s="21">
        <f>EXP(-LN(2)/2)*FS104+(1-EXP(-LN(2)/2))/(LN(2)/2)*FM105*FP105*VLOOKUP('Données projet'!$B$16,Paramètres!$A$1:$I$89,3,0)*0.475*44/12</f>
        <v>0.46664938992694488</v>
      </c>
      <c r="FT105" s="22">
        <f t="shared" si="78"/>
        <v>59.195742516534573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1042.0781730865915</v>
      </c>
      <c r="S106" s="59">
        <f ca="1">AVERAGE(OFFSET($R$3,0,0,'Données projet'!$E$9+1,1))-AVERAGE(OFFSET($H$3,0,0,'Données projet'!$E$9+1,1))</f>
        <v>681.47578137804555</v>
      </c>
      <c r="T106" s="59">
        <f t="shared" si="88"/>
        <v>300.88511065995885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398.76361200000059</v>
      </c>
      <c r="AK106" s="13">
        <f t="shared" si="89"/>
        <v>91.525961384445637</v>
      </c>
      <c r="AL106" s="20">
        <f t="shared" si="58"/>
        <v>853.92100697791045</v>
      </c>
      <c r="AM106" s="59">
        <f t="shared" si="59"/>
        <v>1132.1397759076731</v>
      </c>
      <c r="AN106" s="59">
        <f ca="1">AVERAGE(OFFSET($AM$3,0,0,'Données projet'!$E$10+1,1))-AVERAGE(OFFSET($H$3,0,0,'Données projet'!$E$10+1,1))</f>
        <v>752.45542076695506</v>
      </c>
      <c r="AO106" s="59">
        <f t="shared" si="90"/>
        <v>329.70629768420724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26.458950962705849</v>
      </c>
      <c r="AV106" s="21">
        <f>EXP(-LN(2)/25)*AV105+(1-EXP(-LN(2)/25))/(LN(2)/25)*Calculateur!AQ106*Calculateur!AS106*VLOOKUP('Données projet'!$B$10,Paramètres!$A$1:$I$89,3,0)*0.475*44/12</f>
        <v>24.612892954838252</v>
      </c>
      <c r="AW106" s="21">
        <f>EXP(-LN(2)/2)*AW105+(1-EXP(-LN(2)/2))/(LN(2)/2)*AQ106*AT106*VLOOKUP('Données projet'!$B$10,Paramètres!$A$1:$I$89,3,0)*0.475*44/12</f>
        <v>0.29380974826717843</v>
      </c>
      <c r="AX106" s="21">
        <f t="shared" si="60"/>
        <v>51.36565366581128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374.22431280000052</v>
      </c>
      <c r="BF106" s="13">
        <f t="shared" si="91"/>
        <v>86.530955564728501</v>
      </c>
      <c r="BG106" s="20">
        <f t="shared" si="61"/>
        <v>802.48209240190306</v>
      </c>
      <c r="BH106" s="59">
        <f t="shared" si="62"/>
        <v>1080.7008613316657</v>
      </c>
      <c r="BI106" s="59">
        <f ca="1">AVERAGE(OFFSET($BH$3,0,0,'Données projet'!$E$11+1,1))-AVERAGE(OFFSET($H$3,0,0,'Données projet'!$E$11+1,1))</f>
        <v>711.91538686535682</v>
      </c>
      <c r="BJ106" s="59">
        <f t="shared" si="92"/>
        <v>313.24593837351722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24.830707826539332</v>
      </c>
      <c r="BQ106" s="21">
        <f>EXP(-LN(2)/25)*BQ105+(1-EXP(-LN(2)/25))/(LN(2)/25)*Calculateur!BL106*Calculateur!BN106*VLOOKUP('Données projet'!$B$11,Paramètres!$A$1:$I$89,3,0)*0.475*44/12</f>
        <v>23.098253388386667</v>
      </c>
      <c r="BR106" s="21">
        <f>EXP(-LN(2)/2)*BR105+(1-EXP(-LN(2)/2))/(LN(2)/2)*BL106*BO106*VLOOKUP('Données projet'!$B$11,Paramètres!$A$1:$I$89,3,0)*0.475*44/12</f>
        <v>0.27572914837381357</v>
      </c>
      <c r="BS106" s="22">
        <f t="shared" si="63"/>
        <v>48.204690363299811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8.9420000000000019</v>
      </c>
      <c r="BY106" s="12">
        <f>IF('Données projet'!$A$114&gt;35,BY105+BX106-CG105,IF(A106&lt;'Données projet'!$A$114,$BV$205^A106,IF(A106='Données projet'!$A$114,'Données projet'!$B$114,BY105+BX106-CG105)))</f>
        <v>393.25800000000055</v>
      </c>
      <c r="BZ106" s="13">
        <f>BY106*VLOOKUP('Données projet'!$B$12,Paramètres!$A$1:$I$89,3,0)*VLOOKUP('Données projet'!$B$12,Paramètres!$A$1:$I$89,5,0)</f>
        <v>380.35913760000057</v>
      </c>
      <c r="CA106" s="13">
        <f t="shared" si="93"/>
        <v>87.783189079080117</v>
      </c>
      <c r="CB106" s="20">
        <f t="shared" si="64"/>
        <v>815.34788563273207</v>
      </c>
      <c r="CC106" s="59">
        <f t="shared" si="65"/>
        <v>1093.5666545624947</v>
      </c>
      <c r="CD106" s="59">
        <f ca="1">AVERAGE(OFFSET($CC$3,0,0,'Données projet'!$E$12+1,1))-AVERAGE(OFFSET($H$3,0,0,'Données projet'!$E$12+1,1))</f>
        <v>722.05521609092671</v>
      </c>
      <c r="CE106" s="59">
        <f t="shared" si="94"/>
        <v>317.36319714884644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25.237768610580964</v>
      </c>
      <c r="CL106" s="21">
        <f>EXP(-LN(2)/25)*CL105+(1-EXP(-LN(2)/25))/(LN(2)/25)*Calculateur!CG106*Calculateur!CI106*VLOOKUP('Données projet'!$B$12,Paramètres!$A$1:$I$89,3,0)*0.475*44/12</f>
        <v>23.476913279999561</v>
      </c>
      <c r="CM106" s="21">
        <f>EXP(-LN(2)/2)*CM105+(1-EXP(-LN(2)/2))/(LN(2)/2)*CG106*CJ106*VLOOKUP('Données projet'!$B$12,Paramètres!$A$1:$I$89,3,0)*0.475*44/12</f>
        <v>0.28024929834715467</v>
      </c>
      <c r="CN106" s="22">
        <f t="shared" si="66"/>
        <v>48.99493118892768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8.9420000000000019</v>
      </c>
      <c r="CT106" s="12">
        <f>IF('Données projet'!$A$140&gt;35,CT105+CS106-DB105,IF(A106&lt;'Données projet'!$A$140,$CQ$205^A106,IF(A106='Données projet'!$A$140,'Données projet'!$B$140,CT105+CS106-DB105)))</f>
        <v>393.25800000000055</v>
      </c>
      <c r="CU106" s="17">
        <f>CT106*VLOOKUP('Données projet'!$B$13,Paramètres!$A$1:$I$89,3,0)*VLOOKUP('Données projet'!$B$13,Paramètres!$A$1:$I$89,5,0)</f>
        <v>423.30291120000055</v>
      </c>
      <c r="CV106" s="13">
        <f t="shared" si="95"/>
        <v>96.485291669678588</v>
      </c>
      <c r="CW106" s="20">
        <f t="shared" si="67"/>
        <v>905.2977866646911</v>
      </c>
      <c r="CX106" s="59">
        <f t="shared" si="68"/>
        <v>1183.5165555944538</v>
      </c>
      <c r="CY106" s="59">
        <f ca="1">AVERAGE(OFFSET($CX$3,0,0,'Données projet'!$E$13+1,1))-AVERAGE(OFFSET($H$3,0,0,'Données projet'!$E$13+1,1))</f>
        <v>792.94606354161886</v>
      </c>
      <c r="CZ106" s="59">
        <f t="shared" si="96"/>
        <v>346.14443498270919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28.087194098872363</v>
      </c>
      <c r="DG106" s="21">
        <f>EXP(-LN(2)/25)*DG105+(1-EXP(-LN(2)/25))/(LN(2)/25)*Calculateur!DB106*Calculateur!DD106*VLOOKUP('Données projet'!$B$13,Paramètres!$A$1:$I$89,3,0)*0.475*44/12</f>
        <v>26.127532521289833</v>
      </c>
      <c r="DH106" s="21">
        <f>EXP(-LN(2)/2)*DH105+(1-EXP(-LN(2)/2))/(LN(2)/2)*DB106*DE106*VLOOKUP('Données projet'!$B$13,Paramètres!$A$1:$I$89,3,0)*0.475*44/12</f>
        <v>0.31189034816054328</v>
      </c>
      <c r="DI106" s="22">
        <f t="shared" si="69"/>
        <v>54.526616968322742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269.21114382490202</v>
      </c>
      <c r="DU106" s="59">
        <f t="shared" si="98"/>
        <v>233.07776944102309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8.3594484066821853</v>
      </c>
      <c r="EB106" s="21">
        <f>EXP(-LN(2)/25)*EB105+(1-EXP(-LN(2)/25))/(LN(2)/25)*Calculateur!DW106*Calculateur!DY106*VLOOKUP('Données projet'!$B$14,Paramètres!$A$1:$I$89,3,0)*0.475*44/12</f>
        <v>44.536211945508903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52.895660352191086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8.9420000000000019</v>
      </c>
      <c r="FE106" s="12">
        <f>IF('Données projet'!$A$218&gt;35,FE105+FD106-FM105,IF(A106&lt;'Données projet'!$A$218,$FB$205^A106,IF(A106='Données projet'!$A$218,'Données projet'!$B$218,FE105+FD106-FM105)))</f>
        <v>393.25800000000055</v>
      </c>
      <c r="FF106" s="17">
        <f>FE106*VLOOKUP('Données projet'!$B$16,Paramètres!$A$1:$I$89,3,0)*VLOOKUP('Données projet'!$B$16,Paramètres!$A$1:$I$89,5,0)</f>
        <v>447.84221040000057</v>
      </c>
      <c r="FG106" s="13">
        <f t="shared" si="101"/>
        <v>101.41125018106223</v>
      </c>
      <c r="FH106" s="20">
        <f t="shared" si="76"/>
        <v>956.616443845351</v>
      </c>
      <c r="FI106" s="59">
        <f t="shared" si="77"/>
        <v>1234.8352127751136</v>
      </c>
      <c r="FJ106" s="59">
        <f ca="1">AVERAGE(OFFSET($FI$3,0,0,'Données projet'!$E$16+1,1))-AVERAGE(OFFSET($H$3,0,0,'Données projet'!$E$16+1,1))</f>
        <v>833.39050463936144</v>
      </c>
      <c r="FK106" s="59">
        <f t="shared" si="102"/>
        <v>362.56178526355507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29.715437235038877</v>
      </c>
      <c r="FR106" s="21">
        <f>EXP(-LN(2)/25)*FR105+(1-EXP(-LN(2)/25))/(LN(2)/25)*Calculateur!FM106*Calculateur!FO106*VLOOKUP('Données projet'!$B$16,Paramètres!$A$1:$I$89,3,0)*0.475*44/12</f>
        <v>27.642172087741425</v>
      </c>
      <c r="FS106" s="21">
        <f>EXP(-LN(2)/2)*FS105+(1-EXP(-LN(2)/2))/(LN(2)/2)*FM106*FP106*VLOOKUP('Données projet'!$B$16,Paramètres!$A$1:$I$89,3,0)*0.475*44/12</f>
        <v>0.32997094805390814</v>
      </c>
      <c r="FT106" s="22">
        <f t="shared" si="78"/>
        <v>57.687580270834211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1059.3239055063366</v>
      </c>
      <c r="S107" s="59">
        <f ca="1">AVERAGE(OFFSET($R$3,0,0,'Données projet'!$E$9+1,1))-AVERAGE(OFFSET($H$3,0,0,'Données projet'!$E$9+1,1))</f>
        <v>681.47578137804555</v>
      </c>
      <c r="T107" s="59">
        <f t="shared" si="88"/>
        <v>300.88511065995885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407.83080000000058</v>
      </c>
      <c r="AK107" s="13">
        <f t="shared" si="89"/>
        <v>93.362443935880506</v>
      </c>
      <c r="AL107" s="20">
        <f t="shared" si="58"/>
        <v>872.91156652165955</v>
      </c>
      <c r="AM107" s="59">
        <f t="shared" si="59"/>
        <v>1151.3925393527204</v>
      </c>
      <c r="AN107" s="59">
        <f ca="1">AVERAGE(OFFSET($AM$3,0,0,'Données projet'!$E$10+1,1))-AVERAGE(OFFSET($H$3,0,0,'Données projet'!$E$10+1,1))</f>
        <v>752.45542076695506</v>
      </c>
      <c r="AO107" s="59">
        <f t="shared" si="90"/>
        <v>329.70629768420724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37.089656501151985</v>
      </c>
      <c r="AV107" s="21">
        <f>EXP(-LN(2)/25)*AV106+(1-EXP(-LN(2)/25))/(LN(2)/25)*Calculateur!AQ107*Calculateur!AS107*VLOOKUP('Données projet'!$B$10,Paramètres!$A$1:$I$89,3,0)*0.475*44/12</f>
        <v>30.285937476393563</v>
      </c>
      <c r="AW107" s="21">
        <f>EXP(-LN(2)/2)*AW106+(1-EXP(-LN(2)/2))/(LN(2)/2)*AQ107*AT107*VLOOKUP('Données projet'!$B$10,Paramètres!$A$1:$I$89,3,0)*0.475*44/12</f>
        <v>6.5308250153062213</v>
      </c>
      <c r="AX107" s="21">
        <f t="shared" si="60"/>
        <v>73.906418992851769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382.73352000000051</v>
      </c>
      <c r="BF107" s="13">
        <f t="shared" si="91"/>
        <v>88.267212552908205</v>
      </c>
      <c r="BG107" s="20">
        <f t="shared" si="61"/>
        <v>820.3262758629827</v>
      </c>
      <c r="BH107" s="59">
        <f t="shared" si="62"/>
        <v>1098.8072486940437</v>
      </c>
      <c r="BI107" s="59">
        <f ca="1">AVERAGE(OFFSET($BH$3,0,0,'Données projet'!$E$11+1,1))-AVERAGE(OFFSET($H$3,0,0,'Données projet'!$E$11+1,1))</f>
        <v>711.91538686535682</v>
      </c>
      <c r="BJ107" s="59">
        <f t="shared" si="92"/>
        <v>313.24593837351722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34.807216101081096</v>
      </c>
      <c r="BQ107" s="21">
        <f>EXP(-LN(2)/25)*BQ106+(1-EXP(-LN(2)/25))/(LN(2)/25)*Calculateur!BL107*Calculateur!BN107*VLOOKUP('Données projet'!$B$11,Paramètres!$A$1:$I$89,3,0)*0.475*44/12</f>
        <v>28.422187477846265</v>
      </c>
      <c r="BR107" s="21">
        <f>EXP(-LN(2)/2)*BR106+(1-EXP(-LN(2)/2))/(LN(2)/2)*BL107*BO107*VLOOKUP('Données projet'!$B$11,Paramètres!$A$1:$I$89,3,0)*0.475*44/12</f>
        <v>6.128928091287376</v>
      </c>
      <c r="BS107" s="22">
        <f t="shared" si="63"/>
        <v>69.358331670214739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8.9420000000000019</v>
      </c>
      <c r="BX107" s="12">
        <f t="array" ref="BX107">INDEX(BW:BW,MIN(IF(ISNUMBER(BW107:BW303),ROW(BW107:BW303),"")))</f>
        <v>8.9420000000000019</v>
      </c>
      <c r="BY107" s="12">
        <f>IF('Données projet'!$A$114&gt;35,BY106+BX107-CG106,IF(A107&lt;'Données projet'!$A$114,$BV$205^A107,IF(A107='Données projet'!$A$114,'Données projet'!$B$114,BY106+BX107-CG106)))</f>
        <v>402.20000000000056</v>
      </c>
      <c r="BZ107" s="13">
        <f>BY107*VLOOKUP('Données projet'!$B$12,Paramètres!$A$1:$I$89,3,0)*VLOOKUP('Données projet'!$B$12,Paramètres!$A$1:$I$89,5,0)</f>
        <v>389.00784000000056</v>
      </c>
      <c r="CA107" s="13">
        <f t="shared" si="93"/>
        <v>89.544572326133732</v>
      </c>
      <c r="CB107" s="20">
        <f t="shared" si="64"/>
        <v>833.47878480135057</v>
      </c>
      <c r="CC107" s="59">
        <f t="shared" si="65"/>
        <v>1111.9597576324115</v>
      </c>
      <c r="CD107" s="59">
        <f ca="1">AVERAGE(OFFSET($CC$3,0,0,'Données projet'!$E$12+1,1))-AVERAGE(OFFSET($H$3,0,0,'Données projet'!$E$12+1,1))</f>
        <v>722.05521609092671</v>
      </c>
      <c r="CE107" s="59">
        <f t="shared" si="94"/>
        <v>317.36319714884644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66.089999999999975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35.37782620109882</v>
      </c>
      <c r="CL107" s="21">
        <f>EXP(-LN(2)/25)*CL106+(1-EXP(-LN(2)/25))/(LN(2)/25)*Calculateur!CG107*Calculateur!CI107*VLOOKUP('Données projet'!$B$12,Paramètres!$A$1:$I$89,3,0)*0.475*44/12</f>
        <v>28.888124977483088</v>
      </c>
      <c r="CM107" s="21">
        <f>EXP(-LN(2)/2)*CM106+(1-EXP(-LN(2)/2))/(LN(2)/2)*CG107*CJ107*VLOOKUP('Données projet'!$B$12,Paramètres!$A$1:$I$89,3,0)*0.475*44/12</f>
        <v>6.2294023222920885</v>
      </c>
      <c r="CN107" s="22">
        <f t="shared" si="66"/>
        <v>70.495353500873989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402.2</v>
      </c>
      <c r="CR107" s="12">
        <f>VLOOKUP(A107,'Données projet'!$A$139:$I$159,9,0)</f>
        <v>8.9420000000000019</v>
      </c>
      <c r="CS107" s="12">
        <f t="array" ref="CS107">INDEX(CR:CR,MIN(IF(ISNUMBER(CR107:CR303),ROW(CR107:CR303),"")))</f>
        <v>8.9420000000000019</v>
      </c>
      <c r="CT107" s="12">
        <f>IF('Données projet'!$A$140&gt;35,CT106+CS107-DB106,IF(A107&lt;'Données projet'!$A$140,$CQ$205^A107,IF(A107='Données projet'!$A$140,'Données projet'!$B$140,CT106+CS107-DB106)))</f>
        <v>402.20000000000056</v>
      </c>
      <c r="CU107" s="17">
        <f>CT107*VLOOKUP('Données projet'!$B$13,Paramètres!$A$1:$I$89,3,0)*VLOOKUP('Données projet'!$B$13,Paramètres!$A$1:$I$89,5,0)</f>
        <v>432.92808000000059</v>
      </c>
      <c r="CV107" s="13">
        <f t="shared" si="95"/>
        <v>98.421283949259092</v>
      </c>
      <c r="CW107" s="20">
        <f t="shared" si="67"/>
        <v>925.43347554496052</v>
      </c>
      <c r="CX107" s="59">
        <f t="shared" si="68"/>
        <v>1203.9144483760215</v>
      </c>
      <c r="CY107" s="59">
        <f ca="1">AVERAGE(OFFSET($CX$3,0,0,'Données projet'!$E$13+1,1))-AVERAGE(OFFSET($H$3,0,0,'Données projet'!$E$13+1,1))</f>
        <v>792.94606354161886</v>
      </c>
      <c r="CZ107" s="59">
        <f t="shared" si="96"/>
        <v>346.14443498270919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66.089999999999975</v>
      </c>
      <c r="DC107" s="16">
        <f>IF(ISNA(VLOOKUP(A107,'Données projet'!$A$139:$I$159,5,0)),0%,VLOOKUP(A107,'Données projet'!$A$139:$I$159,5,0)*VLOOKUP('Données projet'!$B$13,Paramètres!$A$1:$I$89,7,0))</f>
        <v>0.15049999999999999</v>
      </c>
      <c r="DD107" s="16">
        <f>IF(ISNA(VLOOKUP(A107,'Données projet'!$A$139:$I$159,6,0)),0%,VLOOKUP(A107,'Données projet'!$A$139:$I$159,6,0)*VLOOKUP('Données projet'!$B$13,Paramètres!$A$1:$I$89,7,0))</f>
        <v>8.6000000000000007E-2</v>
      </c>
      <c r="DE107" s="16">
        <f>IF(ISNA(VLOOKUP(A107,'Données projet'!$A$139:$I$159,7,0)),0%,VLOOKUP(A107,'Données projet'!$A$139:$I$159,7,0))</f>
        <v>0.1</v>
      </c>
      <c r="DF107" s="21">
        <f>EXP(-LN(2)/35)*DF106+(1-EXP(-LN(2)/35))/(LN(2)/35)*DB107*DC107*VLOOKUP('Données projet'!$B$13,Paramètres!$A$1:$I$89,3,0)*0.475*44/12</f>
        <v>39.372096901222882</v>
      </c>
      <c r="DG107" s="21">
        <f>EXP(-LN(2)/25)*DG106+(1-EXP(-LN(2)/25))/(LN(2)/25)*Calculateur!DB107*Calculateur!DD107*VLOOKUP('Données projet'!$B$13,Paramètres!$A$1:$I$89,3,0)*0.475*44/12</f>
        <v>32.149687474940855</v>
      </c>
      <c r="DH107" s="21">
        <f>EXP(-LN(2)/2)*DH106+(1-EXP(-LN(2)/2))/(LN(2)/2)*DB107*DE107*VLOOKUP('Données projet'!$B$13,Paramètres!$A$1:$I$89,3,0)*0.475*44/12</f>
        <v>6.9327219393250648</v>
      </c>
      <c r="DI107" s="22">
        <f t="shared" si="69"/>
        <v>78.4545063154888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269.21114382490202</v>
      </c>
      <c r="DU107" s="59">
        <f t="shared" si="98"/>
        <v>233.07776944102309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8.1955247221872156</v>
      </c>
      <c r="EB107" s="21">
        <f>EXP(-LN(2)/25)*EB106+(1-EXP(-LN(2)/25))/(LN(2)/25)*Calculateur!DW107*Calculateur!DY107*VLOOKUP('Données projet'!$B$14,Paramètres!$A$1:$I$89,3,0)*0.475*44/12</f>
        <v>43.318366887801368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51.513891609988583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>
        <f>VLOOKUP(A107,'Données projet'!$A$217:$I$237,2,0)</f>
        <v>402.2</v>
      </c>
      <c r="FC107" s="12">
        <f>VLOOKUP(A107,'Données projet'!$A$217:$I$237,9,0)</f>
        <v>8.9420000000000019</v>
      </c>
      <c r="FD107" s="12">
        <f t="array" ref="FD107">INDEX(FC:FC,MIN(IF(ISNUMBER(FC107:FC303),ROW(FC107:FC303),"")))</f>
        <v>8.9420000000000019</v>
      </c>
      <c r="FE107" s="12">
        <f>IF('Données projet'!$A$218&gt;35,FE106+FD107-FM106,IF(A107&lt;'Données projet'!$A$218,$FB$205^A107,IF(A107='Données projet'!$A$218,'Données projet'!$B$218,FE106+FD107-FM106)))</f>
        <v>402.20000000000056</v>
      </c>
      <c r="FF107" s="17">
        <f>FE107*VLOOKUP('Données projet'!$B$16,Paramètres!$A$1:$I$89,3,0)*VLOOKUP('Données projet'!$B$16,Paramètres!$A$1:$I$89,5,0)</f>
        <v>458.0253600000006</v>
      </c>
      <c r="FG107" s="13">
        <f t="shared" si="101"/>
        <v>103.44608257899176</v>
      </c>
      <c r="FH107" s="20">
        <f t="shared" si="76"/>
        <v>977.89609582507819</v>
      </c>
      <c r="FI107" s="59">
        <f t="shared" si="77"/>
        <v>1256.377068656139</v>
      </c>
      <c r="FJ107" s="59">
        <f ca="1">AVERAGE(OFFSET($FI$3,0,0,'Données projet'!$E$16+1,1))-AVERAGE(OFFSET($H$3,0,0,'Données projet'!$E$16+1,1))</f>
        <v>833.39050463936144</v>
      </c>
      <c r="FK107" s="59">
        <f t="shared" si="102"/>
        <v>362.56178526355507</v>
      </c>
      <c r="FL107" s="15">
        <f>IF(ISNA(VLOOKUP(A107,'Données projet'!$A$217:$I$237,3,0)),0,VLOOKUP(A107,'Données projet'!$A$217:$I$237,3,0))</f>
        <v>8</v>
      </c>
      <c r="FM107" s="15">
        <f>IF(ISNA(VLOOKUP(A107,'Données projet'!$A$217:$I$237,4,0)),0,VLOOKUP(A107,'Données projet'!$A$217:$I$237,4,0))</f>
        <v>66.089999999999975</v>
      </c>
      <c r="FN107" s="16">
        <f>IF(ISNA(VLOOKUP(A107,'Données projet'!$A$217:$I$237,5,0)),0%,VLOOKUP(A107,'Données projet'!$A$217:$I$237,5,0)*VLOOKUP('Données projet'!$B$16,Paramètres!$A$1:$I$89,7,0))</f>
        <v>0.15049999999999999</v>
      </c>
      <c r="FO107" s="16">
        <f>IF(ISNA(VLOOKUP(A107,'Données projet'!$A$217:$I$237,6,0)),0%,VLOOKUP(A107,'Données projet'!$A$217:$I$237,6,0)*VLOOKUP('Données projet'!$B$16,Paramètres!$A$1:$I$89,7,0))</f>
        <v>8.6000000000000007E-2</v>
      </c>
      <c r="FP107" s="16">
        <f>IF(ISNA(VLOOKUP(A107,'Données projet'!$A$217:$I$237,7,0)),0%,VLOOKUP(A107,'Données projet'!$A$217:$I$237,7,0))</f>
        <v>0.1</v>
      </c>
      <c r="FQ107" s="21">
        <f>EXP(-LN(2)/35)*FQ106+(1-EXP(-LN(2)/35))/(LN(2)/35)*FM107*FN107*VLOOKUP('Données projet'!$B$16,Paramètres!$A$1:$I$89,3,0)*0.475*44/12</f>
        <v>41.654537301293772</v>
      </c>
      <c r="FR107" s="21">
        <f>EXP(-LN(2)/25)*FR106+(1-EXP(-LN(2)/25))/(LN(2)/25)*Calculateur!FM107*Calculateur!FO107*VLOOKUP('Données projet'!$B$16,Paramètres!$A$1:$I$89,3,0)*0.475*44/12</f>
        <v>34.01343747348816</v>
      </c>
      <c r="FS107" s="21">
        <f>EXP(-LN(2)/2)*FS106+(1-EXP(-LN(2)/2))/(LN(2)/2)*FM107*FP107*VLOOKUP('Données projet'!$B$16,Paramètres!$A$1:$I$89,3,0)*0.475*44/12</f>
        <v>7.33461886334391</v>
      </c>
      <c r="FT107" s="22">
        <f t="shared" si="78"/>
        <v>83.00259363812583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950.7183796349741</v>
      </c>
      <c r="S108" s="59">
        <f ca="1">AVERAGE(OFFSET($R$3,0,0,'Données projet'!$E$9+1,1))-AVERAGE(OFFSET($H$3,0,0,'Données projet'!$E$9+1,1))</f>
        <v>681.47578137804555</v>
      </c>
      <c r="T108" s="59">
        <f t="shared" si="88"/>
        <v>300.88511065995885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349.78437000000059</v>
      </c>
      <c r="AK108" s="13">
        <f t="shared" si="89"/>
        <v>81.518109189230415</v>
      </c>
      <c r="AL108" s="20">
        <f t="shared" si="58"/>
        <v>751.18515125457725</v>
      </c>
      <c r="AM108" s="59">
        <f t="shared" si="59"/>
        <v>1029.9237793354491</v>
      </c>
      <c r="AN108" s="59">
        <f ca="1">AVERAGE(OFFSET($AM$3,0,0,'Données projet'!$E$10+1,1))-AVERAGE(OFFSET($H$3,0,0,'Données projet'!$E$10+1,1))</f>
        <v>752.45542076695506</v>
      </c>
      <c r="AO108" s="59">
        <f t="shared" si="90"/>
        <v>329.70629768420724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36.362350959621075</v>
      </c>
      <c r="AV108" s="21">
        <f>EXP(-LN(2)/25)*AV107+(1-EXP(-LN(2)/25))/(LN(2)/25)*Calculateur!AQ108*Calculateur!AS108*VLOOKUP('Données projet'!$B$10,Paramètres!$A$1:$I$89,3,0)*0.475*44/12</f>
        <v>29.457766923433351</v>
      </c>
      <c r="AW108" s="21">
        <f>EXP(-LN(2)/2)*AW107+(1-EXP(-LN(2)/2))/(LN(2)/2)*AQ108*AT108*VLOOKUP('Données projet'!$B$10,Paramètres!$A$1:$I$89,3,0)*0.475*44/12</f>
        <v>4.6179906550657677</v>
      </c>
      <c r="AX108" s="21">
        <f t="shared" si="60"/>
        <v>70.43810853812019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328.25917800000053</v>
      </c>
      <c r="BF108" s="13">
        <f t="shared" si="91"/>
        <v>77.069279330976201</v>
      </c>
      <c r="BG108" s="20">
        <f t="shared" si="61"/>
        <v>705.94706318478438</v>
      </c>
      <c r="BH108" s="59">
        <f t="shared" si="62"/>
        <v>984.68569126565615</v>
      </c>
      <c r="BI108" s="59">
        <f ca="1">AVERAGE(OFFSET($BH$3,0,0,'Données projet'!$E$11+1,1))-AVERAGE(OFFSET($H$3,0,0,'Données projet'!$E$11+1,1))</f>
        <v>711.91538686535682</v>
      </c>
      <c r="BJ108" s="59">
        <f t="shared" si="92"/>
        <v>313.24593837351722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34.124667823644401</v>
      </c>
      <c r="BQ108" s="21">
        <f>EXP(-LN(2)/25)*BQ107+(1-EXP(-LN(2)/25))/(LN(2)/25)*Calculateur!BL108*Calculateur!BN108*VLOOKUP('Données projet'!$B$11,Paramètres!$A$1:$I$89,3,0)*0.475*44/12</f>
        <v>27.644981266606678</v>
      </c>
      <c r="BR108" s="21">
        <f>EXP(-LN(2)/2)*BR107+(1-EXP(-LN(2)/2))/(LN(2)/2)*BL108*BO108*VLOOKUP('Données projet'!$B$11,Paramètres!$A$1:$I$89,3,0)*0.475*44/12</f>
        <v>4.3338066147540273</v>
      </c>
      <c r="BS108" s="22">
        <f t="shared" si="63"/>
        <v>66.103455705005103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8.8449999999999989</v>
      </c>
      <c r="BY108" s="12">
        <f>IF('Données projet'!$A$114&gt;35,BY107+BX108-CG107,IF(A108&lt;'Données projet'!$A$114,$BV$205^A108,IF(A108='Données projet'!$A$114,'Données projet'!$B$114,BY107+BX108-CG107)))</f>
        <v>344.95500000000055</v>
      </c>
      <c r="BZ108" s="13">
        <f>BY108*VLOOKUP('Données projet'!$B$12,Paramètres!$A$1:$I$89,3,0)*VLOOKUP('Données projet'!$B$12,Paramètres!$A$1:$I$89,5,0)</f>
        <v>333.64047600000055</v>
      </c>
      <c r="CA108" s="13">
        <f t="shared" si="93"/>
        <v>78.184588111230951</v>
      </c>
      <c r="CB108" s="20">
        <f t="shared" si="64"/>
        <v>717.26198666039488</v>
      </c>
      <c r="CC108" s="59">
        <f t="shared" si="65"/>
        <v>996.00061474126665</v>
      </c>
      <c r="CD108" s="59">
        <f ca="1">AVERAGE(OFFSET($CC$3,0,0,'Données projet'!$E$12+1,1))-AVERAGE(OFFSET($H$3,0,0,'Données projet'!$E$12+1,1))</f>
        <v>722.05521609092671</v>
      </c>
      <c r="CE108" s="59">
        <f t="shared" si="94"/>
        <v>317.36319714884644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34.684088607638571</v>
      </c>
      <c r="CL108" s="21">
        <f>EXP(-LN(2)/25)*CL107+(1-EXP(-LN(2)/25))/(LN(2)/25)*Calculateur!CG108*Calculateur!CI108*VLOOKUP('Données projet'!$B$12,Paramètres!$A$1:$I$89,3,0)*0.475*44/12</f>
        <v>28.098177680813343</v>
      </c>
      <c r="CM108" s="21">
        <f>EXP(-LN(2)/2)*CM107+(1-EXP(-LN(2)/2))/(LN(2)/2)*CG108*CJ108*VLOOKUP('Données projet'!$B$12,Paramètres!$A$1:$I$89,3,0)*0.475*44/12</f>
        <v>4.404852624831963</v>
      </c>
      <c r="CN108" s="22">
        <f t="shared" si="66"/>
        <v>67.187118913283882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8.8449999999999989</v>
      </c>
      <c r="CT108" s="12">
        <f>IF('Données projet'!$A$140&gt;35,CT107+CS108-DB107,IF(A108&lt;'Données projet'!$A$140,$CQ$205^A108,IF(A108='Données projet'!$A$140,'Données projet'!$B$140,CT107+CS108-DB107)))</f>
        <v>344.95500000000055</v>
      </c>
      <c r="CU108" s="17">
        <f>CT108*VLOOKUP('Données projet'!$B$13,Paramètres!$A$1:$I$89,3,0)*VLOOKUP('Données projet'!$B$13,Paramètres!$A$1:$I$89,5,0)</f>
        <v>371.3095620000006</v>
      </c>
      <c r="CV108" s="13">
        <f t="shared" si="95"/>
        <v>85.935164433249753</v>
      </c>
      <c r="CW108" s="20">
        <f t="shared" si="67"/>
        <v>796.36789853791095</v>
      </c>
      <c r="CX108" s="59">
        <f t="shared" si="68"/>
        <v>1075.1065266187827</v>
      </c>
      <c r="CY108" s="59">
        <f ca="1">AVERAGE(OFFSET($CX$3,0,0,'Données projet'!$E$13+1,1))-AVERAGE(OFFSET($H$3,0,0,'Données projet'!$E$13+1,1))</f>
        <v>792.94606354161886</v>
      </c>
      <c r="CZ108" s="59">
        <f t="shared" si="96"/>
        <v>346.14443498270919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38.600034095597763</v>
      </c>
      <c r="DG108" s="21">
        <f>EXP(-LN(2)/25)*DG107+(1-EXP(-LN(2)/25))/(LN(2)/25)*Calculateur!DB108*Calculateur!DD108*VLOOKUP('Données projet'!$B$13,Paramètres!$A$1:$I$89,3,0)*0.475*44/12</f>
        <v>31.270552580260013</v>
      </c>
      <c r="DH108" s="21">
        <f>EXP(-LN(2)/2)*DH107+(1-EXP(-LN(2)/2))/(LN(2)/2)*DB108*DE108*VLOOKUP('Données projet'!$B$13,Paramètres!$A$1:$I$89,3,0)*0.475*44/12</f>
        <v>4.9021746953775063</v>
      </c>
      <c r="DI108" s="22">
        <f t="shared" si="69"/>
        <v>74.772761371235291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269.21114382490202</v>
      </c>
      <c r="DU108" s="59">
        <f t="shared" si="98"/>
        <v>233.07776944102309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8.0348154811616173</v>
      </c>
      <c r="EB108" s="21">
        <f>EXP(-LN(2)/25)*EB107+(1-EXP(-LN(2)/25))/(LN(2)/25)*Calculateur!DW108*Calculateur!DY108*VLOOKUP('Données projet'!$B$14,Paramètres!$A$1:$I$89,3,0)*0.475*44/12</f>
        <v>42.13382386724053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50.168639348402145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8.8449999999999989</v>
      </c>
      <c r="FE108" s="12">
        <f>IF('Données projet'!$A$218&gt;35,FE107+FD108-FM107,IF(A108&lt;'Données projet'!$A$218,$FB$205^A108,IF(A108='Données projet'!$A$218,'Données projet'!$B$218,FE107+FD108-FM107)))</f>
        <v>344.95500000000055</v>
      </c>
      <c r="FF108" s="17">
        <f>FE108*VLOOKUP('Données projet'!$B$16,Paramètres!$A$1:$I$89,3,0)*VLOOKUP('Données projet'!$B$16,Paramètres!$A$1:$I$89,5,0)</f>
        <v>392.83475400000066</v>
      </c>
      <c r="FG108" s="13">
        <f t="shared" si="101"/>
        <v>90.322496920323005</v>
      </c>
      <c r="FH108" s="20">
        <f t="shared" si="76"/>
        <v>841.49887868623046</v>
      </c>
      <c r="FI108" s="59">
        <f t="shared" si="77"/>
        <v>1120.2375067671023</v>
      </c>
      <c r="FJ108" s="59">
        <f ca="1">AVERAGE(OFFSET($FI$3,0,0,'Données projet'!$E$16+1,1))-AVERAGE(OFFSET($H$3,0,0,'Données projet'!$E$16+1,1))</f>
        <v>833.39050463936144</v>
      </c>
      <c r="FK108" s="59">
        <f t="shared" si="102"/>
        <v>362.56178526355507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40.837717231574445</v>
      </c>
      <c r="FR108" s="21">
        <f>EXP(-LN(2)/25)*FR107+(1-EXP(-LN(2)/25))/(LN(2)/25)*Calculateur!FM108*Calculateur!FO108*VLOOKUP('Données projet'!$B$16,Paramètres!$A$1:$I$89,3,0)*0.475*44/12</f>
        <v>33.083338237086686</v>
      </c>
      <c r="FS108" s="21">
        <f>EXP(-LN(2)/2)*FS107+(1-EXP(-LN(2)/2))/(LN(2)/2)*FM108*FP108*VLOOKUP('Données projet'!$B$16,Paramètres!$A$1:$I$89,3,0)*0.475*44/12</f>
        <v>5.1863587356892467</v>
      </c>
      <c r="FT108" s="22">
        <f t="shared" si="78"/>
        <v>79.107414204350391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967.81435367527001</v>
      </c>
      <c r="S109" s="59">
        <f ca="1">AVERAGE(OFFSET($R$3,0,0,'Données projet'!$E$9+1,1))-AVERAGE(OFFSET($H$3,0,0,'Données projet'!$E$9+1,1))</f>
        <v>681.47578137804555</v>
      </c>
      <c r="T109" s="59">
        <f t="shared" si="88"/>
        <v>300.88511065995885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358.75320000000056</v>
      </c>
      <c r="AK109" s="13">
        <f t="shared" si="89"/>
        <v>83.362286707455894</v>
      </c>
      <c r="AL109" s="20">
        <f t="shared" si="58"/>
        <v>770.01780601548671</v>
      </c>
      <c r="AM109" s="59">
        <f t="shared" si="59"/>
        <v>1049.0096196036159</v>
      </c>
      <c r="AN109" s="59">
        <f ca="1">AVERAGE(OFFSET($AM$3,0,0,'Données projet'!$E$10+1,1))-AVERAGE(OFFSET($H$3,0,0,'Données projet'!$E$10+1,1))</f>
        <v>752.45542076695506</v>
      </c>
      <c r="AO109" s="59">
        <f t="shared" si="90"/>
        <v>329.70629768420724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35.649307436147012</v>
      </c>
      <c r="AV109" s="21">
        <f>EXP(-LN(2)/25)*AV108+(1-EXP(-LN(2)/25))/(LN(2)/25)*Calculateur!AQ109*Calculateur!AS109*VLOOKUP('Données projet'!$B$10,Paramètres!$A$1:$I$89,3,0)*0.475*44/12</f>
        <v>28.652242737795429</v>
      </c>
      <c r="AW109" s="21">
        <f>EXP(-LN(2)/2)*AW108+(1-EXP(-LN(2)/2))/(LN(2)/2)*AQ109*AT109*VLOOKUP('Données projet'!$B$10,Paramètres!$A$1:$I$89,3,0)*0.475*44/12</f>
        <v>3.2654125076531111</v>
      </c>
      <c r="AX109" s="21">
        <f t="shared" si="60"/>
        <v>67.566962681595555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336.67608000000052</v>
      </c>
      <c r="BF109" s="13">
        <f t="shared" si="91"/>
        <v>78.81281133511159</v>
      </c>
      <c r="BG109" s="20">
        <f t="shared" si="61"/>
        <v>723.64315240865346</v>
      </c>
      <c r="BH109" s="59">
        <f t="shared" si="62"/>
        <v>1002.6349659967825</v>
      </c>
      <c r="BI109" s="59">
        <f ca="1">AVERAGE(OFFSET($BH$3,0,0,'Données projet'!$E$11+1,1))-AVERAGE(OFFSET($H$3,0,0,'Données projet'!$E$11+1,1))</f>
        <v>711.91538686535682</v>
      </c>
      <c r="BJ109" s="59">
        <f t="shared" si="92"/>
        <v>313.24593837351722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33.455503901614897</v>
      </c>
      <c r="BQ109" s="21">
        <f>EXP(-LN(2)/25)*BQ108+(1-EXP(-LN(2)/25))/(LN(2)/25)*Calculateur!BL109*Calculateur!BN109*VLOOKUP('Données projet'!$B$11,Paramètres!$A$1:$I$89,3,0)*0.475*44/12</f>
        <v>26.889027800084936</v>
      </c>
      <c r="BR109" s="21">
        <f>EXP(-LN(2)/2)*BR108+(1-EXP(-LN(2)/2))/(LN(2)/2)*BL109*BO109*VLOOKUP('Données projet'!$B$11,Paramètres!$A$1:$I$89,3,0)*0.475*44/12</f>
        <v>3.0644640456436885</v>
      </c>
      <c r="BS109" s="22">
        <f t="shared" si="63"/>
        <v>63.408995747343525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8.8449999999999989</v>
      </c>
      <c r="BY109" s="12">
        <f>IF('Données projet'!$A$114&gt;35,BY108+BX109-CG108,IF(A109&lt;'Données projet'!$A$114,$BV$205^A109,IF(A109='Données projet'!$A$114,'Données projet'!$B$114,BY108+BX109-CG108)))</f>
        <v>353.80000000000052</v>
      </c>
      <c r="BZ109" s="13">
        <f>BY109*VLOOKUP('Données projet'!$B$12,Paramètres!$A$1:$I$89,3,0)*VLOOKUP('Données projet'!$B$12,Paramètres!$A$1:$I$89,5,0)</f>
        <v>342.19536000000056</v>
      </c>
      <c r="CA109" s="13">
        <f t="shared" si="93"/>
        <v>79.953351654700143</v>
      </c>
      <c r="CB109" s="20">
        <f t="shared" si="64"/>
        <v>735.24233946527045</v>
      </c>
      <c r="CC109" s="59">
        <f t="shared" si="65"/>
        <v>1014.2341530533995</v>
      </c>
      <c r="CD109" s="59">
        <f ca="1">AVERAGE(OFFSET($CC$3,0,0,'Données projet'!$E$12+1,1))-AVERAGE(OFFSET($H$3,0,0,'Données projet'!$E$12+1,1))</f>
        <v>722.05521609092671</v>
      </c>
      <c r="CE109" s="59">
        <f t="shared" si="94"/>
        <v>317.36319714884644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34.003954785247927</v>
      </c>
      <c r="CL109" s="21">
        <f>EXP(-LN(2)/25)*CL108+(1-EXP(-LN(2)/25))/(LN(2)/25)*Calculateur!CG109*Calculateur!CI109*VLOOKUP('Données projet'!$B$12,Paramètres!$A$1:$I$89,3,0)*0.475*44/12</f>
        <v>27.329831534512557</v>
      </c>
      <c r="CM109" s="21">
        <f>EXP(-LN(2)/2)*CM108+(1-EXP(-LN(2)/2))/(LN(2)/2)*CG109*CJ109*VLOOKUP('Données projet'!$B$12,Paramètres!$A$1:$I$89,3,0)*0.475*44/12</f>
        <v>3.1147011611460447</v>
      </c>
      <c r="CN109" s="22">
        <f t="shared" si="66"/>
        <v>64.448487480906536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8.8449999999999989</v>
      </c>
      <c r="CT109" s="12">
        <f>IF('Données projet'!$A$140&gt;35,CT108+CS109-DB108,IF(A109&lt;'Données projet'!$A$140,$CQ$205^A109,IF(A109='Données projet'!$A$140,'Données projet'!$B$140,CT108+CS109-DB108)))</f>
        <v>353.80000000000052</v>
      </c>
      <c r="CU109" s="17">
        <f>CT109*VLOOKUP('Données projet'!$B$13,Paramètres!$A$1:$I$89,3,0)*VLOOKUP('Données projet'!$B$13,Paramètres!$A$1:$I$89,5,0)</f>
        <v>380.83032000000054</v>
      </c>
      <c r="CV109" s="13">
        <f t="shared" si="95"/>
        <v>87.879268631065798</v>
      </c>
      <c r="CW109" s="20">
        <f t="shared" si="67"/>
        <v>816.33586686577382</v>
      </c>
      <c r="CX109" s="59">
        <f t="shared" si="68"/>
        <v>1095.327680453903</v>
      </c>
      <c r="CY109" s="59">
        <f ca="1">AVERAGE(OFFSET($CX$3,0,0,'Données projet'!$E$13+1,1))-AVERAGE(OFFSET($H$3,0,0,'Données projet'!$E$13+1,1))</f>
        <v>792.94606354161886</v>
      </c>
      <c r="CZ109" s="59">
        <f t="shared" si="96"/>
        <v>346.14443498270919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37.843110970679142</v>
      </c>
      <c r="DG109" s="21">
        <f>EXP(-LN(2)/25)*DG108+(1-EXP(-LN(2)/25))/(LN(2)/25)*Calculateur!DB109*Calculateur!DD109*VLOOKUP('Données projet'!$B$13,Paramètres!$A$1:$I$89,3,0)*0.475*44/12</f>
        <v>30.415457675505913</v>
      </c>
      <c r="DH109" s="21">
        <f>EXP(-LN(2)/2)*DH108+(1-EXP(-LN(2)/2))/(LN(2)/2)*DB109*DE109*VLOOKUP('Données projet'!$B$13,Paramètres!$A$1:$I$89,3,0)*0.475*44/12</f>
        <v>3.4663609696625328</v>
      </c>
      <c r="DI109" s="22">
        <f t="shared" si="69"/>
        <v>71.724929615847586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269.21114382490202</v>
      </c>
      <c r="DU109" s="59">
        <f t="shared" si="98"/>
        <v>233.07776944102309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7.8772576503295726</v>
      </c>
      <c r="EB109" s="21">
        <f>EXP(-LN(2)/25)*EB108+(1-EXP(-LN(2)/25))/(LN(2)/25)*Calculateur!DW109*Calculateur!DY109*VLOOKUP('Données projet'!$B$14,Paramètres!$A$1:$I$89,3,0)*0.475*44/12</f>
        <v>40.98167223786934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48.858929888198915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8.8449999999999989</v>
      </c>
      <c r="FE109" s="12">
        <f>IF('Données projet'!$A$218&gt;35,FE108+FD109-FM108,IF(A109&lt;'Données projet'!$A$218,$FB$205^A109,IF(A109='Données projet'!$A$218,'Données projet'!$B$218,FE108+FD109-FM108)))</f>
        <v>353.80000000000052</v>
      </c>
      <c r="FF109" s="17">
        <f>FE109*VLOOKUP('Données projet'!$B$16,Paramètres!$A$1:$I$89,3,0)*VLOOKUP('Données projet'!$B$16,Paramètres!$A$1:$I$89,5,0)</f>
        <v>402.90744000000063</v>
      </c>
      <c r="FG109" s="13">
        <f t="shared" si="101"/>
        <v>92.365855382229725</v>
      </c>
      <c r="FH109" s="20">
        <f t="shared" si="76"/>
        <v>862.60098945738446</v>
      </c>
      <c r="FI109" s="59">
        <f t="shared" si="77"/>
        <v>1141.5928030455136</v>
      </c>
      <c r="FJ109" s="59">
        <f ca="1">AVERAGE(OFFSET($FI$3,0,0,'Données projet'!$E$16+1,1))-AVERAGE(OFFSET($H$3,0,0,'Données projet'!$E$16+1,1))</f>
        <v>833.39050463936144</v>
      </c>
      <c r="FK109" s="59">
        <f t="shared" si="102"/>
        <v>362.56178526355507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40.036914505211264</v>
      </c>
      <c r="FR109" s="21">
        <f>EXP(-LN(2)/25)*FR108+(1-EXP(-LN(2)/25))/(LN(2)/25)*Calculateur!FM109*Calculateur!FO109*VLOOKUP('Données projet'!$B$16,Paramètres!$A$1:$I$89,3,0)*0.475*44/12</f>
        <v>32.178672613216406</v>
      </c>
      <c r="FS109" s="21">
        <f>EXP(-LN(2)/2)*FS108+(1-EXP(-LN(2)/2))/(LN(2)/2)*FM109*FP109*VLOOKUP('Données projet'!$B$16,Paramètres!$A$1:$I$89,3,0)*0.475*44/12</f>
        <v>3.6673094316719554</v>
      </c>
      <c r="FT109" s="22">
        <f t="shared" si="78"/>
        <v>75.882896550099616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984.89749533608847</v>
      </c>
      <c r="S110" s="59">
        <f ca="1">AVERAGE(OFFSET($R$3,0,0,'Données projet'!$E$9+1,1))-AVERAGE(OFFSET($H$3,0,0,'Données projet'!$E$9+1,1))</f>
        <v>681.47578137804555</v>
      </c>
      <c r="T110" s="59">
        <f t="shared" si="88"/>
        <v>300.88511065995885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367.72203000000059</v>
      </c>
      <c r="AK110" s="13">
        <f t="shared" si="89"/>
        <v>85.201104879888135</v>
      </c>
      <c r="AL110" s="20">
        <f t="shared" si="58"/>
        <v>788.84112658247284</v>
      </c>
      <c r="AM110" s="59">
        <f t="shared" si="59"/>
        <v>1068.0817334753465</v>
      </c>
      <c r="AN110" s="59">
        <f ca="1">AVERAGE(OFFSET($AM$3,0,0,'Données projet'!$E$10+1,1))-AVERAGE(OFFSET($H$3,0,0,'Données projet'!$E$10+1,1))</f>
        <v>752.45542076695506</v>
      </c>
      <c r="AO110" s="59">
        <f t="shared" si="90"/>
        <v>329.70629768420724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34.950246261254669</v>
      </c>
      <c r="AV110" s="21">
        <f>EXP(-LN(2)/25)*AV109+(1-EXP(-LN(2)/25))/(LN(2)/25)*Calculateur!AQ110*Calculateur!AS110*VLOOKUP('Données projet'!$B$10,Paramètres!$A$1:$I$89,3,0)*0.475*44/12</f>
        <v>27.868745653374454</v>
      </c>
      <c r="AW110" s="21">
        <f>EXP(-LN(2)/2)*AW109+(1-EXP(-LN(2)/2))/(LN(2)/2)*AQ110*AT110*VLOOKUP('Données projet'!$B$10,Paramètres!$A$1:$I$89,3,0)*0.475*44/12</f>
        <v>2.3089953275328838</v>
      </c>
      <c r="AX110" s="21">
        <f t="shared" si="60"/>
        <v>65.127987242162007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345.09298200000052</v>
      </c>
      <c r="BF110" s="13">
        <f t="shared" si="91"/>
        <v>80.551276478373012</v>
      </c>
      <c r="BG110" s="20">
        <f t="shared" si="61"/>
        <v>741.33041684983391</v>
      </c>
      <c r="BH110" s="59">
        <f t="shared" si="62"/>
        <v>1020.5710237427076</v>
      </c>
      <c r="BI110" s="59">
        <f ca="1">AVERAGE(OFFSET($BH$3,0,0,'Données projet'!$E$11+1,1))-AVERAGE(OFFSET($H$3,0,0,'Données projet'!$E$11+1,1))</f>
        <v>711.91538686535682</v>
      </c>
      <c r="BJ110" s="59">
        <f t="shared" si="92"/>
        <v>313.24593837351722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32.799461875946697</v>
      </c>
      <c r="BQ110" s="21">
        <f>EXP(-LN(2)/25)*BQ109+(1-EXP(-LN(2)/25))/(LN(2)/25)*Calculateur!BL110*Calculateur!BN110*VLOOKUP('Données projet'!$B$11,Paramètres!$A$1:$I$89,3,0)*0.475*44/12</f>
        <v>26.153745920859098</v>
      </c>
      <c r="BR110" s="21">
        <f>EXP(-LN(2)/2)*BR109+(1-EXP(-LN(2)/2))/(LN(2)/2)*BL110*BO110*VLOOKUP('Données projet'!$B$11,Paramètres!$A$1:$I$89,3,0)*0.475*44/12</f>
        <v>2.1669033073770141</v>
      </c>
      <c r="BS110" s="22">
        <f t="shared" si="63"/>
        <v>61.120111104182811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8.8449999999999989</v>
      </c>
      <c r="BY110" s="12">
        <f>IF('Données projet'!$A$114&gt;35,BY109+BX110-CG109,IF(A110&lt;'Données projet'!$A$114,$BV$205^A110,IF(A110='Données projet'!$A$114,'Données projet'!$B$114,BY109+BX110-CG109)))</f>
        <v>362.64500000000055</v>
      </c>
      <c r="BZ110" s="13">
        <f>BY110*VLOOKUP('Données projet'!$B$12,Paramètres!$A$1:$I$89,3,0)*VLOOKUP('Données projet'!$B$12,Paramètres!$A$1:$I$89,5,0)</f>
        <v>350.75024400000052</v>
      </c>
      <c r="CA110" s="13">
        <f t="shared" si="93"/>
        <v>81.716975012171915</v>
      </c>
      <c r="CB110" s="20">
        <f t="shared" si="64"/>
        <v>753.21373977953363</v>
      </c>
      <c r="CC110" s="59">
        <f t="shared" si="65"/>
        <v>1032.4543466724072</v>
      </c>
      <c r="CD110" s="59">
        <f ca="1">AVERAGE(OFFSET($CC$3,0,0,'Données projet'!$E$12+1,1))-AVERAGE(OFFSET($H$3,0,0,'Données projet'!$E$12+1,1))</f>
        <v>722.05521609092671</v>
      </c>
      <c r="CE110" s="59">
        <f t="shared" si="94"/>
        <v>317.36319714884644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33.337157972273694</v>
      </c>
      <c r="CL110" s="21">
        <f>EXP(-LN(2)/25)*CL109+(1-EXP(-LN(2)/25))/(LN(2)/25)*Calculateur!CG110*Calculateur!CI110*VLOOKUP('Données projet'!$B$12,Paramètres!$A$1:$I$89,3,0)*0.475*44/12</f>
        <v>26.582495853987933</v>
      </c>
      <c r="CM110" s="21">
        <f>EXP(-LN(2)/2)*CM109+(1-EXP(-LN(2)/2))/(LN(2)/2)*CG110*CJ110*VLOOKUP('Données projet'!$B$12,Paramètres!$A$1:$I$89,3,0)*0.475*44/12</f>
        <v>2.202426312415982</v>
      </c>
      <c r="CN110" s="22">
        <f t="shared" si="66"/>
        <v>62.122080138677603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8.8449999999999989</v>
      </c>
      <c r="CT110" s="12">
        <f>IF('Données projet'!$A$140&gt;35,CT109+CS110-DB109,IF(A110&lt;'Données projet'!$A$140,$CQ$205^A110,IF(A110='Données projet'!$A$140,'Données projet'!$B$140,CT109+CS110-DB109)))</f>
        <v>362.64500000000055</v>
      </c>
      <c r="CU110" s="17">
        <f>CT110*VLOOKUP('Données projet'!$B$13,Paramètres!$A$1:$I$89,3,0)*VLOOKUP('Données projet'!$B$13,Paramètres!$A$1:$I$89,5,0)</f>
        <v>390.35107800000054</v>
      </c>
      <c r="CV110" s="13">
        <f t="shared" si="95"/>
        <v>89.817723087167053</v>
      </c>
      <c r="CW110" s="20">
        <f t="shared" si="67"/>
        <v>836.29399522681695</v>
      </c>
      <c r="CX110" s="59">
        <f t="shared" si="68"/>
        <v>1115.5346021196906</v>
      </c>
      <c r="CY110" s="59">
        <f ca="1">AVERAGE(OFFSET($CX$3,0,0,'Données projet'!$E$13+1,1))-AVERAGE(OFFSET($H$3,0,0,'Données projet'!$E$13+1,1))</f>
        <v>792.94606354161886</v>
      </c>
      <c r="CZ110" s="59">
        <f t="shared" si="96"/>
        <v>346.14443498270919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37.101030646562656</v>
      </c>
      <c r="DG110" s="21">
        <f>EXP(-LN(2)/25)*DG109+(1-EXP(-LN(2)/25))/(LN(2)/25)*Calculateur!DB110*Calculateur!DD110*VLOOKUP('Données projet'!$B$13,Paramètres!$A$1:$I$89,3,0)*0.475*44/12</f>
        <v>29.583745385889799</v>
      </c>
      <c r="DH110" s="21">
        <f>EXP(-LN(2)/2)*DH109+(1-EXP(-LN(2)/2))/(LN(2)/2)*DB110*DE110*VLOOKUP('Données projet'!$B$13,Paramètres!$A$1:$I$89,3,0)*0.475*44/12</f>
        <v>2.4510873476887536</v>
      </c>
      <c r="DI110" s="22">
        <f t="shared" si="69"/>
        <v>69.135863380141203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269.21114382490202</v>
      </c>
      <c r="DU110" s="59">
        <f t="shared" si="98"/>
        <v>233.07776944102309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7.722789432459356</v>
      </c>
      <c r="EB110" s="21">
        <f>EXP(-LN(2)/25)*EB109+(1-EXP(-LN(2)/25))/(LN(2)/25)*Calculateur!DW110*Calculateur!DY110*VLOOKUP('Données projet'!$B$14,Paramètres!$A$1:$I$89,3,0)*0.475*44/12</f>
        <v>39.861026255392325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47.583815687851683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8.8449999999999989</v>
      </c>
      <c r="FE110" s="12">
        <f>IF('Données projet'!$A$218&gt;35,FE109+FD110-FM109,IF(A110&lt;'Données projet'!$A$218,$FB$205^A110,IF(A110='Données projet'!$A$218,'Données projet'!$B$218,FE109+FD110-FM109)))</f>
        <v>362.64500000000055</v>
      </c>
      <c r="FF110" s="17">
        <f>FE110*VLOOKUP('Données projet'!$B$16,Paramètres!$A$1:$I$89,3,0)*VLOOKUP('Données projet'!$B$16,Paramètres!$A$1:$I$89,5,0)</f>
        <v>412.98012600000061</v>
      </c>
      <c r="FG110" s="13">
        <f t="shared" si="101"/>
        <v>94.403275660600059</v>
      </c>
      <c r="FH110" s="20">
        <f t="shared" si="76"/>
        <v>883.69275789221285</v>
      </c>
      <c r="FI110" s="59">
        <f t="shared" si="77"/>
        <v>1162.9333647850865</v>
      </c>
      <c r="FJ110" s="59">
        <f ca="1">AVERAGE(OFFSET($FI$3,0,0,'Données projet'!$E$16+1,1))-AVERAGE(OFFSET($H$3,0,0,'Données projet'!$E$16+1,1))</f>
        <v>833.39050463936144</v>
      </c>
      <c r="FK110" s="59">
        <f t="shared" si="102"/>
        <v>362.56178526355507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39.251815031870635</v>
      </c>
      <c r="FR110" s="21">
        <f>EXP(-LN(2)/25)*FR109+(1-EXP(-LN(2)/25))/(LN(2)/25)*Calculateur!FM110*Calculateur!FO110*VLOOKUP('Données projet'!$B$16,Paramètres!$A$1:$I$89,3,0)*0.475*44/12</f>
        <v>31.298745118405158</v>
      </c>
      <c r="FS110" s="21">
        <f>EXP(-LN(2)/2)*FS109+(1-EXP(-LN(2)/2))/(LN(2)/2)*FM110*FP110*VLOOKUP('Données projet'!$B$16,Paramètres!$A$1:$I$89,3,0)*0.475*44/12</f>
        <v>2.5931793678446233</v>
      </c>
      <c r="FT110" s="22">
        <f t="shared" si="78"/>
        <v>73.143739518120427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1001.9681103522703</v>
      </c>
      <c r="S111" s="59">
        <f ca="1">AVERAGE(OFFSET($R$3,0,0,'Données projet'!$E$9+1,1))-AVERAGE(OFFSET($H$3,0,0,'Données projet'!$E$9+1,1))</f>
        <v>681.47578137804555</v>
      </c>
      <c r="T111" s="59">
        <f t="shared" si="88"/>
        <v>300.88511065995885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376.69086000000061</v>
      </c>
      <c r="AK111" s="13">
        <f t="shared" si="89"/>
        <v>87.034709459862782</v>
      </c>
      <c r="AL111" s="20">
        <f t="shared" si="58"/>
        <v>807.65536680926198</v>
      </c>
      <c r="AM111" s="59">
        <f t="shared" si="59"/>
        <v>1087.1404509992612</v>
      </c>
      <c r="AN111" s="59">
        <f ca="1">AVERAGE(OFFSET($AM$3,0,0,'Données projet'!$E$10+1,1))-AVERAGE(OFFSET($H$3,0,0,'Données projet'!$E$10+1,1))</f>
        <v>752.45542076695506</v>
      </c>
      <c r="AO111" s="59">
        <f t="shared" si="90"/>
        <v>329.70629768420724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34.264893249616755</v>
      </c>
      <c r="AV111" s="21">
        <f>EXP(-LN(2)/25)*AV110+(1-EXP(-LN(2)/25))/(LN(2)/25)*Calculateur!AQ111*Calculateur!AS111*VLOOKUP('Données projet'!$B$10,Paramètres!$A$1:$I$89,3,0)*0.475*44/12</f>
        <v>27.106673337929291</v>
      </c>
      <c r="AW111" s="21">
        <f>EXP(-LN(2)/2)*AW110+(1-EXP(-LN(2)/2))/(LN(2)/2)*AQ111*AT111*VLOOKUP('Données projet'!$B$10,Paramètres!$A$1:$I$89,3,0)*0.475*44/12</f>
        <v>1.6327062538265555</v>
      </c>
      <c r="AX111" s="21">
        <f t="shared" si="60"/>
        <v>63.004272841372597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353.50988400000057</v>
      </c>
      <c r="BF111" s="13">
        <f t="shared" si="91"/>
        <v>82.284812559645275</v>
      </c>
      <c r="BG111" s="20">
        <f t="shared" si="61"/>
        <v>759.00909650804977</v>
      </c>
      <c r="BH111" s="59">
        <f t="shared" si="62"/>
        <v>1038.4941806980491</v>
      </c>
      <c r="BI111" s="59">
        <f ca="1">AVERAGE(OFFSET($BH$3,0,0,'Données projet'!$E$11+1,1))-AVERAGE(OFFSET($H$3,0,0,'Données projet'!$E$11+1,1))</f>
        <v>711.91538686535682</v>
      </c>
      <c r="BJ111" s="59">
        <f t="shared" si="92"/>
        <v>313.24593837351722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32.156284434255731</v>
      </c>
      <c r="BQ111" s="21">
        <f>EXP(-LN(2)/25)*BQ110+(1-EXP(-LN(2)/25))/(LN(2)/25)*Calculateur!BL111*Calculateur!BN111*VLOOKUP('Données projet'!$B$11,Paramètres!$A$1:$I$89,3,0)*0.475*44/12</f>
        <v>25.438570363287482</v>
      </c>
      <c r="BR111" s="21">
        <f>EXP(-LN(2)/2)*BR110+(1-EXP(-LN(2)/2))/(LN(2)/2)*BL111*BO111*VLOOKUP('Données projet'!$B$11,Paramètres!$A$1:$I$89,3,0)*0.475*44/12</f>
        <v>1.5322320228218445</v>
      </c>
      <c r="BS111" s="22">
        <f t="shared" si="63"/>
        <v>59.127086820365058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8.8449999999999989</v>
      </c>
      <c r="BY111" s="12">
        <f>IF('Données projet'!$A$114&gt;35,BY110+BX111-CG110,IF(A111&lt;'Données projet'!$A$114,$BV$205^A111,IF(A111='Données projet'!$A$114,'Données projet'!$B$114,BY110+BX111-CG110)))</f>
        <v>371.49000000000058</v>
      </c>
      <c r="BZ111" s="13">
        <f>BY111*VLOOKUP('Données projet'!$B$12,Paramètres!$A$1:$I$89,3,0)*VLOOKUP('Données projet'!$B$12,Paramètres!$A$1:$I$89,5,0)</f>
        <v>359.30512800000054</v>
      </c>
      <c r="CA111" s="13">
        <f t="shared" si="93"/>
        <v>83.475597976688988</v>
      </c>
      <c r="CB111" s="20">
        <f t="shared" si="64"/>
        <v>771.17643107606762</v>
      </c>
      <c r="CC111" s="59">
        <f t="shared" si="65"/>
        <v>1050.661515266067</v>
      </c>
      <c r="CD111" s="59">
        <f ca="1">AVERAGE(OFFSET($CC$3,0,0,'Données projet'!$E$12+1,1))-AVERAGE(OFFSET($H$3,0,0,'Données projet'!$E$12+1,1))</f>
        <v>722.05521609092671</v>
      </c>
      <c r="CE111" s="59">
        <f t="shared" si="94"/>
        <v>317.36319714884644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32.683436638095991</v>
      </c>
      <c r="CL111" s="21">
        <f>EXP(-LN(2)/25)*CL110+(1-EXP(-LN(2)/25))/(LN(2)/25)*Calculateur!CG111*Calculateur!CI111*VLOOKUP('Données projet'!$B$12,Paramètres!$A$1:$I$89,3,0)*0.475*44/12</f>
        <v>25.855596106947932</v>
      </c>
      <c r="CM111" s="21">
        <f>EXP(-LN(2)/2)*CM110+(1-EXP(-LN(2)/2))/(LN(2)/2)*CG111*CJ111*VLOOKUP('Données projet'!$B$12,Paramètres!$A$1:$I$89,3,0)*0.475*44/12</f>
        <v>1.5573505805730226</v>
      </c>
      <c r="CN111" s="22">
        <f t="shared" si="66"/>
        <v>60.096383325616948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8.8449999999999989</v>
      </c>
      <c r="CT111" s="12">
        <f>IF('Données projet'!$A$140&gt;35,CT110+CS111-DB110,IF(A111&lt;'Données projet'!$A$140,$CQ$205^A111,IF(A111='Données projet'!$A$140,'Données projet'!$B$140,CT110+CS111-DB110)))</f>
        <v>371.49000000000058</v>
      </c>
      <c r="CU111" s="17">
        <f>CT111*VLOOKUP('Données projet'!$B$13,Paramètres!$A$1:$I$89,3,0)*VLOOKUP('Données projet'!$B$13,Paramètres!$A$1:$I$89,5,0)</f>
        <v>399.87183600000066</v>
      </c>
      <c r="CV111" s="13">
        <f t="shared" si="95"/>
        <v>91.750681452527473</v>
      </c>
      <c r="CW111" s="20">
        <f t="shared" si="67"/>
        <v>856.2425512298197</v>
      </c>
      <c r="CX111" s="59">
        <f t="shared" si="68"/>
        <v>1135.7276354198191</v>
      </c>
      <c r="CY111" s="59">
        <f ca="1">AVERAGE(OFFSET($CX$3,0,0,'Données projet'!$E$13+1,1))-AVERAGE(OFFSET($H$3,0,0,'Données projet'!$E$13+1,1))</f>
        <v>792.94606354161886</v>
      </c>
      <c r="CZ111" s="59">
        <f t="shared" si="96"/>
        <v>346.14443498270919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36.373502064977792</v>
      </c>
      <c r="DG111" s="21">
        <f>EXP(-LN(2)/25)*DG110+(1-EXP(-LN(2)/25))/(LN(2)/25)*Calculateur!DB111*Calculateur!DD111*VLOOKUP('Données projet'!$B$13,Paramètres!$A$1:$I$89,3,0)*0.475*44/12</f>
        <v>28.774776312571088</v>
      </c>
      <c r="DH111" s="21">
        <f>EXP(-LN(2)/2)*DH110+(1-EXP(-LN(2)/2))/(LN(2)/2)*DB111*DE111*VLOOKUP('Données projet'!$B$13,Paramètres!$A$1:$I$89,3,0)*0.475*44/12</f>
        <v>1.7331804848312666</v>
      </c>
      <c r="DI111" s="22">
        <f t="shared" si="69"/>
        <v>66.881458862380143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269.21114382490202</v>
      </c>
      <c r="DU111" s="59">
        <f t="shared" si="98"/>
        <v>233.07776944102309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7.5713502421252645</v>
      </c>
      <c r="EB111" s="21">
        <f>EXP(-LN(2)/25)*EB110+(1-EXP(-LN(2)/25))/(LN(2)/25)*Calculateur!DW111*Calculateur!DY111*VLOOKUP('Données projet'!$B$14,Paramètres!$A$1:$I$89,3,0)*0.475*44/12</f>
        <v>38.771024396238353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46.342374638363616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8.8449999999999989</v>
      </c>
      <c r="FE111" s="12">
        <f>IF('Données projet'!$A$218&gt;35,FE110+FD111-FM110,IF(A111&lt;'Données projet'!$A$218,$FB$205^A111,IF(A111='Données projet'!$A$218,'Données projet'!$B$218,FE110+FD111-FM110)))</f>
        <v>371.49000000000058</v>
      </c>
      <c r="FF111" s="17">
        <f>FE111*VLOOKUP('Données projet'!$B$16,Paramètres!$A$1:$I$89,3,0)*VLOOKUP('Données projet'!$B$16,Paramètres!$A$1:$I$89,5,0)</f>
        <v>423.05281200000064</v>
      </c>
      <c r="FG111" s="13">
        <f t="shared" si="101"/>
        <v>96.434919250902198</v>
      </c>
      <c r="FH111" s="20">
        <f t="shared" si="76"/>
        <v>904.77446526198901</v>
      </c>
      <c r="FI111" s="59">
        <f t="shared" si="77"/>
        <v>1184.2595494519883</v>
      </c>
      <c r="FJ111" s="59">
        <f ca="1">AVERAGE(OFFSET($FI$3,0,0,'Données projet'!$E$16+1,1))-AVERAGE(OFFSET($H$3,0,0,'Données projet'!$E$16+1,1))</f>
        <v>833.39050463936144</v>
      </c>
      <c r="FK111" s="59">
        <f t="shared" si="102"/>
        <v>362.56178526355507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38.482110880338823</v>
      </c>
      <c r="FR111" s="21">
        <f>EXP(-LN(2)/25)*FR110+(1-EXP(-LN(2)/25))/(LN(2)/25)*Calculateur!FM111*Calculateur!FO111*VLOOKUP('Données projet'!$B$16,Paramètres!$A$1:$I$89,3,0)*0.475*44/12</f>
        <v>30.442879287212897</v>
      </c>
      <c r="FS111" s="21">
        <f>EXP(-LN(2)/2)*FS110+(1-EXP(-LN(2)/2))/(LN(2)/2)*FM111*FP111*VLOOKUP('Données projet'!$B$16,Paramètres!$A$1:$I$89,3,0)*0.475*44/12</f>
        <v>1.8336547158359777</v>
      </c>
      <c r="FT111" s="22">
        <f t="shared" si="78"/>
        <v>70.758644883387703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1019.0264915829434</v>
      </c>
      <c r="S112" s="59">
        <f ca="1">AVERAGE(OFFSET($R$3,0,0,'Données projet'!$E$9+1,1))-AVERAGE(OFFSET($H$3,0,0,'Données projet'!$E$9+1,1))</f>
        <v>681.47578137804555</v>
      </c>
      <c r="T112" s="59">
        <f t="shared" si="88"/>
        <v>300.88511065995885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385.65969000000064</v>
      </c>
      <c r="AK112" s="13">
        <f t="shared" si="89"/>
        <v>88.86323886421664</v>
      </c>
      <c r="AL112" s="20">
        <f t="shared" si="58"/>
        <v>826.4607677718451</v>
      </c>
      <c r="AM112" s="59">
        <f t="shared" si="59"/>
        <v>1106.1860881244343</v>
      </c>
      <c r="AN112" s="59">
        <f ca="1">AVERAGE(OFFSET($AM$3,0,0,'Données projet'!$E$10+1,1))-AVERAGE(OFFSET($H$3,0,0,'Données projet'!$E$10+1,1))</f>
        <v>752.45542076695506</v>
      </c>
      <c r="AO112" s="59">
        <f t="shared" si="90"/>
        <v>329.70629768420724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33.592979592512997</v>
      </c>
      <c r="AV112" s="21">
        <f>EXP(-LN(2)/25)*AV111+(1-EXP(-LN(2)/25))/(LN(2)/25)*Calculateur!AQ112*Calculateur!AS112*VLOOKUP('Données projet'!$B$10,Paramètres!$A$1:$I$89,3,0)*0.475*44/12</f>
        <v>26.365439930025616</v>
      </c>
      <c r="AW112" s="21">
        <f>EXP(-LN(2)/2)*AW111+(1-EXP(-LN(2)/2))/(LN(2)/2)*AQ112*AT112*VLOOKUP('Données projet'!$B$10,Paramètres!$A$1:$I$89,3,0)*0.475*44/12</f>
        <v>1.1544976637664419</v>
      </c>
      <c r="AX112" s="21">
        <f t="shared" si="60"/>
        <v>61.112917186305054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361.92678600000056</v>
      </c>
      <c r="BF112" s="13">
        <f t="shared" si="91"/>
        <v>84.013550441701824</v>
      </c>
      <c r="BG112" s="20">
        <f t="shared" si="61"/>
        <v>776.67941930263157</v>
      </c>
      <c r="BH112" s="59">
        <f t="shared" si="62"/>
        <v>1056.404739655221</v>
      </c>
      <c r="BI112" s="59">
        <f ca="1">AVERAGE(OFFSET($BH$3,0,0,'Données projet'!$E$11+1,1))-AVERAGE(OFFSET($H$3,0,0,'Données projet'!$E$11+1,1))</f>
        <v>711.91538686535682</v>
      </c>
      <c r="BJ112" s="59">
        <f t="shared" si="92"/>
        <v>313.24593837351722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31.525719309896818</v>
      </c>
      <c r="BQ112" s="21">
        <f>EXP(-LN(2)/25)*BQ111+(1-EXP(-LN(2)/25))/(LN(2)/25)*Calculateur!BL112*Calculateur!BN112*VLOOKUP('Données projet'!$B$11,Paramètres!$A$1:$I$89,3,0)*0.475*44/12</f>
        <v>24.74295131894711</v>
      </c>
      <c r="BR112" s="21">
        <f>EXP(-LN(2)/2)*BR111+(1-EXP(-LN(2)/2))/(LN(2)/2)*BL112*BO112*VLOOKUP('Données projet'!$B$11,Paramètres!$A$1:$I$89,3,0)*0.475*44/12</f>
        <v>1.083451653688507</v>
      </c>
      <c r="BS112" s="22">
        <f t="shared" si="63"/>
        <v>57.352122282532434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8.8449999999999989</v>
      </c>
      <c r="BY112" s="12">
        <f>IF('Données projet'!$A$114&gt;35,BY111+BX112-CG111,IF(A112&lt;'Données projet'!$A$114,$BV$205^A112,IF(A112='Données projet'!$A$114,'Données projet'!$B$114,BY111+BX112-CG111)))</f>
        <v>380.3350000000006</v>
      </c>
      <c r="BZ112" s="13">
        <f>BY112*VLOOKUP('Données projet'!$B$12,Paramètres!$A$1:$I$89,3,0)*VLOOKUP('Données projet'!$B$12,Paramètres!$A$1:$I$89,5,0)</f>
        <v>367.86001200000061</v>
      </c>
      <c r="CA112" s="13">
        <f t="shared" si="93"/>
        <v>85.229353304806381</v>
      </c>
      <c r="CB112" s="20">
        <f t="shared" si="64"/>
        <v>789.1306445725387</v>
      </c>
      <c r="CC112" s="59">
        <f t="shared" si="65"/>
        <v>1068.8559649251279</v>
      </c>
      <c r="CD112" s="59">
        <f ca="1">AVERAGE(OFFSET($CC$3,0,0,'Données projet'!$E$12+1,1))-AVERAGE(OFFSET($H$3,0,0,'Données projet'!$E$12+1,1))</f>
        <v>722.05521609092671</v>
      </c>
      <c r="CE112" s="59">
        <f t="shared" si="94"/>
        <v>317.36319714884644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32.042534380550869</v>
      </c>
      <c r="CL112" s="21">
        <f>EXP(-LN(2)/25)*CL111+(1-EXP(-LN(2)/25))/(LN(2)/25)*Calculateur!CG112*Calculateur!CI112*VLOOKUP('Données projet'!$B$12,Paramètres!$A$1:$I$89,3,0)*0.475*44/12</f>
        <v>25.148573471716734</v>
      </c>
      <c r="CM112" s="21">
        <f>EXP(-LN(2)/2)*CM111+(1-EXP(-LN(2)/2))/(LN(2)/2)*CG112*CJ112*VLOOKUP('Données projet'!$B$12,Paramètres!$A$1:$I$89,3,0)*0.475*44/12</f>
        <v>1.101213156207991</v>
      </c>
      <c r="CN112" s="22">
        <f t="shared" si="66"/>
        <v>58.292321008475596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8.8449999999999989</v>
      </c>
      <c r="CT112" s="12">
        <f>IF('Données projet'!$A$140&gt;35,CT111+CS112-DB111,IF(A112&lt;'Données projet'!$A$140,$CQ$205^A112,IF(A112='Données projet'!$A$140,'Données projet'!$B$140,CT111+CS112-DB111)))</f>
        <v>380.3350000000006</v>
      </c>
      <c r="CU112" s="17">
        <f>CT112*VLOOKUP('Données projet'!$B$13,Paramètres!$A$1:$I$89,3,0)*VLOOKUP('Données projet'!$B$13,Paramètres!$A$1:$I$89,5,0)</f>
        <v>409.39259400000066</v>
      </c>
      <c r="CV112" s="13">
        <f t="shared" si="95"/>
        <v>93.678289644093994</v>
      </c>
      <c r="CW112" s="20">
        <f t="shared" si="67"/>
        <v>876.18178901346482</v>
      </c>
      <c r="CX112" s="59">
        <f t="shared" si="68"/>
        <v>1155.9071093660541</v>
      </c>
      <c r="CY112" s="59">
        <f ca="1">AVERAGE(OFFSET($CX$3,0,0,'Données projet'!$E$13+1,1))-AVERAGE(OFFSET($H$3,0,0,'Données projet'!$E$13+1,1))</f>
        <v>792.94606354161886</v>
      </c>
      <c r="CZ112" s="59">
        <f t="shared" si="96"/>
        <v>346.14443498270919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35.660239875129186</v>
      </c>
      <c r="DG112" s="21">
        <f>EXP(-LN(2)/25)*DG111+(1-EXP(-LN(2)/25))/(LN(2)/25)*Calculateur!DB112*Calculateur!DD112*VLOOKUP('Données projet'!$B$13,Paramètres!$A$1:$I$89,3,0)*0.475*44/12</f>
        <v>27.987928541104111</v>
      </c>
      <c r="DH112" s="21">
        <f>EXP(-LN(2)/2)*DH111+(1-EXP(-LN(2)/2))/(LN(2)/2)*DB112*DE112*VLOOKUP('Données projet'!$B$13,Paramètres!$A$1:$I$89,3,0)*0.475*44/12</f>
        <v>1.2255436738443768</v>
      </c>
      <c r="DI112" s="22">
        <f t="shared" si="69"/>
        <v>64.873712090077674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269.21114382490202</v>
      </c>
      <c r="DU112" s="59">
        <f t="shared" si="98"/>
        <v>233.07776944102309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7.4228806819448394</v>
      </c>
      <c r="EB112" s="21">
        <f>EXP(-LN(2)/25)*EB111+(1-EXP(-LN(2)/25))/(LN(2)/25)*Calculateur!DW112*Calculateur!DY112*VLOOKUP('Données projet'!$B$14,Paramètres!$A$1:$I$89,3,0)*0.475*44/12</f>
        <v>37.710828695243656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45.133709377188495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8.8449999999999989</v>
      </c>
      <c r="FE112" s="12">
        <f>IF('Données projet'!$A$218&gt;35,FE111+FD112-FM111,IF(A112&lt;'Données projet'!$A$218,$FB$205^A112,IF(A112='Données projet'!$A$218,'Données projet'!$B$218,FE111+FD112-FM111)))</f>
        <v>380.3350000000006</v>
      </c>
      <c r="FF112" s="17">
        <f>FE112*VLOOKUP('Données projet'!$B$16,Paramètres!$A$1:$I$89,3,0)*VLOOKUP('Données projet'!$B$16,Paramètres!$A$1:$I$89,5,0)</f>
        <v>433.12549800000068</v>
      </c>
      <c r="FG112" s="13">
        <f t="shared" si="101"/>
        <v>98.460939519724676</v>
      </c>
      <c r="FH112" s="20">
        <f t="shared" si="76"/>
        <v>925.8463786801882</v>
      </c>
      <c r="FI112" s="59">
        <f t="shared" si="77"/>
        <v>1205.5716990327774</v>
      </c>
      <c r="FJ112" s="59">
        <f ca="1">AVERAGE(OFFSET($FI$3,0,0,'Données projet'!$E$16+1,1))-AVERAGE(OFFSET($H$3,0,0,'Données projet'!$E$16+1,1))</f>
        <v>833.39050463936144</v>
      </c>
      <c r="FK112" s="59">
        <f t="shared" si="102"/>
        <v>362.56178526355507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37.727500157745368</v>
      </c>
      <c r="FR112" s="21">
        <f>EXP(-LN(2)/25)*FR111+(1-EXP(-LN(2)/25))/(LN(2)/25)*Calculateur!FM112*Calculateur!FO112*VLOOKUP('Données projet'!$B$16,Paramètres!$A$1:$I$89,3,0)*0.475*44/12</f>
        <v>29.610417152182617</v>
      </c>
      <c r="FS112" s="21">
        <f>EXP(-LN(2)/2)*FS111+(1-EXP(-LN(2)/2))/(LN(2)/2)*FM112*FP112*VLOOKUP('Données projet'!$B$16,Paramètres!$A$1:$I$89,3,0)*0.475*44/12</f>
        <v>1.2965896839223117</v>
      </c>
      <c r="FT112" s="22">
        <f t="shared" si="78"/>
        <v>68.634506993850295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1036.0729198709885</v>
      </c>
      <c r="S113" s="59">
        <f ca="1">AVERAGE(OFFSET($R$3,0,0,'Données projet'!$E$9+1,1))-AVERAGE(OFFSET($H$3,0,0,'Données projet'!$E$9+1,1))</f>
        <v>681.47578137804555</v>
      </c>
      <c r="T113" s="59">
        <f t="shared" si="88"/>
        <v>300.88511065995885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394.62852000000066</v>
      </c>
      <c r="AK113" s="13">
        <f t="shared" si="89"/>
        <v>90.686824704469188</v>
      </c>
      <c r="AL113" s="20">
        <f t="shared" si="58"/>
        <v>845.25755869361831</v>
      </c>
      <c r="AM113" s="59">
        <f t="shared" si="59"/>
        <v>1125.2189476484641</v>
      </c>
      <c r="AN113" s="59">
        <f ca="1">AVERAGE(OFFSET($AM$3,0,0,'Données projet'!$E$10+1,1))-AVERAGE(OFFSET($H$3,0,0,'Données projet'!$E$10+1,1))</f>
        <v>752.45542076695506</v>
      </c>
      <c r="AO113" s="59">
        <f t="shared" si="90"/>
        <v>329.70629768420724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32.934241752398179</v>
      </c>
      <c r="AV113" s="21">
        <f>EXP(-LN(2)/25)*AV112+(1-EXP(-LN(2)/25))/(LN(2)/25)*Calculateur!AQ113*Calculateur!AS113*VLOOKUP('Données projet'!$B$10,Paramètres!$A$1:$I$89,3,0)*0.475*44/12</f>
        <v>25.644475588640837</v>
      </c>
      <c r="AW113" s="21">
        <f>EXP(-LN(2)/2)*AW112+(1-EXP(-LN(2)/2))/(LN(2)/2)*AQ113*AT113*VLOOKUP('Données projet'!$B$10,Paramètres!$A$1:$I$89,3,0)*0.475*44/12</f>
        <v>0.81635312691327777</v>
      </c>
      <c r="AX113" s="21">
        <f t="shared" si="60"/>
        <v>59.395070467952294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370.34368800000061</v>
      </c>
      <c r="BF113" s="13">
        <f t="shared" si="91"/>
        <v>85.737614553397449</v>
      </c>
      <c r="BG113" s="20">
        <f t="shared" si="61"/>
        <v>794.34160194716833</v>
      </c>
      <c r="BH113" s="59">
        <f t="shared" si="62"/>
        <v>1074.3029909020142</v>
      </c>
      <c r="BI113" s="59">
        <f ca="1">AVERAGE(OFFSET($BH$3,0,0,'Données projet'!$E$11+1,1))-AVERAGE(OFFSET($H$3,0,0,'Données projet'!$E$11+1,1))</f>
        <v>711.91538686535682</v>
      </c>
      <c r="BJ113" s="59">
        <f t="shared" si="92"/>
        <v>313.24593837351722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30.907519183019836</v>
      </c>
      <c r="BQ113" s="21">
        <f>EXP(-LN(2)/25)*BQ112+(1-EXP(-LN(2)/25))/(LN(2)/25)*Calculateur!BL113*Calculateur!BN113*VLOOKUP('Données projet'!$B$11,Paramètres!$A$1:$I$89,3,0)*0.475*44/12</f>
        <v>24.066354013955241</v>
      </c>
      <c r="BR113" s="21">
        <f>EXP(-LN(2)/2)*BR112+(1-EXP(-LN(2)/2))/(LN(2)/2)*BL113*BO113*VLOOKUP('Données projet'!$B$11,Paramètres!$A$1:$I$89,3,0)*0.475*44/12</f>
        <v>0.76611601141092223</v>
      </c>
      <c r="BS113" s="22">
        <f t="shared" si="63"/>
        <v>55.739989208386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8.8449999999999989</v>
      </c>
      <c r="BY113" s="12">
        <f>IF('Données projet'!$A$114&gt;35,BY112+BX113-CG112,IF(A113&lt;'Données projet'!$A$114,$BV$205^A113,IF(A113='Données projet'!$A$114,'Données projet'!$B$114,BY112+BX113-CG112)))</f>
        <v>389.18000000000063</v>
      </c>
      <c r="BZ113" s="13">
        <f>BY113*VLOOKUP('Données projet'!$B$12,Paramètres!$A$1:$I$89,3,0)*VLOOKUP('Données projet'!$B$12,Paramètres!$A$1:$I$89,5,0)</f>
        <v>376.41489600000062</v>
      </c>
      <c r="CA113" s="13">
        <f t="shared" si="93"/>
        <v>86.978367226052427</v>
      </c>
      <c r="CB113" s="20">
        <f t="shared" si="64"/>
        <v>807.07660011870905</v>
      </c>
      <c r="CC113" s="59">
        <f t="shared" si="65"/>
        <v>1087.0379890735549</v>
      </c>
      <c r="CD113" s="59">
        <f ca="1">AVERAGE(OFFSET($CC$3,0,0,'Données projet'!$E$12+1,1))-AVERAGE(OFFSET($H$3,0,0,'Données projet'!$E$12+1,1))</f>
        <v>722.05521609092671</v>
      </c>
      <c r="CE113" s="59">
        <f t="shared" si="94"/>
        <v>317.36319714884644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31.414199825364427</v>
      </c>
      <c r="CL113" s="21">
        <f>EXP(-LN(2)/25)*CL112+(1-EXP(-LN(2)/25))/(LN(2)/25)*Calculateur!CG113*Calculateur!CI113*VLOOKUP('Données projet'!$B$12,Paramètres!$A$1:$I$89,3,0)*0.475*44/12</f>
        <v>24.46088440762664</v>
      </c>
      <c r="CM113" s="21">
        <f>EXP(-LN(2)/2)*CM112+(1-EXP(-LN(2)/2))/(LN(2)/2)*CG113*CJ113*VLOOKUP('Données projet'!$B$12,Paramètres!$A$1:$I$89,3,0)*0.475*44/12</f>
        <v>0.77867529028651128</v>
      </c>
      <c r="CN113" s="22">
        <f t="shared" si="66"/>
        <v>56.653759523277586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8.8449999999999989</v>
      </c>
      <c r="CT113" s="12">
        <f>IF('Données projet'!$A$140&gt;35,CT112+CS113-DB112,IF(A113&lt;'Données projet'!$A$140,$CQ$205^A113,IF(A113='Données projet'!$A$140,'Données projet'!$B$140,CT112+CS113-DB112)))</f>
        <v>389.18000000000063</v>
      </c>
      <c r="CU113" s="17">
        <f>CT113*VLOOKUP('Données projet'!$B$13,Paramètres!$A$1:$I$89,3,0)*VLOOKUP('Données projet'!$B$13,Paramètres!$A$1:$I$89,5,0)</f>
        <v>418.91335200000066</v>
      </c>
      <c r="CV113" s="13">
        <f t="shared" si="95"/>
        <v>95.60068640475086</v>
      </c>
      <c r="CW113" s="20">
        <f t="shared" si="67"/>
        <v>896.11195022160882</v>
      </c>
      <c r="CX113" s="59">
        <f t="shared" si="68"/>
        <v>1176.0733391764547</v>
      </c>
      <c r="CY113" s="59">
        <f ca="1">AVERAGE(OFFSET($CX$3,0,0,'Données projet'!$E$13+1,1))-AVERAGE(OFFSET($H$3,0,0,'Données projet'!$E$13+1,1))</f>
        <v>792.94606354161886</v>
      </c>
      <c r="CZ113" s="59">
        <f t="shared" si="96"/>
        <v>346.14443498270919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34.96096432177653</v>
      </c>
      <c r="DG113" s="21">
        <f>EXP(-LN(2)/25)*DG112+(1-EXP(-LN(2)/25))/(LN(2)/25)*Calculateur!DB113*Calculateur!DD113*VLOOKUP('Données projet'!$B$13,Paramètres!$A$1:$I$89,3,0)*0.475*44/12</f>
        <v>27.222597163326423</v>
      </c>
      <c r="DH113" s="21">
        <f>EXP(-LN(2)/2)*DH112+(1-EXP(-LN(2)/2))/(LN(2)/2)*DB113*DE113*VLOOKUP('Données projet'!$B$13,Paramètres!$A$1:$I$89,3,0)*0.475*44/12</f>
        <v>0.86659024241563332</v>
      </c>
      <c r="DI113" s="22">
        <f t="shared" si="69"/>
        <v>63.050151727518589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269.21114382490202</v>
      </c>
      <c r="DU113" s="59">
        <f t="shared" si="98"/>
        <v>233.07776944102309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7.2773225192820625</v>
      </c>
      <c r="EB113" s="21">
        <f>EXP(-LN(2)/25)*EB112+(1-EXP(-LN(2)/25))/(LN(2)/25)*Calculateur!DW113*Calculateur!DY113*VLOOKUP('Données projet'!$B$14,Paramètres!$A$1:$I$89,3,0)*0.475*44/12</f>
        <v>36.679624101445924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43.95694662072799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8.8449999999999989</v>
      </c>
      <c r="FE113" s="12">
        <f>IF('Données projet'!$A$218&gt;35,FE112+FD113-FM112,IF(A113&lt;'Données projet'!$A$218,$FB$205^A113,IF(A113='Données projet'!$A$218,'Données projet'!$B$218,FE112+FD113-FM112)))</f>
        <v>389.18000000000063</v>
      </c>
      <c r="FF113" s="17">
        <f>FE113*VLOOKUP('Données projet'!$B$16,Paramètres!$A$1:$I$89,3,0)*VLOOKUP('Données projet'!$B$16,Paramètres!$A$1:$I$89,5,0)</f>
        <v>443.19818400000077</v>
      </c>
      <c r="FG113" s="13">
        <f t="shared" si="101"/>
        <v>100.4814822933287</v>
      </c>
      <c r="FH113" s="20">
        <f t="shared" si="76"/>
        <v>946.90875212754872</v>
      </c>
      <c r="FI113" s="59">
        <f t="shared" si="77"/>
        <v>1226.8701410823946</v>
      </c>
      <c r="FJ113" s="59">
        <f ca="1">AVERAGE(OFFSET($FI$3,0,0,'Données projet'!$E$16+1,1))-AVERAGE(OFFSET($H$3,0,0,'Données projet'!$E$16+1,1))</f>
        <v>833.39050463936144</v>
      </c>
      <c r="FK113" s="59">
        <f t="shared" si="102"/>
        <v>362.56178526355507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36.98768689115488</v>
      </c>
      <c r="FR113" s="21">
        <f>EXP(-LN(2)/25)*FR112+(1-EXP(-LN(2)/25))/(LN(2)/25)*Calculateur!FM113*Calculateur!FO113*VLOOKUP('Données projet'!$B$16,Paramètres!$A$1:$I$89,3,0)*0.475*44/12</f>
        <v>28.800718738012019</v>
      </c>
      <c r="FS113" s="21">
        <f>EXP(-LN(2)/2)*FS112+(1-EXP(-LN(2)/2))/(LN(2)/2)*FM113*FP113*VLOOKUP('Données projet'!$B$16,Paramètres!$A$1:$I$89,3,0)*0.475*44/12</f>
        <v>0.91682735791798886</v>
      </c>
      <c r="FT113" s="22">
        <f t="shared" si="78"/>
        <v>66.705232987084898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1053.1076648239114</v>
      </c>
      <c r="S114" s="59">
        <f ca="1">AVERAGE(OFFSET($R$3,0,0,'Données projet'!$E$9+1,1))-AVERAGE(OFFSET($H$3,0,0,'Données projet'!$E$9+1,1))</f>
        <v>681.47578137804555</v>
      </c>
      <c r="T114" s="59">
        <f t="shared" si="88"/>
        <v>300.88511065995885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403.59735000000074</v>
      </c>
      <c r="AK114" s="13">
        <f t="shared" si="89"/>
        <v>92.505592268354718</v>
      </c>
      <c r="AL114" s="20">
        <f t="shared" si="58"/>
        <v>864.04595778405246</v>
      </c>
      <c r="AM114" s="59">
        <f t="shared" si="59"/>
        <v>1144.239320078676</v>
      </c>
      <c r="AN114" s="59">
        <f ca="1">AVERAGE(OFFSET($AM$3,0,0,'Données projet'!$E$10+1,1))-AVERAGE(OFFSET($H$3,0,0,'Données projet'!$E$10+1,1))</f>
        <v>752.45542076695506</v>
      </c>
      <c r="AO114" s="59">
        <f t="shared" si="90"/>
        <v>329.70629768420724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32.288421359537601</v>
      </c>
      <c r="AV114" s="21">
        <f>EXP(-LN(2)/25)*AV113+(1-EXP(-LN(2)/25))/(LN(2)/25)*Calculateur!AQ114*Calculateur!AS114*VLOOKUP('Données projet'!$B$10,Paramètres!$A$1:$I$89,3,0)*0.475*44/12</f>
        <v>24.943226055085095</v>
      </c>
      <c r="AW114" s="21">
        <f>EXP(-LN(2)/2)*AW113+(1-EXP(-LN(2)/2))/(LN(2)/2)*AQ114*AT114*VLOOKUP('Données projet'!$B$10,Paramètres!$A$1:$I$89,3,0)*0.475*44/12</f>
        <v>0.57724883188322096</v>
      </c>
      <c r="AX114" s="21">
        <f t="shared" si="60"/>
        <v>57.808896246505924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378.76059000000066</v>
      </c>
      <c r="BF114" s="13">
        <f t="shared" si="91"/>
        <v>87.457123344920589</v>
      </c>
      <c r="BG114" s="20">
        <f t="shared" si="61"/>
        <v>811.9958507424044</v>
      </c>
      <c r="BH114" s="59">
        <f t="shared" si="62"/>
        <v>1092.1892130370279</v>
      </c>
      <c r="BI114" s="59">
        <f ca="1">AVERAGE(OFFSET($BH$3,0,0,'Données projet'!$E$11+1,1))-AVERAGE(OFFSET($H$3,0,0,'Données projet'!$E$11+1,1))</f>
        <v>711.91538686535682</v>
      </c>
      <c r="BJ114" s="59">
        <f t="shared" si="92"/>
        <v>313.24593837351722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30.301441583566067</v>
      </c>
      <c r="BQ114" s="21">
        <f>EXP(-LN(2)/25)*BQ113+(1-EXP(-LN(2)/25))/(LN(2)/25)*Calculateur!BL114*Calculateur!BN114*VLOOKUP('Données projet'!$B$11,Paramètres!$A$1:$I$89,3,0)*0.475*44/12</f>
        <v>23.408258297849081</v>
      </c>
      <c r="BR114" s="21">
        <f>EXP(-LN(2)/2)*BR113+(1-EXP(-LN(2)/2))/(LN(2)/2)*BL114*BO114*VLOOKUP('Données projet'!$B$11,Paramètres!$A$1:$I$89,3,0)*0.475*44/12</f>
        <v>0.54172582684425352</v>
      </c>
      <c r="BS114" s="22">
        <f t="shared" si="63"/>
        <v>54.251425708259404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8.8449999999999989</v>
      </c>
      <c r="BY114" s="12">
        <f>IF('Données projet'!$A$114&gt;35,BY113+BX114-CG113,IF(A114&lt;'Données projet'!$A$114,$BV$205^A114,IF(A114='Données projet'!$A$114,'Données projet'!$B$114,BY113+BX114-CG113)))</f>
        <v>398.02500000000066</v>
      </c>
      <c r="BZ114" s="13">
        <f>BY114*VLOOKUP('Données projet'!$B$12,Paramètres!$A$1:$I$89,3,0)*VLOOKUP('Données projet'!$B$12,Paramètres!$A$1:$I$89,5,0)</f>
        <v>384.9697800000007</v>
      </c>
      <c r="CA114" s="13">
        <f t="shared" si="93"/>
        <v>88.722759904768481</v>
      </c>
      <c r="CB114" s="20">
        <f t="shared" si="64"/>
        <v>825.01450700080625</v>
      </c>
      <c r="CC114" s="59">
        <f t="shared" si="65"/>
        <v>1105.2078692954299</v>
      </c>
      <c r="CD114" s="59">
        <f ca="1">AVERAGE(OFFSET($CC$3,0,0,'Données projet'!$E$12+1,1))-AVERAGE(OFFSET($H$3,0,0,'Données projet'!$E$12+1,1))</f>
        <v>722.05521609092671</v>
      </c>
      <c r="CE114" s="59">
        <f t="shared" si="94"/>
        <v>317.36319714884644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30.798186527558954</v>
      </c>
      <c r="CL114" s="21">
        <f>EXP(-LN(2)/25)*CL113+(1-EXP(-LN(2)/25))/(LN(2)/25)*Calculateur!CG114*Calculateur!CI114*VLOOKUP('Données projet'!$B$12,Paramètres!$A$1:$I$89,3,0)*0.475*44/12</f>
        <v>23.792000237158085</v>
      </c>
      <c r="CM114" s="21">
        <f>EXP(-LN(2)/2)*CM113+(1-EXP(-LN(2)/2))/(LN(2)/2)*CG114*CJ114*VLOOKUP('Données projet'!$B$12,Paramètres!$A$1:$I$89,3,0)*0.475*44/12</f>
        <v>0.55060657810399549</v>
      </c>
      <c r="CN114" s="22">
        <f t="shared" si="66"/>
        <v>55.140793342821034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8.8449999999999989</v>
      </c>
      <c r="CT114" s="12">
        <f>IF('Données projet'!$A$140&gt;35,CT113+CS114-DB113,IF(A114&lt;'Données projet'!$A$140,$CQ$205^A114,IF(A114='Données projet'!$A$140,'Données projet'!$B$140,CT113+CS114-DB113)))</f>
        <v>398.02500000000066</v>
      </c>
      <c r="CU114" s="17">
        <f>CT114*VLOOKUP('Données projet'!$B$13,Paramètres!$A$1:$I$89,3,0)*VLOOKUP('Données projet'!$B$13,Paramètres!$A$1:$I$89,5,0)</f>
        <v>428.43411000000071</v>
      </c>
      <c r="CV114" s="13">
        <f t="shared" si="95"/>
        <v>97.518003810942758</v>
      </c>
      <c r="CW114" s="20">
        <f t="shared" si="67"/>
        <v>916.03326488739322</v>
      </c>
      <c r="CX114" s="59">
        <f t="shared" si="68"/>
        <v>1196.2266271820167</v>
      </c>
      <c r="CY114" s="59">
        <f ca="1">AVERAGE(OFFSET($CX$3,0,0,'Données projet'!$E$13+1,1))-AVERAGE(OFFSET($H$3,0,0,'Données projet'!$E$13+1,1))</f>
        <v>792.94606354161886</v>
      </c>
      <c r="CZ114" s="59">
        <f t="shared" si="96"/>
        <v>346.14443498270919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34.275401135509149</v>
      </c>
      <c r="DG114" s="21">
        <f>EXP(-LN(2)/25)*DG113+(1-EXP(-LN(2)/25))/(LN(2)/25)*Calculateur!DB114*Calculateur!DD114*VLOOKUP('Données projet'!$B$13,Paramètres!$A$1:$I$89,3,0)*0.475*44/12</f>
        <v>26.478193812321095</v>
      </c>
      <c r="DH114" s="21">
        <f>EXP(-LN(2)/2)*DH113+(1-EXP(-LN(2)/2))/(LN(2)/2)*DB114*DE114*VLOOKUP('Données projet'!$B$13,Paramètres!$A$1:$I$89,3,0)*0.475*44/12</f>
        <v>0.6127718369221884</v>
      </c>
      <c r="DI114" s="22">
        <f t="shared" si="69"/>
        <v>61.366366784752429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269.21114382490202</v>
      </c>
      <c r="DU114" s="59">
        <f t="shared" si="98"/>
        <v>233.07776944102309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7.13461866340739</v>
      </c>
      <c r="EB114" s="21">
        <f>EXP(-LN(2)/25)*EB113+(1-EXP(-LN(2)/25))/(LN(2)/25)*Calculateur!DW114*Calculateur!DY114*VLOOKUP('Données projet'!$B$14,Paramètres!$A$1:$I$89,3,0)*0.475*44/12</f>
        <v>35.676617851494285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42.811236514901672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8.8449999999999989</v>
      </c>
      <c r="FE114" s="12">
        <f>IF('Données projet'!$A$218&gt;35,FE113+FD114-FM113,IF(A114&lt;'Données projet'!$A$218,$FB$205^A114,IF(A114='Données projet'!$A$218,'Données projet'!$B$218,FE113+FD114-FM113)))</f>
        <v>398.02500000000066</v>
      </c>
      <c r="FF114" s="17">
        <f>FE114*VLOOKUP('Données projet'!$B$16,Paramètres!$A$1:$I$89,3,0)*VLOOKUP('Données projet'!$B$16,Paramètres!$A$1:$I$89,5,0)</f>
        <v>453.2708700000008</v>
      </c>
      <c r="FG114" s="13">
        <f t="shared" si="101"/>
        <v>102.49668639118752</v>
      </c>
      <c r="FH114" s="20">
        <f t="shared" si="76"/>
        <v>967.96182738131972</v>
      </c>
      <c r="FI114" s="59">
        <f t="shared" si="77"/>
        <v>1248.1551896759433</v>
      </c>
      <c r="FJ114" s="59">
        <f ca="1">AVERAGE(OFFSET($FI$3,0,0,'Données projet'!$E$16+1,1))-AVERAGE(OFFSET($H$3,0,0,'Données projet'!$E$16+1,1))</f>
        <v>833.39050463936144</v>
      </c>
      <c r="FK114" s="59">
        <f t="shared" si="102"/>
        <v>362.56178526355507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36.262380911480697</v>
      </c>
      <c r="FR114" s="21">
        <f>EXP(-LN(2)/25)*FR113+(1-EXP(-LN(2)/25))/(LN(2)/25)*Calculateur!FM114*Calculateur!FO114*VLOOKUP('Données projet'!$B$16,Paramètres!$A$1:$I$89,3,0)*0.475*44/12</f>
        <v>28.013161569557106</v>
      </c>
      <c r="FS114" s="21">
        <f>EXP(-LN(2)/2)*FS113+(1-EXP(-LN(2)/2))/(LN(2)/2)*FM114*FP114*VLOOKUP('Données projet'!$B$16,Paramètres!$A$1:$I$89,3,0)*0.475*44/12</f>
        <v>0.64829484196115583</v>
      </c>
      <c r="FT114" s="22">
        <f t="shared" si="78"/>
        <v>64.923837322998963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1070.1309855250167</v>
      </c>
      <c r="S115" s="59">
        <f ca="1">AVERAGE(OFFSET($R$3,0,0,'Données projet'!$E$9+1,1))-AVERAGE(OFFSET($H$3,0,0,'Données projet'!$E$9+1,1))</f>
        <v>681.47578137804555</v>
      </c>
      <c r="T115" s="59">
        <f t="shared" si="88"/>
        <v>300.88511065995885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412.56618000000077</v>
      </c>
      <c r="AK115" s="13">
        <f t="shared" si="89"/>
        <v>94.319660957344354</v>
      </c>
      <c r="AL115" s="20">
        <f t="shared" si="58"/>
        <v>882.82617300070933</v>
      </c>
      <c r="AM115" s="59">
        <f t="shared" si="59"/>
        <v>1163.2474844162803</v>
      </c>
      <c r="AN115" s="59">
        <f ca="1">AVERAGE(OFFSET($AM$3,0,0,'Données projet'!$E$10+1,1))-AVERAGE(OFFSET($H$3,0,0,'Données projet'!$E$10+1,1))</f>
        <v>752.45542076695506</v>
      </c>
      <c r="AO115" s="59">
        <f t="shared" si="90"/>
        <v>329.70629768420724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31.655265110669479</v>
      </c>
      <c r="AV115" s="21">
        <f>EXP(-LN(2)/25)*AV114+(1-EXP(-LN(2)/25))/(LN(2)/25)*Calculateur!AQ115*Calculateur!AS115*VLOOKUP('Données projet'!$B$10,Paramètres!$A$1:$I$89,3,0)*0.475*44/12</f>
        <v>24.261152226901544</v>
      </c>
      <c r="AW115" s="21">
        <f>EXP(-LN(2)/2)*AW114+(1-EXP(-LN(2)/2))/(LN(2)/2)*AQ115*AT115*VLOOKUP('Données projet'!$B$10,Paramètres!$A$1:$I$89,3,0)*0.475*44/12</f>
        <v>0.40817656345663889</v>
      </c>
      <c r="AX115" s="21">
        <f t="shared" si="60"/>
        <v>56.324593901027662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387.17749200000065</v>
      </c>
      <c r="BF115" s="13">
        <f t="shared" si="91"/>
        <v>89.172189701437333</v>
      </c>
      <c r="BG115" s="20">
        <f t="shared" si="61"/>
        <v>829.64236229667119</v>
      </c>
      <c r="BH115" s="59">
        <f t="shared" si="62"/>
        <v>1110.063673712242</v>
      </c>
      <c r="BI115" s="59">
        <f ca="1">AVERAGE(OFFSET($BH$3,0,0,'Données projet'!$E$11+1,1))-AVERAGE(OFFSET($H$3,0,0,'Données projet'!$E$11+1,1))</f>
        <v>711.91538686535682</v>
      </c>
      <c r="BJ115" s="59">
        <f t="shared" si="92"/>
        <v>313.24593837351722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29.707248796166752</v>
      </c>
      <c r="BQ115" s="21">
        <f>EXP(-LN(2)/25)*BQ114+(1-EXP(-LN(2)/25))/(LN(2)/25)*Calculateur!BL115*Calculateur!BN115*VLOOKUP('Données projet'!$B$11,Paramètres!$A$1:$I$89,3,0)*0.475*44/12</f>
        <v>22.768158243707592</v>
      </c>
      <c r="BR115" s="21">
        <f>EXP(-LN(2)/2)*BR114+(1-EXP(-LN(2)/2))/(LN(2)/2)*BL115*BO115*VLOOKUP('Données projet'!$B$11,Paramètres!$A$1:$I$89,3,0)*0.475*44/12</f>
        <v>0.38305800570546111</v>
      </c>
      <c r="BS115" s="22">
        <f t="shared" si="63"/>
        <v>52.858465045579806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8.8449999999999989</v>
      </c>
      <c r="BY115" s="12">
        <f>IF('Données projet'!$A$114&gt;35,BY114+BX115-CG114,IF(A115&lt;'Données projet'!$A$114,$BV$205^A115,IF(A115='Données projet'!$A$114,'Données projet'!$B$114,BY114+BX115-CG114)))</f>
        <v>406.87000000000069</v>
      </c>
      <c r="BZ115" s="13">
        <f>BY115*VLOOKUP('Données projet'!$B$12,Paramètres!$A$1:$I$89,3,0)*VLOOKUP('Données projet'!$B$12,Paramètres!$A$1:$I$89,5,0)</f>
        <v>393.52466400000066</v>
      </c>
      <c r="CA115" s="13">
        <f t="shared" si="93"/>
        <v>90.462645859739325</v>
      </c>
      <c r="CB115" s="20">
        <f t="shared" si="64"/>
        <v>842.94456467238035</v>
      </c>
      <c r="CC115" s="59">
        <f t="shared" si="65"/>
        <v>1123.3658760879512</v>
      </c>
      <c r="CD115" s="59">
        <f ca="1">AVERAGE(OFFSET($CC$3,0,0,'Données projet'!$E$12+1,1))-AVERAGE(OFFSET($H$3,0,0,'Données projet'!$E$12+1,1))</f>
        <v>722.05521609092671</v>
      </c>
      <c r="CE115" s="59">
        <f t="shared" si="94"/>
        <v>317.36319714884644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30.194252874792436</v>
      </c>
      <c r="CL115" s="21">
        <f>EXP(-LN(2)/25)*CL114+(1-EXP(-LN(2)/25))/(LN(2)/25)*Calculateur!CG115*Calculateur!CI115*VLOOKUP('Données projet'!$B$12,Paramètres!$A$1:$I$89,3,0)*0.475*44/12</f>
        <v>23.141406739506081</v>
      </c>
      <c r="CM115" s="21">
        <f>EXP(-LN(2)/2)*CM114+(1-EXP(-LN(2)/2))/(LN(2)/2)*CG115*CJ115*VLOOKUP('Données projet'!$B$12,Paramètres!$A$1:$I$89,3,0)*0.475*44/12</f>
        <v>0.38933764514325564</v>
      </c>
      <c r="CN115" s="22">
        <f t="shared" si="66"/>
        <v>53.724997259441778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8.8449999999999989</v>
      </c>
      <c r="CT115" s="12">
        <f>IF('Données projet'!$A$140&gt;35,CT114+CS115-DB114,IF(A115&lt;'Données projet'!$A$140,$CQ$205^A115,IF(A115='Données projet'!$A$140,'Données projet'!$B$140,CT114+CS115-DB114)))</f>
        <v>406.87000000000069</v>
      </c>
      <c r="CU115" s="17">
        <f>CT115*VLOOKUP('Données projet'!$B$13,Paramètres!$A$1:$I$89,3,0)*VLOOKUP('Données projet'!$B$13,Paramètres!$A$1:$I$89,5,0)</f>
        <v>437.95486800000072</v>
      </c>
      <c r="CV115" s="13">
        <f t="shared" si="95"/>
        <v>99.430367733904333</v>
      </c>
      <c r="CW115" s="20">
        <f t="shared" si="67"/>
        <v>935.94595223655108</v>
      </c>
      <c r="CX115" s="59">
        <f t="shared" si="68"/>
        <v>1216.3672636521219</v>
      </c>
      <c r="CY115" s="59">
        <f ca="1">AVERAGE(OFFSET($CX$3,0,0,'Données projet'!$E$13+1,1))-AVERAGE(OFFSET($H$3,0,0,'Données projet'!$E$13+1,1))</f>
        <v>792.94606354161886</v>
      </c>
      <c r="CZ115" s="59">
        <f t="shared" si="96"/>
        <v>346.14443498270919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33.60328142517222</v>
      </c>
      <c r="DG115" s="21">
        <f>EXP(-LN(2)/25)*DG114+(1-EXP(-LN(2)/25))/(LN(2)/25)*Calculateur!DB115*Calculateur!DD115*VLOOKUP('Données projet'!$B$13,Paramètres!$A$1:$I$89,3,0)*0.475*44/12</f>
        <v>25.754146210095477</v>
      </c>
      <c r="DH115" s="21">
        <f>EXP(-LN(2)/2)*DH114+(1-EXP(-LN(2)/2))/(LN(2)/2)*DB115*DE115*VLOOKUP('Données projet'!$B$13,Paramètres!$A$1:$I$89,3,0)*0.475*44/12</f>
        <v>0.43329512120781666</v>
      </c>
      <c r="DI115" s="22">
        <f t="shared" si="69"/>
        <v>59.790722756475517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269.21114382490202</v>
      </c>
      <c r="DU115" s="59">
        <f t="shared" si="98"/>
        <v>233.07776944102309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6.9947131431056624</v>
      </c>
      <c r="EB115" s="21">
        <f>EXP(-LN(2)/25)*EB114+(1-EXP(-LN(2)/25))/(LN(2)/25)*Calculateur!DW115*Calculateur!DY115*VLOOKUP('Données projet'!$B$14,Paramètres!$A$1:$I$89,3,0)*0.475*44/12</f>
        <v>34.701038860193378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41.695752003299042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8.8449999999999989</v>
      </c>
      <c r="FE115" s="12">
        <f>IF('Données projet'!$A$218&gt;35,FE114+FD115-FM114,IF(A115&lt;'Données projet'!$A$218,$FB$205^A115,IF(A115='Données projet'!$A$218,'Données projet'!$B$218,FE114+FD115-FM114)))</f>
        <v>406.87000000000069</v>
      </c>
      <c r="FF115" s="17">
        <f>FE115*VLOOKUP('Données projet'!$B$16,Paramètres!$A$1:$I$89,3,0)*VLOOKUP('Données projet'!$B$16,Paramètres!$A$1:$I$89,5,0)</f>
        <v>463.34355600000077</v>
      </c>
      <c r="FG115" s="13">
        <f t="shared" si="101"/>
        <v>104.50668411076369</v>
      </c>
      <c r="FH115" s="20">
        <f t="shared" si="76"/>
        <v>989.00583485958134</v>
      </c>
      <c r="FI115" s="59">
        <f t="shared" si="77"/>
        <v>1269.4271462751522</v>
      </c>
      <c r="FJ115" s="59">
        <f ca="1">AVERAGE(OFFSET($FI$3,0,0,'Données projet'!$E$16+1,1))-AVERAGE(OFFSET($H$3,0,0,'Données projet'!$E$16+1,1))</f>
        <v>833.39050463936144</v>
      </c>
      <c r="FK115" s="59">
        <f t="shared" si="102"/>
        <v>362.56178526355507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35.551297739674958</v>
      </c>
      <c r="FR115" s="21">
        <f>EXP(-LN(2)/25)*FR114+(1-EXP(-LN(2)/25))/(LN(2)/25)*Calculateur!FM115*Calculateur!FO115*VLOOKUP('Données projet'!$B$16,Paramètres!$A$1:$I$89,3,0)*0.475*44/12</f>
        <v>27.247140193289425</v>
      </c>
      <c r="FS115" s="21">
        <f>EXP(-LN(2)/2)*FS114+(1-EXP(-LN(2)/2))/(LN(2)/2)*FM115*FP115*VLOOKUP('Données projet'!$B$16,Paramètres!$A$1:$I$89,3,0)*0.475*44/12</f>
        <v>0.45841367895899443</v>
      </c>
      <c r="FT115" s="22">
        <f t="shared" si="78"/>
        <v>63.256851611923381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1087.1431311825938</v>
      </c>
      <c r="S116" s="59">
        <f ca="1">AVERAGE(OFFSET($R$3,0,0,'Données projet'!$E$9+1,1))-AVERAGE(OFFSET($H$3,0,0,'Données projet'!$E$9+1,1))</f>
        <v>681.47578137804555</v>
      </c>
      <c r="T116" s="59">
        <f t="shared" si="88"/>
        <v>300.88511065995885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421.5350100000008</v>
      </c>
      <c r="AK116" s="13">
        <f t="shared" si="89"/>
        <v>96.129144685048502</v>
      </c>
      <c r="AL116" s="20">
        <f t="shared" si="58"/>
        <v>901.59840274312739</v>
      </c>
      <c r="AM116" s="59">
        <f t="shared" si="59"/>
        <v>1182.2437088720151</v>
      </c>
      <c r="AN116" s="59">
        <f ca="1">AVERAGE(OFFSET($AM$3,0,0,'Données projet'!$E$10+1,1))-AVERAGE(OFFSET($H$3,0,0,'Données projet'!$E$10+1,1))</f>
        <v>752.45542076695506</v>
      </c>
      <c r="AO116" s="59">
        <f t="shared" si="90"/>
        <v>329.70629768420724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31.034524669654481</v>
      </c>
      <c r="AV116" s="21">
        <f>EXP(-LN(2)/25)*AV115+(1-EXP(-LN(2)/25))/(LN(2)/25)*Calculateur!AQ116*Calculateur!AS116*VLOOKUP('Données projet'!$B$10,Paramètres!$A$1:$I$89,3,0)*0.475*44/12</f>
        <v>23.597729743418377</v>
      </c>
      <c r="AW116" s="21">
        <f>EXP(-LN(2)/2)*AW115+(1-EXP(-LN(2)/2))/(LN(2)/2)*AQ116*AT116*VLOOKUP('Données projet'!$B$10,Paramètres!$A$1:$I$89,3,0)*0.475*44/12</f>
        <v>0.28862441594161048</v>
      </c>
      <c r="AX116" s="21">
        <f t="shared" si="60"/>
        <v>54.92087882901447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395.5943940000007</v>
      </c>
      <c r="BF116" s="13">
        <f t="shared" si="91"/>
        <v>90.882921319752683</v>
      </c>
      <c r="BG116" s="20">
        <f t="shared" si="61"/>
        <v>847.28132418190387</v>
      </c>
      <c r="BH116" s="59">
        <f t="shared" si="62"/>
        <v>1127.9266303107916</v>
      </c>
      <c r="BI116" s="59">
        <f ca="1">AVERAGE(OFFSET($BH$3,0,0,'Données projet'!$E$11+1,1))-AVERAGE(OFFSET($H$3,0,0,'Données projet'!$E$11+1,1))</f>
        <v>711.91538686535682</v>
      </c>
      <c r="BJ116" s="59">
        <f t="shared" si="92"/>
        <v>313.24593837351722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29.124707766906521</v>
      </c>
      <c r="BQ116" s="21">
        <f>EXP(-LN(2)/25)*BQ115+(1-EXP(-LN(2)/25))/(LN(2)/25)*Calculateur!BL116*Calculateur!BN116*VLOOKUP('Données projet'!$B$11,Paramètres!$A$1:$I$89,3,0)*0.475*44/12</f>
        <v>22.145561759208004</v>
      </c>
      <c r="BR116" s="21">
        <f>EXP(-LN(2)/2)*BR115+(1-EXP(-LN(2)/2))/(LN(2)/2)*BL116*BO116*VLOOKUP('Données projet'!$B$11,Paramètres!$A$1:$I$89,3,0)*0.475*44/12</f>
        <v>0.27086291342212676</v>
      </c>
      <c r="BS116" s="22">
        <f t="shared" si="63"/>
        <v>51.541132439536653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8.8449999999999989</v>
      </c>
      <c r="BY116" s="12">
        <f>IF('Données projet'!$A$114&gt;35,BY115+BX116-CG115,IF(A116&lt;'Données projet'!$A$114,$BV$205^A116,IF(A116='Données projet'!$A$114,'Données projet'!$B$114,BY115+BX116-CG115)))</f>
        <v>415.71500000000071</v>
      </c>
      <c r="BZ116" s="13">
        <f>BY116*VLOOKUP('Données projet'!$B$12,Paramètres!$A$1:$I$89,3,0)*VLOOKUP('Données projet'!$B$12,Paramètres!$A$1:$I$89,5,0)</f>
        <v>402.07954800000067</v>
      </c>
      <c r="CA116" s="13">
        <f t="shared" si="93"/>
        <v>92.198134346305295</v>
      </c>
      <c r="CB116" s="20">
        <f t="shared" si="64"/>
        <v>860.86696341981622</v>
      </c>
      <c r="CC116" s="59">
        <f t="shared" si="65"/>
        <v>1141.5122695487039</v>
      </c>
      <c r="CD116" s="59">
        <f ca="1">AVERAGE(OFFSET($CC$3,0,0,'Données projet'!$E$12+1,1))-AVERAGE(OFFSET($H$3,0,0,'Données projet'!$E$12+1,1))</f>
        <v>722.05521609092671</v>
      </c>
      <c r="CE116" s="59">
        <f t="shared" si="94"/>
        <v>317.36319714884644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29.602161992593516</v>
      </c>
      <c r="CL116" s="21">
        <f>EXP(-LN(2)/25)*CL115+(1-EXP(-LN(2)/25))/(LN(2)/25)*Calculateur!CG116*Calculateur!CI116*VLOOKUP('Données projet'!$B$12,Paramètres!$A$1:$I$89,3,0)*0.475*44/12</f>
        <v>22.508603755260598</v>
      </c>
      <c r="CM116" s="21">
        <f>EXP(-LN(2)/2)*CM115+(1-EXP(-LN(2)/2))/(LN(2)/2)*CG116*CJ116*VLOOKUP('Données projet'!$B$12,Paramètres!$A$1:$I$89,3,0)*0.475*44/12</f>
        <v>0.27530328905199775</v>
      </c>
      <c r="CN116" s="22">
        <f t="shared" si="66"/>
        <v>52.386069036906115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8.8449999999999989</v>
      </c>
      <c r="CT116" s="12">
        <f>IF('Données projet'!$A$140&gt;35,CT115+CS116-DB115,IF(A116&lt;'Données projet'!$A$140,$CQ$205^A116,IF(A116='Données projet'!$A$140,'Données projet'!$B$140,CT115+CS116-DB115)))</f>
        <v>415.71500000000071</v>
      </c>
      <c r="CU116" s="17">
        <f>CT116*VLOOKUP('Données projet'!$B$13,Paramètres!$A$1:$I$89,3,0)*VLOOKUP('Données projet'!$B$13,Paramètres!$A$1:$I$89,5,0)</f>
        <v>447.47562600000077</v>
      </c>
      <c r="CV116" s="13">
        <f t="shared" si="95"/>
        <v>101.33789825965043</v>
      </c>
      <c r="CW116" s="20">
        <f t="shared" si="67"/>
        <v>955.85022141889249</v>
      </c>
      <c r="CX116" s="59">
        <f t="shared" si="68"/>
        <v>1236.4955275477801</v>
      </c>
      <c r="CY116" s="59">
        <f ca="1">AVERAGE(OFFSET($CX$3,0,0,'Données projet'!$E$13+1,1))-AVERAGE(OFFSET($H$3,0,0,'Données projet'!$E$13+1,1))</f>
        <v>792.94606354161886</v>
      </c>
      <c r="CZ116" s="59">
        <f t="shared" si="96"/>
        <v>346.14443498270919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32.94434157240245</v>
      </c>
      <c r="DG116" s="21">
        <f>EXP(-LN(2)/25)*DG115+(1-EXP(-LN(2)/25))/(LN(2)/25)*Calculateur!DB116*Calculateur!DD116*VLOOKUP('Données projet'!$B$13,Paramètres!$A$1:$I$89,3,0)*0.475*44/12</f>
        <v>25.049897727628728</v>
      </c>
      <c r="DH116" s="21">
        <f>EXP(-LN(2)/2)*DH115+(1-EXP(-LN(2)/2))/(LN(2)/2)*DB116*DE116*VLOOKUP('Données projet'!$B$13,Paramètres!$A$1:$I$89,3,0)*0.475*44/12</f>
        <v>0.3063859184610942</v>
      </c>
      <c r="DI116" s="22">
        <f t="shared" si="69"/>
        <v>58.300625218492279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269.21114382490202</v>
      </c>
      <c r="DU116" s="59">
        <f t="shared" si="98"/>
        <v>233.07776944102309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6.8575510847231103</v>
      </c>
      <c r="EB116" s="21">
        <f>EXP(-LN(2)/25)*EB115+(1-EXP(-LN(2)/25))/(LN(2)/25)*Calculateur!DW116*Calculateur!DY116*VLOOKUP('Données projet'!$B$14,Paramètres!$A$1:$I$89,3,0)*0.475*44/12</f>
        <v>33.75213712771307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40.609688212436183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8.8449999999999989</v>
      </c>
      <c r="FE116" s="12">
        <f>IF('Données projet'!$A$218&gt;35,FE115+FD116-FM115,IF(A116&lt;'Données projet'!$A$218,$FB$205^A116,IF(A116='Données projet'!$A$218,'Données projet'!$B$218,FE115+FD116-FM115)))</f>
        <v>415.71500000000071</v>
      </c>
      <c r="FF116" s="17">
        <f>FE116*VLOOKUP('Données projet'!$B$16,Paramètres!$A$1:$I$89,3,0)*VLOOKUP('Données projet'!$B$16,Paramètres!$A$1:$I$89,5,0)</f>
        <v>473.41624200000081</v>
      </c>
      <c r="FG116" s="13">
        <f t="shared" si="101"/>
        <v>106.51160166894144</v>
      </c>
      <c r="FH116" s="20">
        <f t="shared" si="76"/>
        <v>1010.0409943900744</v>
      </c>
      <c r="FI116" s="59">
        <f t="shared" si="77"/>
        <v>1290.6863005189621</v>
      </c>
      <c r="FJ116" s="59">
        <f ca="1">AVERAGE(OFFSET($FI$3,0,0,'Données projet'!$E$16+1,1))-AVERAGE(OFFSET($H$3,0,0,'Données projet'!$E$16+1,1))</f>
        <v>833.39050463936144</v>
      </c>
      <c r="FK116" s="59">
        <f t="shared" si="102"/>
        <v>362.56178526355507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34.85415847515042</v>
      </c>
      <c r="FR116" s="21">
        <f>EXP(-LN(2)/25)*FR115+(1-EXP(-LN(2)/25))/(LN(2)/25)*Calculateur!FM116*Calculateur!FO116*VLOOKUP('Données projet'!$B$16,Paramètres!$A$1:$I$89,3,0)*0.475*44/12</f>
        <v>26.502065711839098</v>
      </c>
      <c r="FS116" s="21">
        <f>EXP(-LN(2)/2)*FS115+(1-EXP(-LN(2)/2))/(LN(2)/2)*FM116*FP116*VLOOKUP('Données projet'!$B$16,Paramètres!$A$1:$I$89,3,0)*0.475*44/12</f>
        <v>0.32414742098057792</v>
      </c>
      <c r="FT116" s="22">
        <f t="shared" si="78"/>
        <v>61.680371607970102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1104.1443417238165</v>
      </c>
      <c r="S117" s="59">
        <f ca="1">AVERAGE(OFFSET($R$3,0,0,'Données projet'!$E$9+1,1))-AVERAGE(OFFSET($H$3,0,0,'Données projet'!$E$9+1,1))</f>
        <v>681.47578137804555</v>
      </c>
      <c r="T117" s="59">
        <f t="shared" si="88"/>
        <v>300.88511065995885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430.50384000000082</v>
      </c>
      <c r="AK117" s="13">
        <f t="shared" si="89"/>
        <v>97.934152240758081</v>
      </c>
      <c r="AL117" s="20">
        <f t="shared" si="58"/>
        <v>920.3628364859884</v>
      </c>
      <c r="AM117" s="59">
        <f t="shared" si="59"/>
        <v>1201.2282515206939</v>
      </c>
      <c r="AN117" s="59">
        <f ca="1">AVERAGE(OFFSET($AM$3,0,0,'Données projet'!$E$10+1,1))-AVERAGE(OFFSET($H$3,0,0,'Données projet'!$E$10+1,1))</f>
        <v>752.45542076695506</v>
      </c>
      <c r="AO117" s="59">
        <f t="shared" si="90"/>
        <v>329.70629768420724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40.861894346506055</v>
      </c>
      <c r="AV117" s="21">
        <f>EXP(-LN(2)/25)*AV116+(1-EXP(-LN(2)/25))/(LN(2)/25)*Calculateur!AQ117*Calculateur!AS117*VLOOKUP('Données projet'!$B$10,Paramètres!$A$1:$I$89,3,0)*0.475*44/12</f>
        <v>28.892361447206902</v>
      </c>
      <c r="AW117" s="21">
        <f>EXP(-LN(2)/2)*AW116+(1-EXP(-LN(2)/2))/(LN(2)/2)*AQ117*AT117*VLOOKUP('Données projet'!$B$10,Paramètres!$A$1:$I$89,3,0)*0.475*44/12</f>
        <v>6.1224589803897382</v>
      </c>
      <c r="AX117" s="21">
        <f t="shared" si="60"/>
        <v>75.876714774102695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404.01129600000075</v>
      </c>
      <c r="BF117" s="13">
        <f t="shared" si="91"/>
        <v>92.589421052009357</v>
      </c>
      <c r="BG117" s="20">
        <f t="shared" si="61"/>
        <v>864.91291553225085</v>
      </c>
      <c r="BH117" s="59">
        <f t="shared" si="62"/>
        <v>1145.7783305669564</v>
      </c>
      <c r="BI117" s="59">
        <f ca="1">AVERAGE(OFFSET($BH$3,0,0,'Données projet'!$E$11+1,1))-AVERAGE(OFFSET($H$3,0,0,'Données projet'!$E$11+1,1))</f>
        <v>711.91538686535682</v>
      </c>
      <c r="BJ117" s="59">
        <f t="shared" si="92"/>
        <v>313.24593837351722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38.347316232874924</v>
      </c>
      <c r="BQ117" s="21">
        <f>EXP(-LN(2)/25)*BQ116+(1-EXP(-LN(2)/25))/(LN(2)/25)*Calculateur!BL117*Calculateur!BN117*VLOOKUP('Données projet'!$B$11,Paramètres!$A$1:$I$89,3,0)*0.475*44/12</f>
        <v>27.114369973532618</v>
      </c>
      <c r="BR117" s="21">
        <f>EXP(-LN(2)/2)*BR116+(1-EXP(-LN(2)/2))/(LN(2)/2)*BL117*BO117*VLOOKUP('Données projet'!$B$11,Paramètres!$A$1:$I$89,3,0)*0.475*44/12</f>
        <v>5.745692273904214</v>
      </c>
      <c r="BS117" s="22">
        <f t="shared" si="63"/>
        <v>71.207378480311746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8.8449999999999989</v>
      </c>
      <c r="BX117" s="12">
        <f t="array" ref="BX117">INDEX(BW:BW,MIN(IF(ISNUMBER(BW117:BW313),ROW(BW117:BW313),"")))</f>
        <v>8.8449999999999989</v>
      </c>
      <c r="BY117" s="12">
        <f>IF('Données projet'!$A$114&gt;35,BY116+BX117-CG116,IF(A117&lt;'Données projet'!$A$114,$BV$205^A117,IF(A117='Données projet'!$A$114,'Données projet'!$B$114,BY116+BX117-CG116)))</f>
        <v>424.56000000000074</v>
      </c>
      <c r="BZ117" s="13">
        <f>BY117*VLOOKUP('Données projet'!$B$12,Paramètres!$A$1:$I$89,3,0)*VLOOKUP('Données projet'!$B$12,Paramètres!$A$1:$I$89,5,0)</f>
        <v>410.63443200000069</v>
      </c>
      <c r="CA117" s="13">
        <f t="shared" si="93"/>
        <v>93.929329705034803</v>
      </c>
      <c r="CB117" s="20">
        <f t="shared" si="64"/>
        <v>878.78188496960354</v>
      </c>
      <c r="CC117" s="59">
        <f t="shared" si="65"/>
        <v>1159.647300004309</v>
      </c>
      <c r="CD117" s="59">
        <f ca="1">AVERAGE(OFFSET($CC$3,0,0,'Données projet'!$E$12+1,1))-AVERAGE(OFFSET($H$3,0,0,'Données projet'!$E$12+1,1))</f>
        <v>722.05521609092671</v>
      </c>
      <c r="CE117" s="59">
        <f t="shared" si="94"/>
        <v>317.36319714884644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61.860000000000014</v>
      </c>
      <c r="CH117" s="16">
        <f>IF(ISNA(VLOOKUP(A117,'Données projet'!$A$113:$I$133,5,0)),0%,VLOOKUP(A117,'Données projet'!$A$113:$I$133,5,0)*VLOOKUP('Données projet'!$B$12,Paramètres!$A$1:$I$89,7,0))</f>
        <v>0.15049999999999999</v>
      </c>
      <c r="CI117" s="16">
        <f>IF(ISNA(VLOOKUP(A117,'Données projet'!$A$113:$I$133,6,0)),0%,VLOOKUP(A117,'Données projet'!$A$113:$I$133,6,0)*VLOOKUP('Données projet'!$B$12,Paramètres!$A$1:$I$89,7,0))</f>
        <v>8.6000000000000007E-2</v>
      </c>
      <c r="CJ117" s="16">
        <f>IF(ISNA(VLOOKUP(A117,'Données projet'!$A$113:$I$133,7,0)),0%,VLOOKUP(A117,'Données projet'!$A$113:$I$133,7,0))</f>
        <v>0.1</v>
      </c>
      <c r="CK117" s="21">
        <f>EXP(-LN(2)/35)*CK116+(1-EXP(-LN(2)/35))/(LN(2)/35)*CG117*CH117*VLOOKUP('Données projet'!$B$12,Paramètres!$A$1:$I$89,3,0)*0.475*44/12</f>
        <v>38.975960761282707</v>
      </c>
      <c r="CL117" s="21">
        <f>EXP(-LN(2)/25)*CL116+(1-EXP(-LN(2)/25))/(LN(2)/25)*Calculateur!CG117*Calculateur!CI117*VLOOKUP('Données projet'!$B$12,Paramètres!$A$1:$I$89,3,0)*0.475*44/12</f>
        <v>27.558867841951191</v>
      </c>
      <c r="CM117" s="21">
        <f>EXP(-LN(2)/2)*CM116+(1-EXP(-LN(2)/2))/(LN(2)/2)*CG117*CJ117*VLOOKUP('Données projet'!$B$12,Paramètres!$A$1:$I$89,3,0)*0.475*44/12</f>
        <v>5.8398839505255955</v>
      </c>
      <c r="CN117" s="22">
        <f t="shared" si="66"/>
        <v>72.374712553759494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424.56</v>
      </c>
      <c r="CR117" s="12">
        <f>VLOOKUP(A117,'Données projet'!$A$139:$I$159,9,0)</f>
        <v>8.8449999999999989</v>
      </c>
      <c r="CS117" s="12">
        <f t="array" ref="CS117">INDEX(CR:CR,MIN(IF(ISNUMBER(CR117:CR313),ROW(CR117:CR313),"")))</f>
        <v>8.8449999999999989</v>
      </c>
      <c r="CT117" s="12">
        <f>IF('Données projet'!$A$140&gt;35,CT116+CS117-DB116,IF(A117&lt;'Données projet'!$A$140,$CQ$205^A117,IF(A117='Données projet'!$A$140,'Données projet'!$B$140,CT116+CS117-DB116)))</f>
        <v>424.56000000000074</v>
      </c>
      <c r="CU117" s="17">
        <f>CT117*VLOOKUP('Données projet'!$B$13,Paramètres!$A$1:$I$89,3,0)*VLOOKUP('Données projet'!$B$13,Paramètres!$A$1:$I$89,5,0)</f>
        <v>456.99638400000077</v>
      </c>
      <c r="CV117" s="13">
        <f t="shared" si="95"/>
        <v>103.24071007221448</v>
      </c>
      <c r="CW117" s="20">
        <f t="shared" si="67"/>
        <v>975.74627217577506</v>
      </c>
      <c r="CX117" s="59">
        <f t="shared" si="68"/>
        <v>1256.6116872104806</v>
      </c>
      <c r="CY117" s="59">
        <f ca="1">AVERAGE(OFFSET($CX$3,0,0,'Données projet'!$E$13+1,1))-AVERAGE(OFFSET($H$3,0,0,'Données projet'!$E$13+1,1))</f>
        <v>792.94606354161886</v>
      </c>
      <c r="CZ117" s="59">
        <f t="shared" si="96"/>
        <v>346.14443498270919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61.860000000000014</v>
      </c>
      <c r="DC117" s="16">
        <f>IF(ISNA(VLOOKUP(A117,'Données projet'!$A$139:$I$159,5,0)),0%,VLOOKUP(A117,'Données projet'!$A$139:$I$159,5,0)*VLOOKUP('Données projet'!$B$13,Paramètres!$A$1:$I$89,7,0))</f>
        <v>0.15049999999999999</v>
      </c>
      <c r="DD117" s="16">
        <f>IF(ISNA(VLOOKUP(A117,'Données projet'!$A$139:$I$159,6,0)),0%,VLOOKUP(A117,'Données projet'!$A$139:$I$159,6,0)*VLOOKUP('Données projet'!$B$13,Paramètres!$A$1:$I$89,7,0))</f>
        <v>8.6000000000000007E-2</v>
      </c>
      <c r="DE117" s="16">
        <f>IF(ISNA(VLOOKUP(A117,'Données projet'!$A$139:$I$159,7,0)),0%,VLOOKUP(A117,'Données projet'!$A$139:$I$159,7,0))</f>
        <v>0.1</v>
      </c>
      <c r="DF117" s="21">
        <f>EXP(-LN(2)/35)*DF116+(1-EXP(-LN(2)/35))/(LN(2)/35)*DB117*DC117*VLOOKUP('Données projet'!$B$13,Paramètres!$A$1:$I$89,3,0)*0.475*44/12</f>
        <v>43.376472460137194</v>
      </c>
      <c r="DG117" s="21">
        <f>EXP(-LN(2)/25)*DG116+(1-EXP(-LN(2)/25))/(LN(2)/25)*Calculateur!DB117*Calculateur!DD117*VLOOKUP('Données projet'!$B$13,Paramètres!$A$1:$I$89,3,0)*0.475*44/12</f>
        <v>30.670352920881161</v>
      </c>
      <c r="DH117" s="21">
        <f>EXP(-LN(2)/2)*DH116+(1-EXP(-LN(2)/2))/(LN(2)/2)*DB117*DE117*VLOOKUP('Données projet'!$B$13,Paramètres!$A$1:$I$89,3,0)*0.475*44/12</f>
        <v>6.4992256868752589</v>
      </c>
      <c r="DI117" s="22">
        <f t="shared" si="69"/>
        <v>80.546051067893615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269.21114382490202</v>
      </c>
      <c r="DU117" s="59">
        <f t="shared" si="98"/>
        <v>233.07776944102309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6.7230786906448454</v>
      </c>
      <c r="EB117" s="21">
        <f>EXP(-LN(2)/25)*EB116+(1-EXP(-LN(2)/25))/(LN(2)/25)*Calculateur!DW117*Calculateur!DY117*VLOOKUP('Données projet'!$B$14,Paramètres!$A$1:$I$89,3,0)*0.475*44/12</f>
        <v>32.829183163008004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39.552261853652851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>
        <f>VLOOKUP(A117,'Données projet'!$A$217:$I$237,2,0)</f>
        <v>424.56</v>
      </c>
      <c r="FC117" s="12">
        <f>VLOOKUP(A117,'Données projet'!$A$217:$I$237,9,0)</f>
        <v>8.8449999999999989</v>
      </c>
      <c r="FD117" s="12">
        <f t="array" ref="FD117">INDEX(FC:FC,MIN(IF(ISNUMBER(FC117:FC313),ROW(FC117:FC313),"")))</f>
        <v>8.8449999999999989</v>
      </c>
      <c r="FE117" s="12">
        <f>IF('Données projet'!$A$218&gt;35,FE116+FD117-FM116,IF(A117&lt;'Données projet'!$A$218,$FB$205^A117,IF(A117='Données projet'!$A$218,'Données projet'!$B$218,FE116+FD117-FM116)))</f>
        <v>424.56000000000074</v>
      </c>
      <c r="FF117" s="17">
        <f>FE117*VLOOKUP('Données projet'!$B$16,Paramètres!$A$1:$I$89,3,0)*VLOOKUP('Données projet'!$B$16,Paramètres!$A$1:$I$89,5,0)</f>
        <v>483.48892800000084</v>
      </c>
      <c r="FG117" s="13">
        <f t="shared" si="101"/>
        <v>108.51155960483113</v>
      </c>
      <c r="FH117" s="20">
        <f t="shared" si="76"/>
        <v>1031.0675159117488</v>
      </c>
      <c r="FI117" s="59">
        <f t="shared" si="77"/>
        <v>1311.9329309464542</v>
      </c>
      <c r="FJ117" s="59">
        <f ca="1">AVERAGE(OFFSET($FI$3,0,0,'Données projet'!$E$16+1,1))-AVERAGE(OFFSET($H$3,0,0,'Données projet'!$E$16+1,1))</f>
        <v>833.39050463936144</v>
      </c>
      <c r="FK117" s="59">
        <f t="shared" si="102"/>
        <v>362.56178526355507</v>
      </c>
      <c r="FL117" s="15">
        <f>IF(ISNA(VLOOKUP(A117,'Données projet'!$A$217:$I$237,3,0)),0,VLOOKUP(A117,'Données projet'!$A$217:$I$237,3,0))</f>
        <v>9</v>
      </c>
      <c r="FM117" s="15">
        <f>IF(ISNA(VLOOKUP(A117,'Données projet'!$A$217:$I$237,4,0)),0,VLOOKUP(A117,'Données projet'!$A$217:$I$237,4,0))</f>
        <v>61.860000000000014</v>
      </c>
      <c r="FN117" s="16">
        <f>IF(ISNA(VLOOKUP(A117,'Données projet'!$A$217:$I$237,5,0)),0%,VLOOKUP(A117,'Données projet'!$A$217:$I$237,5,0)*VLOOKUP('Données projet'!$B$16,Paramètres!$A$1:$I$89,7,0))</f>
        <v>0.15049999999999999</v>
      </c>
      <c r="FO117" s="16">
        <f>IF(ISNA(VLOOKUP(A117,'Données projet'!$A$217:$I$237,6,0)),0%,VLOOKUP(A117,'Données projet'!$A$217:$I$237,6,0)*VLOOKUP('Données projet'!$B$16,Paramètres!$A$1:$I$89,7,0))</f>
        <v>8.6000000000000007E-2</v>
      </c>
      <c r="FP117" s="16">
        <f>IF(ISNA(VLOOKUP(A117,'Données projet'!$A$217:$I$237,7,0)),0%,VLOOKUP(A117,'Données projet'!$A$217:$I$237,7,0))</f>
        <v>0.1</v>
      </c>
      <c r="FQ117" s="21">
        <f>EXP(-LN(2)/35)*FQ116+(1-EXP(-LN(2)/35))/(LN(2)/35)*FM117*FN117*VLOOKUP('Données projet'!$B$16,Paramètres!$A$1:$I$89,3,0)*0.475*44/12</f>
        <v>45.891050573768347</v>
      </c>
      <c r="FR117" s="21">
        <f>EXP(-LN(2)/25)*FR116+(1-EXP(-LN(2)/25))/(LN(2)/25)*Calculateur!FM117*Calculateur!FO117*VLOOKUP('Données projet'!$B$16,Paramètres!$A$1:$I$89,3,0)*0.475*44/12</f>
        <v>32.448344394555441</v>
      </c>
      <c r="FS117" s="21">
        <f>EXP(-LN(2)/2)*FS116+(1-EXP(-LN(2)/2))/(LN(2)/2)*FM117*FP117*VLOOKUP('Données projet'!$B$16,Paramètres!$A$1:$I$89,3,0)*0.475*44/12</f>
        <v>6.8759923933607814</v>
      </c>
      <c r="FT117" s="22">
        <f t="shared" si="78"/>
        <v>85.215387361684563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1003.8043674523901</v>
      </c>
      <c r="S118" s="59">
        <f ca="1">AVERAGE(OFFSET($R$3,0,0,'Données projet'!$E$9+1,1))-AVERAGE(OFFSET($H$3,0,0,'Données projet'!$E$9+1,1))</f>
        <v>681.47578137804555</v>
      </c>
      <c r="T118" s="59">
        <f t="shared" si="88"/>
        <v>300.88511065995885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376.81862400000074</v>
      </c>
      <c r="AK118" s="13">
        <f t="shared" si="89"/>
        <v>87.06079278989921</v>
      </c>
      <c r="AL118" s="20">
        <f t="shared" si="58"/>
        <v>807.92331757574232</v>
      </c>
      <c r="AM118" s="59">
        <f t="shared" si="59"/>
        <v>1089.0050231188395</v>
      </c>
      <c r="AN118" s="59">
        <f ca="1">AVERAGE(OFFSET($AM$3,0,0,'Données projet'!$E$10+1,1))-AVERAGE(OFFSET($H$3,0,0,'Données projet'!$E$10+1,1))</f>
        <v>752.45542076695506</v>
      </c>
      <c r="AO118" s="59">
        <f t="shared" si="90"/>
        <v>329.70629768420724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40.060617521665655</v>
      </c>
      <c r="AV118" s="21">
        <f>EXP(-LN(2)/25)*AV117+(1-EXP(-LN(2)/25))/(LN(2)/25)*Calculateur!AQ118*Calculateur!AS118*VLOOKUP('Données projet'!$B$10,Paramètres!$A$1:$I$89,3,0)*0.475*44/12</f>
        <v>28.102298304049775</v>
      </c>
      <c r="AW118" s="21">
        <f>EXP(-LN(2)/2)*AW117+(1-EXP(-LN(2)/2))/(LN(2)/2)*AQ118*AT118*VLOOKUP('Données projet'!$B$10,Paramètres!$A$1:$I$89,3,0)*0.475*44/12</f>
        <v>4.3292322625700601</v>
      </c>
      <c r="AX118" s="21">
        <f t="shared" si="60"/>
        <v>72.492148088285489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353.62978560000073</v>
      </c>
      <c r="BF118" s="13">
        <f t="shared" si="91"/>
        <v>82.309472398648566</v>
      </c>
      <c r="BG118" s="20">
        <f t="shared" si="61"/>
        <v>759.26087434764747</v>
      </c>
      <c r="BH118" s="59">
        <f t="shared" si="62"/>
        <v>1040.3425798907447</v>
      </c>
      <c r="BI118" s="59">
        <f ca="1">AVERAGE(OFFSET($BH$3,0,0,'Données projet'!$E$11+1,1))-AVERAGE(OFFSET($H$3,0,0,'Données projet'!$E$11+1,1))</f>
        <v>711.91538686535682</v>
      </c>
      <c r="BJ118" s="59">
        <f t="shared" si="92"/>
        <v>313.24593837351722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37.595348751101625</v>
      </c>
      <c r="BQ118" s="21">
        <f>EXP(-LN(2)/25)*BQ117+(1-EXP(-LN(2)/25))/(LN(2)/25)*Calculateur!BL118*Calculateur!BN118*VLOOKUP('Données projet'!$B$11,Paramètres!$A$1:$I$89,3,0)*0.475*44/12</f>
        <v>26.372926100723621</v>
      </c>
      <c r="BR118" s="21">
        <f>EXP(-LN(2)/2)*BR117+(1-EXP(-LN(2)/2))/(LN(2)/2)*BL118*BO118*VLOOKUP('Données projet'!$B$11,Paramètres!$A$1:$I$89,3,0)*0.475*44/12</f>
        <v>4.0628179694888242</v>
      </c>
      <c r="BS118" s="22">
        <f t="shared" si="63"/>
        <v>68.031092821314061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8.9160000000000021</v>
      </c>
      <c r="BY118" s="12">
        <f>IF('Données projet'!$A$114&gt;35,BY117+BX118-CG117,IF(A118&lt;'Données projet'!$A$114,$BV$205^A118,IF(A118='Données projet'!$A$114,'Données projet'!$B$114,BY117+BX118-CG117)))</f>
        <v>371.61600000000072</v>
      </c>
      <c r="BZ118" s="13">
        <f>BY118*VLOOKUP('Données projet'!$B$12,Paramètres!$A$1:$I$89,3,0)*VLOOKUP('Données projet'!$B$12,Paramètres!$A$1:$I$89,5,0)</f>
        <v>359.4269952000007</v>
      </c>
      <c r="CA118" s="13">
        <f t="shared" si="93"/>
        <v>83.50061468077773</v>
      </c>
      <c r="CB118" s="20">
        <f t="shared" si="64"/>
        <v>771.43225387568907</v>
      </c>
      <c r="CC118" s="59">
        <f t="shared" si="65"/>
        <v>1052.5139594187863</v>
      </c>
      <c r="CD118" s="59">
        <f ca="1">AVERAGE(OFFSET($CC$3,0,0,'Données projet'!$E$12+1,1))-AVERAGE(OFFSET($H$3,0,0,'Données projet'!$E$12+1,1))</f>
        <v>722.05521609092671</v>
      </c>
      <c r="CE118" s="59">
        <f t="shared" si="94"/>
        <v>317.36319714884644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38.211665943742631</v>
      </c>
      <c r="CL118" s="21">
        <f>EXP(-LN(2)/25)*CL117+(1-EXP(-LN(2)/25))/(LN(2)/25)*Calculateur!CG118*Calculateur!CI118*VLOOKUP('Données projet'!$B$12,Paramètres!$A$1:$I$89,3,0)*0.475*44/12</f>
        <v>26.805269151555162</v>
      </c>
      <c r="CM118" s="21">
        <f>EXP(-LN(2)/2)*CM117+(1-EXP(-LN(2)/2))/(LN(2)/2)*CG118*CJ118*VLOOKUP('Données projet'!$B$12,Paramètres!$A$1:$I$89,3,0)*0.475*44/12</f>
        <v>4.1294215427591334</v>
      </c>
      <c r="CN118" s="22">
        <f t="shared" si="66"/>
        <v>69.146356638056929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8.9160000000000021</v>
      </c>
      <c r="CT118" s="12">
        <f>IF('Données projet'!$A$140&gt;35,CT117+CS118-DB117,IF(A118&lt;'Données projet'!$A$140,$CQ$205^A118,IF(A118='Données projet'!$A$140,'Données projet'!$B$140,CT117+CS118-DB117)))</f>
        <v>371.61600000000072</v>
      </c>
      <c r="CU118" s="17">
        <f>CT118*VLOOKUP('Données projet'!$B$13,Paramètres!$A$1:$I$89,3,0)*VLOOKUP('Données projet'!$B$13,Paramètres!$A$1:$I$89,5,0)</f>
        <v>400.00746240000075</v>
      </c>
      <c r="CV118" s="13">
        <f t="shared" si="95"/>
        <v>91.778178106681182</v>
      </c>
      <c r="CW118" s="20">
        <f t="shared" si="67"/>
        <v>856.52665721580433</v>
      </c>
      <c r="CX118" s="59">
        <f t="shared" si="68"/>
        <v>1137.6083627589016</v>
      </c>
      <c r="CY118" s="59">
        <f ca="1">AVERAGE(OFFSET($CX$3,0,0,'Données projet'!$E$13+1,1))-AVERAGE(OFFSET($H$3,0,0,'Données projet'!$E$13+1,1))</f>
        <v>792.94606354161886</v>
      </c>
      <c r="CZ118" s="59">
        <f t="shared" si="96"/>
        <v>346.14443498270919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42.525886292229686</v>
      </c>
      <c r="DG118" s="21">
        <f>EXP(-LN(2)/25)*DG117+(1-EXP(-LN(2)/25))/(LN(2)/25)*Calculateur!DB118*Calculateur!DD118*VLOOKUP('Données projet'!$B$13,Paramètres!$A$1:$I$89,3,0)*0.475*44/12</f>
        <v>29.831670507375904</v>
      </c>
      <c r="DH118" s="21">
        <f>EXP(-LN(2)/2)*DH117+(1-EXP(-LN(2)/2))/(LN(2)/2)*DB118*DE118*VLOOKUP('Données projet'!$B$13,Paramètres!$A$1:$I$89,3,0)*0.475*44/12</f>
        <v>4.5956465556512933</v>
      </c>
      <c r="DI118" s="22">
        <f t="shared" si="69"/>
        <v>76.953203355256889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269.21114382490202</v>
      </c>
      <c r="DU118" s="59">
        <f t="shared" si="98"/>
        <v>233.07776944102309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6.5912432181943936</v>
      </c>
      <c r="EB118" s="21">
        <f>EXP(-LN(2)/25)*EB117+(1-EXP(-LN(2)/25))/(LN(2)/25)*Calculateur!DW118*Calculateur!DY118*VLOOKUP('Données projet'!$B$14,Paramètres!$A$1:$I$89,3,0)*0.475*44/12</f>
        <v>31.931467423003841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38.522710641198238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8.9160000000000021</v>
      </c>
      <c r="FE118" s="12">
        <f>IF('Données projet'!$A$218&gt;35,FE117+FD118-FM117,IF(A118&lt;'Données projet'!$A$218,$FB$205^A118,IF(A118='Données projet'!$A$218,'Données projet'!$B$218,FE117+FD118-FM117)))</f>
        <v>371.61600000000072</v>
      </c>
      <c r="FF118" s="17">
        <f>FE118*VLOOKUP('Données projet'!$B$16,Paramètres!$A$1:$I$89,3,0)*VLOOKUP('Données projet'!$B$16,Paramètres!$A$1:$I$89,5,0)</f>
        <v>423.19630080000081</v>
      </c>
      <c r="FG118" s="13">
        <f t="shared" si="101"/>
        <v>96.463819718789864</v>
      </c>
      <c r="FH118" s="20">
        <f t="shared" si="76"/>
        <v>905.07470990356035</v>
      </c>
      <c r="FI118" s="59">
        <f t="shared" si="77"/>
        <v>1186.1564154466575</v>
      </c>
      <c r="FJ118" s="59">
        <f ca="1">AVERAGE(OFFSET($FI$3,0,0,'Données projet'!$E$16+1,1))-AVERAGE(OFFSET($H$3,0,0,'Données projet'!$E$16+1,1))</f>
        <v>833.39050463936144</v>
      </c>
      <c r="FK118" s="59">
        <f t="shared" si="102"/>
        <v>362.56178526355507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44.991155062793737</v>
      </c>
      <c r="FR118" s="21">
        <f>EXP(-LN(2)/25)*FR117+(1-EXP(-LN(2)/25))/(LN(2)/25)*Calculateur!FM118*Calculateur!FO118*VLOOKUP('Données projet'!$B$16,Paramètres!$A$1:$I$89,3,0)*0.475*44/12</f>
        <v>31.561042710702054</v>
      </c>
      <c r="FS118" s="21">
        <f>EXP(-LN(2)/2)*FS117+(1-EXP(-LN(2)/2))/(LN(2)/2)*FM118*FP118*VLOOKUP('Données projet'!$B$16,Paramètres!$A$1:$I$89,3,0)*0.475*44/12</f>
        <v>4.8620608487325274</v>
      </c>
      <c r="FT118" s="22">
        <f t="shared" si="78"/>
        <v>81.414258622228317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1020.9699073813121</v>
      </c>
      <c r="S119" s="59">
        <f ca="1">AVERAGE(OFFSET($R$3,0,0,'Données projet'!$E$9+1,1))-AVERAGE(OFFSET($H$3,0,0,'Données projet'!$E$9+1,1))</f>
        <v>681.47578137804555</v>
      </c>
      <c r="T119" s="59">
        <f t="shared" si="88"/>
        <v>300.88511065995885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385.85944800000078</v>
      </c>
      <c r="AK119" s="13">
        <f t="shared" si="89"/>
        <v>88.903907976148645</v>
      </c>
      <c r="AL119" s="20">
        <f t="shared" si="58"/>
        <v>826.87951165846027</v>
      </c>
      <c r="AM119" s="59">
        <f t="shared" si="59"/>
        <v>1108.1737555531818</v>
      </c>
      <c r="AN119" s="59">
        <f ca="1">AVERAGE(OFFSET($AM$3,0,0,'Données projet'!$E$10+1,1))-AVERAGE(OFFSET($H$3,0,0,'Données projet'!$E$10+1,1))</f>
        <v>752.45542076695506</v>
      </c>
      <c r="AO119" s="59">
        <f t="shared" si="90"/>
        <v>329.70629768420724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39.275053246629767</v>
      </c>
      <c r="AV119" s="21">
        <f>EXP(-LN(2)/25)*AV118+(1-EXP(-LN(2)/25))/(LN(2)/25)*Calculateur!AQ119*Calculateur!AS119*VLOOKUP('Données projet'!$B$10,Paramètres!$A$1:$I$89,3,0)*0.475*44/12</f>
        <v>27.333839479089896</v>
      </c>
      <c r="AW119" s="21">
        <f>EXP(-LN(2)/2)*AW118+(1-EXP(-LN(2)/2))/(LN(2)/2)*AQ119*AT119*VLOOKUP('Données projet'!$B$10,Paramètres!$A$1:$I$89,3,0)*0.475*44/12</f>
        <v>3.0612294901948696</v>
      </c>
      <c r="AX119" s="21">
        <f t="shared" si="60"/>
        <v>69.670122215914546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362.11425120000069</v>
      </c>
      <c r="BF119" s="13">
        <f t="shared" si="91"/>
        <v>84.052000047302485</v>
      </c>
      <c r="BG119" s="20">
        <f t="shared" si="61"/>
        <v>777.07288758905304</v>
      </c>
      <c r="BH119" s="59">
        <f t="shared" si="62"/>
        <v>1058.3671314837745</v>
      </c>
      <c r="BI119" s="59">
        <f ca="1">AVERAGE(OFFSET($BH$3,0,0,'Données projet'!$E$11+1,1))-AVERAGE(OFFSET($H$3,0,0,'Données projet'!$E$11+1,1))</f>
        <v>711.91538686535682</v>
      </c>
      <c r="BJ119" s="59">
        <f t="shared" si="92"/>
        <v>313.24593837351722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36.858126892991024</v>
      </c>
      <c r="BQ119" s="21">
        <f>EXP(-LN(2)/25)*BQ118+(1-EXP(-LN(2)/25))/(LN(2)/25)*Calculateur!BL119*Calculateur!BN119*VLOOKUP('Données projet'!$B$11,Paramètres!$A$1:$I$89,3,0)*0.475*44/12</f>
        <v>25.651757049607426</v>
      </c>
      <c r="BR119" s="21">
        <f>EXP(-LN(2)/2)*BR118+(1-EXP(-LN(2)/2))/(LN(2)/2)*BL119*BO119*VLOOKUP('Données projet'!$B$11,Paramètres!$A$1:$I$89,3,0)*0.475*44/12</f>
        <v>2.8728461369521074</v>
      </c>
      <c r="BS119" s="22">
        <f t="shared" si="63"/>
        <v>65.382730079550555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8.9160000000000021</v>
      </c>
      <c r="BY119" s="12">
        <f>IF('Données projet'!$A$114&gt;35,BY118+BX119-CG118,IF(A119&lt;'Données projet'!$A$114,$BV$205^A119,IF(A119='Données projet'!$A$114,'Données projet'!$B$114,BY118+BX119-CG118)))</f>
        <v>380.53200000000072</v>
      </c>
      <c r="BZ119" s="13">
        <f>BY119*VLOOKUP('Données projet'!$B$12,Paramètres!$A$1:$I$89,3,0)*VLOOKUP('Données projet'!$B$12,Paramètres!$A$1:$I$89,5,0)</f>
        <v>368.0505504000007</v>
      </c>
      <c r="CA119" s="13">
        <f t="shared" si="93"/>
        <v>85.26835933422592</v>
      </c>
      <c r="CB119" s="20">
        <f t="shared" si="64"/>
        <v>789.53043445377807</v>
      </c>
      <c r="CC119" s="59">
        <f t="shared" si="65"/>
        <v>1070.8246783484997</v>
      </c>
      <c r="CD119" s="59">
        <f ca="1">AVERAGE(OFFSET($CC$3,0,0,'Données projet'!$E$12+1,1))-AVERAGE(OFFSET($H$3,0,0,'Données projet'!$E$12+1,1))</f>
        <v>722.05521609092671</v>
      </c>
      <c r="CE119" s="59">
        <f t="shared" si="94"/>
        <v>317.36319714884644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37.462358481400706</v>
      </c>
      <c r="CL119" s="21">
        <f>EXP(-LN(2)/25)*CL118+(1-EXP(-LN(2)/25))/(LN(2)/25)*Calculateur!CG119*Calculateur!CI119*VLOOKUP('Données projet'!$B$12,Paramètres!$A$1:$I$89,3,0)*0.475*44/12</f>
        <v>26.072277656978045</v>
      </c>
      <c r="CM119" s="21">
        <f>EXP(-LN(2)/2)*CM118+(1-EXP(-LN(2)/2))/(LN(2)/2)*CG119*CJ119*VLOOKUP('Données projet'!$B$12,Paramètres!$A$1:$I$89,3,0)*0.475*44/12</f>
        <v>2.9199419752627982</v>
      </c>
      <c r="CN119" s="22">
        <f t="shared" si="66"/>
        <v>66.454578113641546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8.9160000000000021</v>
      </c>
      <c r="CT119" s="12">
        <f>IF('Données projet'!$A$140&gt;35,CT118+CS119-DB118,IF(A119&lt;'Données projet'!$A$140,$CQ$205^A119,IF(A119='Données projet'!$A$140,'Données projet'!$B$140,CT118+CS119-DB118)))</f>
        <v>380.53200000000072</v>
      </c>
      <c r="CU119" s="17">
        <f>CT119*VLOOKUP('Données projet'!$B$13,Paramètres!$A$1:$I$89,3,0)*VLOOKUP('Données projet'!$B$13,Paramètres!$A$1:$I$89,5,0)</f>
        <v>409.60464480000076</v>
      </c>
      <c r="CV119" s="13">
        <f t="shared" si="95"/>
        <v>93.721162410108789</v>
      </c>
      <c r="CW119" s="20">
        <f t="shared" si="67"/>
        <v>876.62578089094075</v>
      </c>
      <c r="CX119" s="59">
        <f t="shared" si="68"/>
        <v>1157.9200247856622</v>
      </c>
      <c r="CY119" s="59">
        <f ca="1">AVERAGE(OFFSET($CX$3,0,0,'Données projet'!$E$13+1,1))-AVERAGE(OFFSET($H$3,0,0,'Données projet'!$E$13+1,1))</f>
        <v>792.94606354161886</v>
      </c>
      <c r="CZ119" s="59">
        <f t="shared" si="96"/>
        <v>346.14443498270919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41.69197960026851</v>
      </c>
      <c r="DG119" s="21">
        <f>EXP(-LN(2)/25)*DG118+(1-EXP(-LN(2)/25))/(LN(2)/25)*Calculateur!DB119*Calculateur!DD119*VLOOKUP('Données projet'!$B$13,Paramètres!$A$1:$I$89,3,0)*0.475*44/12</f>
        <v>29.015921908572338</v>
      </c>
      <c r="DH119" s="21">
        <f>EXP(-LN(2)/2)*DH118+(1-EXP(-LN(2)/2))/(LN(2)/2)*DB119*DE119*VLOOKUP('Données projet'!$B$13,Paramètres!$A$1:$I$89,3,0)*0.475*44/12</f>
        <v>3.2496128434376299</v>
      </c>
      <c r="DI119" s="22">
        <f t="shared" si="69"/>
        <v>73.95751435227848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269.21114382490202</v>
      </c>
      <c r="DU119" s="59">
        <f t="shared" si="98"/>
        <v>233.07776944102309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6.4619929589469969</v>
      </c>
      <c r="EB119" s="21">
        <f>EXP(-LN(2)/25)*EB118+(1-EXP(-LN(2)/25))/(LN(2)/25)*Calculateur!DW119*Calculateur!DY119*VLOOKUP('Données projet'!$B$14,Paramètres!$A$1:$I$89,3,0)*0.475*44/12</f>
        <v>31.05829976711891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37.520292726065904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8.9160000000000021</v>
      </c>
      <c r="FE119" s="12">
        <f>IF('Données projet'!$A$218&gt;35,FE118+FD119-FM118,IF(A119&lt;'Données projet'!$A$218,$FB$205^A119,IF(A119='Données projet'!$A$218,'Données projet'!$B$218,FE118+FD119-FM118)))</f>
        <v>380.53200000000072</v>
      </c>
      <c r="FF119" s="17">
        <f>FE119*VLOOKUP('Données projet'!$B$16,Paramètres!$A$1:$I$89,3,0)*VLOOKUP('Données projet'!$B$16,Paramètres!$A$1:$I$89,5,0)</f>
        <v>433.34984160000084</v>
      </c>
      <c r="FG119" s="13">
        <f t="shared" si="101"/>
        <v>98.506001111238163</v>
      </c>
      <c r="FH119" s="20">
        <f t="shared" si="76"/>
        <v>926.3155927220746</v>
      </c>
      <c r="FI119" s="59">
        <f t="shared" si="77"/>
        <v>1207.6098366167962</v>
      </c>
      <c r="FJ119" s="59">
        <f ca="1">AVERAGE(OFFSET($FI$3,0,0,'Données projet'!$E$16+1,1))-AVERAGE(OFFSET($H$3,0,0,'Données projet'!$E$16+1,1))</f>
        <v>833.39050463936144</v>
      </c>
      <c r="FK119" s="59">
        <f t="shared" si="102"/>
        <v>362.56178526355507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44.108905953907275</v>
      </c>
      <c r="FR119" s="21">
        <f>EXP(-LN(2)/25)*FR118+(1-EXP(-LN(2)/25))/(LN(2)/25)*Calculateur!FM119*Calculateur!FO119*VLOOKUP('Données projet'!$B$16,Paramètres!$A$1:$I$89,3,0)*0.475*44/12</f>
        <v>30.698004338054805</v>
      </c>
      <c r="FS119" s="21">
        <f>EXP(-LN(2)/2)*FS118+(1-EXP(-LN(2)/2))/(LN(2)/2)*FM119*FP119*VLOOKUP('Données projet'!$B$16,Paramètres!$A$1:$I$89,3,0)*0.475*44/12</f>
        <v>3.4379961966803911</v>
      </c>
      <c r="FT119" s="22">
        <f t="shared" si="78"/>
        <v>78.244906488642471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1038.1238539317492</v>
      </c>
      <c r="S120" s="59">
        <f ca="1">AVERAGE(OFFSET($R$3,0,0,'Données projet'!$E$9+1,1))-AVERAGE(OFFSET($H$3,0,0,'Données projet'!$E$9+1,1))</f>
        <v>681.47578137804555</v>
      </c>
      <c r="T120" s="59">
        <f t="shared" si="88"/>
        <v>300.88511065995885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394.90027200000077</v>
      </c>
      <c r="AK120" s="13">
        <f t="shared" si="89"/>
        <v>90.742002809527918</v>
      </c>
      <c r="AL120" s="20">
        <f t="shared" si="58"/>
        <v>845.82696195992901</v>
      </c>
      <c r="AM120" s="59">
        <f t="shared" si="59"/>
        <v>1127.3300571410387</v>
      </c>
      <c r="AN120" s="59">
        <f ca="1">AVERAGE(OFFSET($AM$3,0,0,'Données projet'!$E$10+1,1))-AVERAGE(OFFSET($H$3,0,0,'Données projet'!$E$10+1,1))</f>
        <v>752.45542076695506</v>
      </c>
      <c r="AO120" s="59">
        <f t="shared" si="90"/>
        <v>329.70629768420724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38.504893407880438</v>
      </c>
      <c r="AV120" s="21">
        <f>EXP(-LN(2)/25)*AV119+(1-EXP(-LN(2)/25))/(LN(2)/25)*Calculateur!AQ120*Calculateur!AS120*VLOOKUP('Données projet'!$B$10,Paramètres!$A$1:$I$89,3,0)*0.475*44/12</f>
        <v>26.586394201110036</v>
      </c>
      <c r="AW120" s="21">
        <f>EXP(-LN(2)/2)*AW119+(1-EXP(-LN(2)/2))/(LN(2)/2)*AQ120*AT120*VLOOKUP('Données projet'!$B$10,Paramètres!$A$1:$I$89,3,0)*0.475*44/12</f>
        <v>2.1646161312850301</v>
      </c>
      <c r="AX120" s="21">
        <f t="shared" si="60"/>
        <v>67.2559037402755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370.59871680000072</v>
      </c>
      <c r="BF120" s="13">
        <f t="shared" si="91"/>
        <v>85.78978132755384</v>
      </c>
      <c r="BG120" s="20">
        <f t="shared" si="61"/>
        <v>794.87663423882407</v>
      </c>
      <c r="BH120" s="59">
        <f t="shared" si="62"/>
        <v>1076.3797294199337</v>
      </c>
      <c r="BI120" s="59">
        <f ca="1">AVERAGE(OFFSET($BH$3,0,0,'Données projet'!$E$11+1,1))-AVERAGE(OFFSET($H$3,0,0,'Données projet'!$E$11+1,1))</f>
        <v>711.91538686535682</v>
      </c>
      <c r="BJ120" s="59">
        <f t="shared" si="92"/>
        <v>313.24593837351722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36.135361505857034</v>
      </c>
      <c r="BQ120" s="21">
        <f>EXP(-LN(2)/25)*BQ119+(1-EXP(-LN(2)/25))/(LN(2)/25)*Calculateur!BL120*Calculateur!BN120*VLOOKUP('Données projet'!$B$11,Paramètres!$A$1:$I$89,3,0)*0.475*44/12</f>
        <v>24.950308404118637</v>
      </c>
      <c r="BR120" s="21">
        <f>EXP(-LN(2)/2)*BR119+(1-EXP(-LN(2)/2))/(LN(2)/2)*BL120*BO120*VLOOKUP('Données projet'!$B$11,Paramètres!$A$1:$I$89,3,0)*0.475*44/12</f>
        <v>2.0314089847444121</v>
      </c>
      <c r="BS120" s="22">
        <f t="shared" si="63"/>
        <v>63.11707889472008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8.9160000000000021</v>
      </c>
      <c r="BY120" s="12">
        <f>IF('Données projet'!$A$114&gt;35,BY119+BX120-CG119,IF(A120&lt;'Données projet'!$A$114,$BV$205^A120,IF(A120='Données projet'!$A$114,'Données projet'!$B$114,BY119+BX120-CG119)))</f>
        <v>389.44800000000072</v>
      </c>
      <c r="BZ120" s="13">
        <f>BY120*VLOOKUP('Données projet'!$B$12,Paramètres!$A$1:$I$89,3,0)*VLOOKUP('Données projet'!$B$12,Paramètres!$A$1:$I$89,5,0)</f>
        <v>376.6741056000007</v>
      </c>
      <c r="CA120" s="13">
        <f t="shared" si="93"/>
        <v>87.031288932157821</v>
      </c>
      <c r="CB120" s="20">
        <f t="shared" si="64"/>
        <v>807.62022881017595</v>
      </c>
      <c r="CC120" s="59">
        <f t="shared" si="65"/>
        <v>1089.1233239912856</v>
      </c>
      <c r="CD120" s="59">
        <f ca="1">AVERAGE(OFFSET($CC$3,0,0,'Données projet'!$E$12+1,1))-AVERAGE(OFFSET($H$3,0,0,'Données projet'!$E$12+1,1))</f>
        <v>722.05521609092671</v>
      </c>
      <c r="CE120" s="59">
        <f t="shared" si="94"/>
        <v>317.36319714884644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36.727744481362883</v>
      </c>
      <c r="CL120" s="21">
        <f>EXP(-LN(2)/25)*CL119+(1-EXP(-LN(2)/25))/(LN(2)/25)*Calculateur!CG120*Calculateur!CI120*VLOOKUP('Données projet'!$B$12,Paramètres!$A$1:$I$89,3,0)*0.475*44/12</f>
        <v>25.359329853366486</v>
      </c>
      <c r="CM120" s="21">
        <f>EXP(-LN(2)/2)*CM119+(1-EXP(-LN(2)/2))/(LN(2)/2)*CG120*CJ120*VLOOKUP('Données projet'!$B$12,Paramètres!$A$1:$I$89,3,0)*0.475*44/12</f>
        <v>2.0647107713795672</v>
      </c>
      <c r="CN120" s="22">
        <f t="shared" si="66"/>
        <v>64.151785106108932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8.9160000000000021</v>
      </c>
      <c r="CT120" s="12">
        <f>IF('Données projet'!$A$140&gt;35,CT119+CS120-DB119,IF(A120&lt;'Données projet'!$A$140,$CQ$205^A120,IF(A120='Données projet'!$A$140,'Données projet'!$B$140,CT119+CS120-DB119)))</f>
        <v>389.44800000000072</v>
      </c>
      <c r="CU120" s="17">
        <f>CT120*VLOOKUP('Données projet'!$B$13,Paramètres!$A$1:$I$89,3,0)*VLOOKUP('Données projet'!$B$13,Paramètres!$A$1:$I$89,5,0)</f>
        <v>419.20182720000076</v>
      </c>
      <c r="CV120" s="13">
        <f t="shared" si="95"/>
        <v>95.65885433306147</v>
      </c>
      <c r="CW120" s="20">
        <f t="shared" si="67"/>
        <v>896.71568700341675</v>
      </c>
      <c r="CX120" s="59">
        <f t="shared" si="68"/>
        <v>1178.2187821845264</v>
      </c>
      <c r="CY120" s="59">
        <f ca="1">AVERAGE(OFFSET($CX$3,0,0,'Données projet'!$E$13+1,1))-AVERAGE(OFFSET($H$3,0,0,'Données projet'!$E$13+1,1))</f>
        <v>792.94606354161886</v>
      </c>
      <c r="CZ120" s="59">
        <f t="shared" si="96"/>
        <v>346.14443498270919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40.874425309903835</v>
      </c>
      <c r="DG120" s="21">
        <f>EXP(-LN(2)/25)*DG119+(1-EXP(-LN(2)/25))/(LN(2)/25)*Calculateur!DB120*Calculateur!DD120*VLOOKUP('Données projet'!$B$13,Paramètres!$A$1:$I$89,3,0)*0.475*44/12</f>
        <v>28.222479998101409</v>
      </c>
      <c r="DH120" s="21">
        <f>EXP(-LN(2)/2)*DH119+(1-EXP(-LN(2)/2))/(LN(2)/2)*DB120*DE120*VLOOKUP('Données projet'!$B$13,Paramètres!$A$1:$I$89,3,0)*0.475*44/12</f>
        <v>2.2978232778256467</v>
      </c>
      <c r="DI120" s="22">
        <f t="shared" si="69"/>
        <v>71.39472858583089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269.21114382490202</v>
      </c>
      <c r="DU120" s="59">
        <f t="shared" si="98"/>
        <v>233.07776944102309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6.3352772184485673</v>
      </c>
      <c r="EB120" s="21">
        <f>EXP(-LN(2)/25)*EB119+(1-EXP(-LN(2)/25))/(LN(2)/25)*Calculateur!DW120*Calculateur!DY120*VLOOKUP('Données projet'!$B$14,Paramètres!$A$1:$I$89,3,0)*0.475*44/12</f>
        <v>30.209008926702044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36.544286145150608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8.9160000000000021</v>
      </c>
      <c r="FE120" s="12">
        <f>IF('Données projet'!$A$218&gt;35,FE119+FD120-FM119,IF(A120&lt;'Données projet'!$A$218,$FB$205^A120,IF(A120='Données projet'!$A$218,'Données projet'!$B$218,FE119+FD120-FM119)))</f>
        <v>389.44800000000072</v>
      </c>
      <c r="FF120" s="17">
        <f>FE120*VLOOKUP('Données projet'!$B$16,Paramètres!$A$1:$I$89,3,0)*VLOOKUP('Données projet'!$B$16,Paramètres!$A$1:$I$89,5,0)</f>
        <v>443.50338240000076</v>
      </c>
      <c r="FG120" s="13">
        <f t="shared" si="101"/>
        <v>100.54261992610506</v>
      </c>
      <c r="FH120" s="20">
        <f t="shared" si="76"/>
        <v>947.54678738463429</v>
      </c>
      <c r="FI120" s="59">
        <f t="shared" si="77"/>
        <v>1229.0498825657439</v>
      </c>
      <c r="FJ120" s="59">
        <f ca="1">AVERAGE(OFFSET($FI$3,0,0,'Données projet'!$E$16+1,1))-AVERAGE(OFFSET($H$3,0,0,'Données projet'!$E$16+1,1))</f>
        <v>833.39050463936144</v>
      </c>
      <c r="FK120" s="59">
        <f t="shared" si="102"/>
        <v>362.56178526355507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43.24395721192726</v>
      </c>
      <c r="FR120" s="21">
        <f>EXP(-LN(2)/25)*FR119+(1-EXP(-LN(2)/25))/(LN(2)/25)*Calculateur!FM120*Calculateur!FO120*VLOOKUP('Données projet'!$B$16,Paramètres!$A$1:$I$89,3,0)*0.475*44/12</f>
        <v>29.858565795092808</v>
      </c>
      <c r="FS120" s="21">
        <f>EXP(-LN(2)/2)*FS119+(1-EXP(-LN(2)/2))/(LN(2)/2)*FM120*FP120*VLOOKUP('Données projet'!$B$16,Paramètres!$A$1:$I$89,3,0)*0.475*44/12</f>
        <v>2.4310304243662642</v>
      </c>
      <c r="FT120" s="22">
        <f t="shared" si="78"/>
        <v>75.533553431386338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1055.2664729085182</v>
      </c>
      <c r="S121" s="59">
        <f ca="1">AVERAGE(OFFSET($R$3,0,0,'Données projet'!$E$9+1,1))-AVERAGE(OFFSET($H$3,0,0,'Données projet'!$E$9+1,1))</f>
        <v>681.47578137804555</v>
      </c>
      <c r="T121" s="59">
        <f t="shared" si="88"/>
        <v>300.88511065995885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403.9410960000007</v>
      </c>
      <c r="AK121" s="13">
        <f t="shared" si="89"/>
        <v>92.575205456026652</v>
      </c>
      <c r="AL121" s="20">
        <f t="shared" si="58"/>
        <v>864.76589170258092</v>
      </c>
      <c r="AM121" s="59">
        <f t="shared" si="59"/>
        <v>1146.4742150671814</v>
      </c>
      <c r="AN121" s="59">
        <f ca="1">AVERAGE(OFFSET($AM$3,0,0,'Données projet'!$E$10+1,1))-AVERAGE(OFFSET($H$3,0,0,'Données projet'!$E$10+1,1))</f>
        <v>752.45542076695506</v>
      </c>
      <c r="AO121" s="59">
        <f t="shared" si="90"/>
        <v>329.70629768420724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37.749835933817863</v>
      </c>
      <c r="AV121" s="21">
        <f>EXP(-LN(2)/25)*AV120+(1-EXP(-LN(2)/25))/(LN(2)/25)*Calculateur!AQ121*Calculateur!AS121*VLOOKUP('Données projet'!$B$10,Paramètres!$A$1:$I$89,3,0)*0.475*44/12</f>
        <v>25.859387853562975</v>
      </c>
      <c r="AW121" s="21">
        <f>EXP(-LN(2)/2)*AW120+(1-EXP(-LN(2)/2))/(LN(2)/2)*AQ121*AT121*VLOOKUP('Données projet'!$B$10,Paramètres!$A$1:$I$89,3,0)*0.475*44/12</f>
        <v>1.5306147450974348</v>
      </c>
      <c r="AX121" s="21">
        <f t="shared" si="60"/>
        <v>65.139838532478279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379.08318240000068</v>
      </c>
      <c r="BF121" s="13">
        <f t="shared" si="91"/>
        <v>87.522937410766346</v>
      </c>
      <c r="BG121" s="20">
        <f t="shared" si="61"/>
        <v>812.67232533708591</v>
      </c>
      <c r="BH121" s="59">
        <f t="shared" si="62"/>
        <v>1094.3806487016864</v>
      </c>
      <c r="BI121" s="59">
        <f ca="1">AVERAGE(OFFSET($BH$3,0,0,'Données projet'!$E$11+1,1))-AVERAGE(OFFSET($H$3,0,0,'Données projet'!$E$11+1,1))</f>
        <v>711.91538686535682</v>
      </c>
      <c r="BJ121" s="59">
        <f t="shared" si="92"/>
        <v>313.24593837351722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35.426769107121387</v>
      </c>
      <c r="BQ121" s="21">
        <f>EXP(-LN(2)/25)*BQ120+(1-EXP(-LN(2)/25))/(LN(2)/25)*Calculateur!BL121*Calculateur!BN121*VLOOKUP('Données projet'!$B$11,Paramètres!$A$1:$I$89,3,0)*0.475*44/12</f>
        <v>24.26804090872832</v>
      </c>
      <c r="BR121" s="21">
        <f>EXP(-LN(2)/2)*BR120+(1-EXP(-LN(2)/2))/(LN(2)/2)*BL121*BO121*VLOOKUP('Données projet'!$B$11,Paramètres!$A$1:$I$89,3,0)*0.475*44/12</f>
        <v>1.4364230684760537</v>
      </c>
      <c r="BS121" s="22">
        <f t="shared" si="63"/>
        <v>61.131233084325764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8.9160000000000021</v>
      </c>
      <c r="BY121" s="12">
        <f>IF('Données projet'!$A$114&gt;35,BY120+BX121-CG120,IF(A121&lt;'Données projet'!$A$114,$BV$205^A121,IF(A121='Données projet'!$A$114,'Données projet'!$B$114,BY120+BX121-CG120)))</f>
        <v>398.36400000000071</v>
      </c>
      <c r="BZ121" s="13">
        <f>BY121*VLOOKUP('Données projet'!$B$12,Paramètres!$A$1:$I$89,3,0)*VLOOKUP('Données projet'!$B$12,Paramètres!$A$1:$I$89,5,0)</f>
        <v>385.2976608000007</v>
      </c>
      <c r="CA121" s="13">
        <f t="shared" si="93"/>
        <v>88.789526399469665</v>
      </c>
      <c r="CB121" s="20">
        <f t="shared" si="64"/>
        <v>825.7018510390775</v>
      </c>
      <c r="CC121" s="59">
        <f t="shared" si="65"/>
        <v>1107.410174403678</v>
      </c>
      <c r="CD121" s="59">
        <f ca="1">AVERAGE(OFFSET($CC$3,0,0,'Données projet'!$E$12+1,1))-AVERAGE(OFFSET($H$3,0,0,'Données projet'!$E$12+1,1))</f>
        <v>722.05521609092671</v>
      </c>
      <c r="CE121" s="59">
        <f t="shared" si="94"/>
        <v>317.36319714884644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36.007535813795506</v>
      </c>
      <c r="CL121" s="21">
        <f>EXP(-LN(2)/25)*CL120+(1-EXP(-LN(2)/25))/(LN(2)/25)*Calculateur!CG121*Calculateur!CI121*VLOOKUP('Données projet'!$B$12,Paramètres!$A$1:$I$89,3,0)*0.475*44/12</f>
        <v>24.66587764493698</v>
      </c>
      <c r="CM121" s="21">
        <f>EXP(-LN(2)/2)*CM120+(1-EXP(-LN(2)/2))/(LN(2)/2)*CG121*CJ121*VLOOKUP('Données projet'!$B$12,Paramètres!$A$1:$I$89,3,0)*0.475*44/12</f>
        <v>1.4599709876313995</v>
      </c>
      <c r="CN121" s="22">
        <f t="shared" si="66"/>
        <v>62.133384446363884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8.9160000000000021</v>
      </c>
      <c r="CT121" s="12">
        <f>IF('Données projet'!$A$140&gt;35,CT120+CS121-DB120,IF(A121&lt;'Données projet'!$A$140,$CQ$205^A121,IF(A121='Données projet'!$A$140,'Données projet'!$B$140,CT120+CS121-DB120)))</f>
        <v>398.36400000000071</v>
      </c>
      <c r="CU121" s="17">
        <f>CT121*VLOOKUP('Données projet'!$B$13,Paramètres!$A$1:$I$89,3,0)*VLOOKUP('Données projet'!$B$13,Paramètres!$A$1:$I$89,5,0)</f>
        <v>428.79900960000077</v>
      </c>
      <c r="CV121" s="13">
        <f t="shared" si="95"/>
        <v>97.59138898619787</v>
      </c>
      <c r="CW121" s="20">
        <f t="shared" si="67"/>
        <v>916.79661087096258</v>
      </c>
      <c r="CX121" s="59">
        <f t="shared" si="68"/>
        <v>1198.504934235563</v>
      </c>
      <c r="CY121" s="59">
        <f ca="1">AVERAGE(OFFSET($CX$3,0,0,'Données projet'!$E$13+1,1))-AVERAGE(OFFSET($H$3,0,0,'Données projet'!$E$13+1,1))</f>
        <v>792.94606354161886</v>
      </c>
      <c r="CZ121" s="59">
        <f t="shared" si="96"/>
        <v>346.14443498270919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40.072902760514332</v>
      </c>
      <c r="DG121" s="21">
        <f>EXP(-LN(2)/25)*DG120+(1-EXP(-LN(2)/25))/(LN(2)/25)*Calculateur!DB121*Calculateur!DD121*VLOOKUP('Données projet'!$B$13,Paramètres!$A$1:$I$89,3,0)*0.475*44/12</f>
        <v>27.450734798397608</v>
      </c>
      <c r="DH121" s="21">
        <f>EXP(-LN(2)/2)*DH120+(1-EXP(-LN(2)/2))/(LN(2)/2)*DB121*DE121*VLOOKUP('Données projet'!$B$13,Paramètres!$A$1:$I$89,3,0)*0.475*44/12</f>
        <v>1.624806421718815</v>
      </c>
      <c r="DI121" s="22">
        <f t="shared" si="69"/>
        <v>69.148443980630759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269.21114382490202</v>
      </c>
      <c r="DU121" s="59">
        <f t="shared" si="98"/>
        <v>233.07776944102309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6.2110462963323423</v>
      </c>
      <c r="EB121" s="21">
        <f>EXP(-LN(2)/25)*EB120+(1-EXP(-LN(2)/25))/(LN(2)/25)*Calculateur!DW121*Calculateur!DY121*VLOOKUP('Données projet'!$B$14,Paramètres!$A$1:$I$89,3,0)*0.475*44/12</f>
        <v>29.38294198897864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35.593988285310985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8.9160000000000021</v>
      </c>
      <c r="FE121" s="12">
        <f>IF('Données projet'!$A$218&gt;35,FE120+FD121-FM120,IF(A121&lt;'Données projet'!$A$218,$FB$205^A121,IF(A121='Données projet'!$A$218,'Données projet'!$B$218,FE120+FD121-FM120)))</f>
        <v>398.36400000000071</v>
      </c>
      <c r="FF121" s="17">
        <f>FE121*VLOOKUP('Données projet'!$B$16,Paramètres!$A$1:$I$89,3,0)*VLOOKUP('Données projet'!$B$16,Paramètres!$A$1:$I$89,5,0)</f>
        <v>453.65692320000085</v>
      </c>
      <c r="FG121" s="13">
        <f t="shared" si="101"/>
        <v>102.57381817198618</v>
      </c>
      <c r="FH121" s="20">
        <f t="shared" si="76"/>
        <v>968.7685412228775</v>
      </c>
      <c r="FI121" s="59">
        <f t="shared" si="77"/>
        <v>1250.4768645874778</v>
      </c>
      <c r="FJ121" s="59">
        <f ca="1">AVERAGE(OFFSET($FI$3,0,0,'Données projet'!$E$16+1,1))-AVERAGE(OFFSET($H$3,0,0,'Données projet'!$E$16+1,1))</f>
        <v>833.39050463936144</v>
      </c>
      <c r="FK121" s="59">
        <f t="shared" si="102"/>
        <v>362.56178526355507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42.395969587210828</v>
      </c>
      <c r="FR121" s="21">
        <f>EXP(-LN(2)/25)*FR120+(1-EXP(-LN(2)/25))/(LN(2)/25)*Calculateur!FM121*Calculateur!FO121*VLOOKUP('Données projet'!$B$16,Paramètres!$A$1:$I$89,3,0)*0.475*44/12</f>
        <v>29.042081743232263</v>
      </c>
      <c r="FS121" s="21">
        <f>EXP(-LN(2)/2)*FS120+(1-EXP(-LN(2)/2))/(LN(2)/2)*FM121*FP121*VLOOKUP('Données projet'!$B$16,Paramètres!$A$1:$I$89,3,0)*0.475*44/12</f>
        <v>1.7189980983401958</v>
      </c>
      <c r="FT121" s="22">
        <f t="shared" si="78"/>
        <v>73.157049428783282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1072.3980194559442</v>
      </c>
      <c r="S122" s="59">
        <f ca="1">AVERAGE(OFFSET($R$3,0,0,'Données projet'!$E$9+1,1))-AVERAGE(OFFSET($H$3,0,0,'Données projet'!$E$9+1,1))</f>
        <v>681.47578137804555</v>
      </c>
      <c r="T122" s="59">
        <f t="shared" si="88"/>
        <v>300.88511065995885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412.98192000000074</v>
      </c>
      <c r="AK122" s="13">
        <f t="shared" si="89"/>
        <v>94.403638017009513</v>
      </c>
      <c r="AL122" s="20">
        <f t="shared" si="58"/>
        <v>883.69651354629275</v>
      </c>
      <c r="AM122" s="59">
        <f t="shared" si="59"/>
        <v>1165.6065048442219</v>
      </c>
      <c r="AN122" s="59">
        <f ca="1">AVERAGE(OFFSET($AM$3,0,0,'Données projet'!$E$10+1,1))-AVERAGE(OFFSET($H$3,0,0,'Données projet'!$E$10+1,1))</f>
        <v>752.45542076695506</v>
      </c>
      <c r="AO122" s="59">
        <f t="shared" si="90"/>
        <v>329.70629768420724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37.009584676282074</v>
      </c>
      <c r="AV122" s="21">
        <f>EXP(-LN(2)/25)*AV121+(1-EXP(-LN(2)/25))/(LN(2)/25)*Calculateur!AQ122*Calculateur!AS122*VLOOKUP('Données projet'!$B$10,Paramètres!$A$1:$I$89,3,0)*0.475*44/12</f>
        <v>25.152261532821189</v>
      </c>
      <c r="AW122" s="21">
        <f>EXP(-LN(2)/2)*AW121+(1-EXP(-LN(2)/2))/(LN(2)/2)*AQ122*AT122*VLOOKUP('Données projet'!$B$10,Paramètres!$A$1:$I$89,3,0)*0.475*44/12</f>
        <v>1.082308065642515</v>
      </c>
      <c r="AX122" s="21">
        <f t="shared" si="60"/>
        <v>63.244154274745775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387.56764800000064</v>
      </c>
      <c r="BF122" s="13">
        <f t="shared" si="91"/>
        <v>89.251583734654062</v>
      </c>
      <c r="BG122" s="20">
        <f t="shared" si="61"/>
        <v>830.46016193785681</v>
      </c>
      <c r="BH122" s="59">
        <f t="shared" si="62"/>
        <v>1112.3701532357859</v>
      </c>
      <c r="BI122" s="59">
        <f ca="1">AVERAGE(OFFSET($BH$3,0,0,'Données projet'!$E$11+1,1))-AVERAGE(OFFSET($H$3,0,0,'Données projet'!$E$11+1,1))</f>
        <v>711.91538686535682</v>
      </c>
      <c r="BJ122" s="59">
        <f t="shared" si="92"/>
        <v>313.24593837351722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34.732071773126258</v>
      </c>
      <c r="BQ122" s="21">
        <f>EXP(-LN(2)/25)*BQ121+(1-EXP(-LN(2)/25))/(LN(2)/25)*Calculateur!BL122*Calculateur!BN122*VLOOKUP('Données projet'!$B$11,Paramètres!$A$1:$I$89,3,0)*0.475*44/12</f>
        <v>23.604430053878339</v>
      </c>
      <c r="BR122" s="21">
        <f>EXP(-LN(2)/2)*BR121+(1-EXP(-LN(2)/2))/(LN(2)/2)*BL122*BO122*VLOOKUP('Données projet'!$B$11,Paramètres!$A$1:$I$89,3,0)*0.475*44/12</f>
        <v>1.0157044923722061</v>
      </c>
      <c r="BS122" s="22">
        <f t="shared" si="63"/>
        <v>59.352206319376805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8.9160000000000021</v>
      </c>
      <c r="BY122" s="12">
        <f>IF('Données projet'!$A$114&gt;35,BY121+BX122-CG121,IF(A122&lt;'Données projet'!$A$114,$BV$205^A122,IF(A122='Données projet'!$A$114,'Données projet'!$B$114,BY121+BX122-CG121)))</f>
        <v>407.28000000000071</v>
      </c>
      <c r="BZ122" s="13">
        <f>BY122*VLOOKUP('Données projet'!$B$12,Paramètres!$A$1:$I$89,3,0)*VLOOKUP('Données projet'!$B$12,Paramètres!$A$1:$I$89,5,0)</f>
        <v>393.9212160000007</v>
      </c>
      <c r="CA122" s="13">
        <f t="shared" si="93"/>
        <v>90.543188844433431</v>
      </c>
      <c r="CB122" s="20">
        <f t="shared" si="64"/>
        <v>843.77550510405615</v>
      </c>
      <c r="CC122" s="59">
        <f t="shared" si="65"/>
        <v>1125.6854964019853</v>
      </c>
      <c r="CD122" s="59">
        <f ca="1">AVERAGE(OFFSET($CC$3,0,0,'Données projet'!$E$12+1,1))-AVERAGE(OFFSET($H$3,0,0,'Données projet'!$E$12+1,1))</f>
        <v>722.05521609092671</v>
      </c>
      <c r="CE122" s="59">
        <f t="shared" si="94"/>
        <v>317.36319714884644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35.30144999891521</v>
      </c>
      <c r="CL122" s="21">
        <f>EXP(-LN(2)/25)*CL121+(1-EXP(-LN(2)/25))/(LN(2)/25)*Calculateur!CG122*Calculateur!CI122*VLOOKUP('Données projet'!$B$12,Paramètres!$A$1:$I$89,3,0)*0.475*44/12</f>
        <v>23.991387923614049</v>
      </c>
      <c r="CM122" s="21">
        <f>EXP(-LN(2)/2)*CM121+(1-EXP(-LN(2)/2))/(LN(2)/2)*CG122*CJ122*VLOOKUP('Données projet'!$B$12,Paramètres!$A$1:$I$89,3,0)*0.475*44/12</f>
        <v>1.0323553856897838</v>
      </c>
      <c r="CN122" s="22">
        <f t="shared" si="66"/>
        <v>60.325193308219042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8.9160000000000021</v>
      </c>
      <c r="CT122" s="12">
        <f>IF('Données projet'!$A$140&gt;35,CT121+CS122-DB121,IF(A122&lt;'Données projet'!$A$140,$CQ$205^A122,IF(A122='Données projet'!$A$140,'Données projet'!$B$140,CT121+CS122-DB121)))</f>
        <v>407.28000000000071</v>
      </c>
      <c r="CU122" s="17">
        <f>CT122*VLOOKUP('Données projet'!$B$13,Paramètres!$A$1:$I$89,3,0)*VLOOKUP('Données projet'!$B$13,Paramètres!$A$1:$I$89,5,0)</f>
        <v>438.39619200000078</v>
      </c>
      <c r="CV122" s="13">
        <f t="shared" si="95"/>
        <v>99.518895086939509</v>
      </c>
      <c r="CW122" s="20">
        <f t="shared" si="67"/>
        <v>936.86877667642091</v>
      </c>
      <c r="CX122" s="59">
        <f t="shared" si="68"/>
        <v>1218.7787679743501</v>
      </c>
      <c r="CY122" s="59">
        <f ca="1">AVERAGE(OFFSET($CX$3,0,0,'Données projet'!$E$13+1,1))-AVERAGE(OFFSET($H$3,0,0,'Données projet'!$E$13+1,1))</f>
        <v>792.94606354161886</v>
      </c>
      <c r="CZ122" s="59">
        <f t="shared" si="96"/>
        <v>346.14443498270919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39.287097579437877</v>
      </c>
      <c r="DG122" s="21">
        <f>EXP(-LN(2)/25)*DG121+(1-EXP(-LN(2)/25))/(LN(2)/25)*Calculateur!DB122*Calculateur!DD122*VLOOKUP('Données projet'!$B$13,Paramètres!$A$1:$I$89,3,0)*0.475*44/12</f>
        <v>26.700093011764022</v>
      </c>
      <c r="DH122" s="21">
        <f>EXP(-LN(2)/2)*DH121+(1-EXP(-LN(2)/2))/(LN(2)/2)*DB122*DE122*VLOOKUP('Données projet'!$B$13,Paramètres!$A$1:$I$89,3,0)*0.475*44/12</f>
        <v>1.1489116389128233</v>
      </c>
      <c r="DI122" s="22">
        <f t="shared" si="69"/>
        <v>67.136102230114716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269.21114382490202</v>
      </c>
      <c r="DU122" s="59">
        <f t="shared" si="98"/>
        <v>233.07776944102309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6.0892514668254361</v>
      </c>
      <c r="EB122" s="21">
        <f>EXP(-LN(2)/25)*EB121+(1-EXP(-LN(2)/25))/(LN(2)/25)*Calculateur!DW122*Calculateur!DY122*VLOOKUP('Données projet'!$B$14,Paramètres!$A$1:$I$89,3,0)*0.475*44/12</f>
        <v>28.579463895108255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34.668715361933693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8.9160000000000021</v>
      </c>
      <c r="FE122" s="12">
        <f>IF('Données projet'!$A$218&gt;35,FE121+FD122-FM121,IF(A122&lt;'Données projet'!$A$218,$FB$205^A122,IF(A122='Données projet'!$A$218,'Données projet'!$B$218,FE121+FD122-FM121)))</f>
        <v>407.28000000000071</v>
      </c>
      <c r="FF122" s="17">
        <f>FE122*VLOOKUP('Données projet'!$B$16,Paramètres!$A$1:$I$89,3,0)*VLOOKUP('Données projet'!$B$16,Paramètres!$A$1:$I$89,5,0)</f>
        <v>463.81046400000076</v>
      </c>
      <c r="FG122" s="13">
        <f t="shared" si="101"/>
        <v>104.59973113784054</v>
      </c>
      <c r="FH122" s="20">
        <f t="shared" si="76"/>
        <v>989.98108986507361</v>
      </c>
      <c r="FI122" s="59">
        <f t="shared" si="77"/>
        <v>1271.8910811630028</v>
      </c>
      <c r="FJ122" s="59">
        <f ca="1">AVERAGE(OFFSET($FI$3,0,0,'Données projet'!$E$16+1,1))-AVERAGE(OFFSET($H$3,0,0,'Données projet'!$E$16+1,1))</f>
        <v>833.39050463936144</v>
      </c>
      <c r="FK122" s="59">
        <f t="shared" si="102"/>
        <v>362.56178526355507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41.564610482593707</v>
      </c>
      <c r="FR122" s="21">
        <f>EXP(-LN(2)/25)*FR121+(1-EXP(-LN(2)/25))/(LN(2)/25)*Calculateur!FM122*Calculateur!FO122*VLOOKUP('Données projet'!$B$16,Paramètres!$A$1:$I$89,3,0)*0.475*44/12</f>
        <v>28.247924490706875</v>
      </c>
      <c r="FS122" s="21">
        <f>EXP(-LN(2)/2)*FS121+(1-EXP(-LN(2)/2))/(LN(2)/2)*FM122*FP122*VLOOKUP('Données projet'!$B$16,Paramètres!$A$1:$I$89,3,0)*0.475*44/12</f>
        <v>1.2155152121831323</v>
      </c>
      <c r="FT122" s="22">
        <f t="shared" si="78"/>
        <v>71.028050185483721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1089.5187387280791</v>
      </c>
      <c r="S123" s="59">
        <f ca="1">AVERAGE(OFFSET($R$3,0,0,'Données projet'!$E$9+1,1))-AVERAGE(OFFSET($H$3,0,0,'Données projet'!$E$9+1,1))</f>
        <v>681.47578137804555</v>
      </c>
      <c r="T123" s="59">
        <f t="shared" si="88"/>
        <v>300.88511065995885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422.02274400000073</v>
      </c>
      <c r="AK123" s="13">
        <f t="shared" si="89"/>
        <v>96.227416942568027</v>
      </c>
      <c r="AL123" s="20">
        <f t="shared" si="58"/>
        <v>902.61903030830717</v>
      </c>
      <c r="AM123" s="59">
        <f t="shared" si="59"/>
        <v>1184.7271910517838</v>
      </c>
      <c r="AN123" s="59">
        <f ca="1">AVERAGE(OFFSET($AM$3,0,0,'Données projet'!$E$10+1,1))-AVERAGE(OFFSET($H$3,0,0,'Données projet'!$E$10+1,1))</f>
        <v>752.45542076695506</v>
      </c>
      <c r="AO123" s="59">
        <f t="shared" si="90"/>
        <v>329.70629768420724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36.283849294397875</v>
      </c>
      <c r="AV123" s="21">
        <f>EXP(-LN(2)/25)*AV122+(1-EXP(-LN(2)/25))/(LN(2)/25)*Calculateur!AQ123*Calculateur!AS123*VLOOKUP('Données projet'!$B$10,Paramètres!$A$1:$I$89,3,0)*0.475*44/12</f>
        <v>24.464471618506245</v>
      </c>
      <c r="AW123" s="21">
        <f>EXP(-LN(2)/2)*AW122+(1-EXP(-LN(2)/2))/(LN(2)/2)*AQ123*AT123*VLOOKUP('Données projet'!$B$10,Paramètres!$A$1:$I$89,3,0)*0.475*44/12</f>
        <v>0.76530737254871739</v>
      </c>
      <c r="AX123" s="21">
        <f t="shared" si="60"/>
        <v>61.513628285452839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396.05211360000067</v>
      </c>
      <c r="BF123" s="13">
        <f t="shared" si="91"/>
        <v>90.975830394074606</v>
      </c>
      <c r="BG123" s="20">
        <f t="shared" si="61"/>
        <v>848.24033578968101</v>
      </c>
      <c r="BH123" s="59">
        <f t="shared" si="62"/>
        <v>1130.3484965331577</v>
      </c>
      <c r="BI123" s="59">
        <f ca="1">AVERAGE(OFFSET($BH$3,0,0,'Données projet'!$E$11+1,1))-AVERAGE(OFFSET($H$3,0,0,'Données projet'!$E$11+1,1))</f>
        <v>711.91538686535682</v>
      </c>
      <c r="BJ123" s="59">
        <f t="shared" si="92"/>
        <v>313.24593837351722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34.050997030127242</v>
      </c>
      <c r="BQ123" s="21">
        <f>EXP(-LN(2)/25)*BQ122+(1-EXP(-LN(2)/25))/(LN(2)/25)*Calculateur!BL123*Calculateur!BN123*VLOOKUP('Données projet'!$B$11,Paramètres!$A$1:$I$89,3,0)*0.475*44/12</f>
        <v>22.958965672752008</v>
      </c>
      <c r="BR123" s="21">
        <f>EXP(-LN(2)/2)*BR122+(1-EXP(-LN(2)/2))/(LN(2)/2)*BL123*BO123*VLOOKUP('Données projet'!$B$11,Paramètres!$A$1:$I$89,3,0)*0.475*44/12</f>
        <v>0.71821153423802686</v>
      </c>
      <c r="BS123" s="22">
        <f t="shared" si="63"/>
        <v>57.72817423711728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8.9160000000000021</v>
      </c>
      <c r="BY123" s="12">
        <f>IF('Données projet'!$A$114&gt;35,BY122+BX123-CG122,IF(A123&lt;'Données projet'!$A$114,$BV$205^A123,IF(A123='Données projet'!$A$114,'Données projet'!$B$114,BY122+BX123-CG122)))</f>
        <v>416.19600000000071</v>
      </c>
      <c r="BZ123" s="13">
        <f>BY123*VLOOKUP('Données projet'!$B$12,Paramètres!$A$1:$I$89,3,0)*VLOOKUP('Données projet'!$B$12,Paramètres!$A$1:$I$89,5,0)</f>
        <v>402.5447712000007</v>
      </c>
      <c r="CA123" s="13">
        <f t="shared" si="93"/>
        <v>92.292387955145458</v>
      </c>
      <c r="CB123" s="20">
        <f t="shared" si="64"/>
        <v>861.8413855285462</v>
      </c>
      <c r="CC123" s="59">
        <f t="shared" si="65"/>
        <v>1143.9495462720229</v>
      </c>
      <c r="CD123" s="59">
        <f ca="1">AVERAGE(OFFSET($CC$3,0,0,'Données projet'!$E$12+1,1))-AVERAGE(OFFSET($H$3,0,0,'Données projet'!$E$12+1,1))</f>
        <v>722.05521609092671</v>
      </c>
      <c r="CE123" s="59">
        <f t="shared" si="94"/>
        <v>317.36319714884644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34.6092100961949</v>
      </c>
      <c r="CL123" s="21">
        <f>EXP(-LN(2)/25)*CL122+(1-EXP(-LN(2)/25))/(LN(2)/25)*Calculateur!CG123*Calculateur!CI123*VLOOKUP('Données projet'!$B$12,Paramètres!$A$1:$I$89,3,0)*0.475*44/12</f>
        <v>23.335342159190564</v>
      </c>
      <c r="CM123" s="21">
        <f>EXP(-LN(2)/2)*CM122+(1-EXP(-LN(2)/2))/(LN(2)/2)*CG123*CJ123*VLOOKUP('Données projet'!$B$12,Paramètres!$A$1:$I$89,3,0)*0.475*44/12</f>
        <v>0.72998549381569988</v>
      </c>
      <c r="CN123" s="22">
        <f t="shared" si="66"/>
        <v>58.674537749201157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8.9160000000000021</v>
      </c>
      <c r="CT123" s="12">
        <f>IF('Données projet'!$A$140&gt;35,CT122+CS123-DB122,IF(A123&lt;'Données projet'!$A$140,$CQ$205^A123,IF(A123='Données projet'!$A$140,'Données projet'!$B$140,CT122+CS123-DB122)))</f>
        <v>416.19600000000071</v>
      </c>
      <c r="CU123" s="17">
        <f>CT123*VLOOKUP('Données projet'!$B$13,Paramètres!$A$1:$I$89,3,0)*VLOOKUP('Données projet'!$B$13,Paramètres!$A$1:$I$89,5,0)</f>
        <v>447.99337440000079</v>
      </c>
      <c r="CV123" s="13">
        <f t="shared" si="95"/>
        <v>101.44149539522132</v>
      </c>
      <c r="CW123" s="20">
        <f t="shared" si="67"/>
        <v>956.9323982266784</v>
      </c>
      <c r="CX123" s="59">
        <f t="shared" si="68"/>
        <v>1239.040558970155</v>
      </c>
      <c r="CY123" s="59">
        <f ca="1">AVERAGE(OFFSET($CX$3,0,0,'Données projet'!$E$13+1,1))-AVERAGE(OFFSET($H$3,0,0,'Données projet'!$E$13+1,1))</f>
        <v>792.94606354161886</v>
      </c>
      <c r="CZ123" s="59">
        <f t="shared" si="96"/>
        <v>346.14443498270919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38.516701558668494</v>
      </c>
      <c r="DG123" s="21">
        <f>EXP(-LN(2)/25)*DG122+(1-EXP(-LN(2)/25))/(LN(2)/25)*Calculateur!DB123*Calculateur!DD123*VLOOKUP('Données projet'!$B$13,Paramètres!$A$1:$I$89,3,0)*0.475*44/12</f>
        <v>25.969977564260468</v>
      </c>
      <c r="DH123" s="21">
        <f>EXP(-LN(2)/2)*DH122+(1-EXP(-LN(2)/2))/(LN(2)/2)*DB123*DE123*VLOOKUP('Données projet'!$B$13,Paramètres!$A$1:$I$89,3,0)*0.475*44/12</f>
        <v>0.81240321085940748</v>
      </c>
      <c r="DI123" s="22">
        <f t="shared" si="69"/>
        <v>65.299082333788363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269.21114382490202</v>
      </c>
      <c r="DU123" s="59">
        <f t="shared" si="98"/>
        <v>233.07776944102309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5.9698449596376495</v>
      </c>
      <c r="EB123" s="21">
        <f>EXP(-LN(2)/25)*EB122+(1-EXP(-LN(2)/25))/(LN(2)/25)*Calculateur!DW123*Calculateur!DY123*VLOOKUP('Données projet'!$B$14,Paramètres!$A$1:$I$89,3,0)*0.475*44/12</f>
        <v>27.797956951967834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33.767801911605481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8.9160000000000021</v>
      </c>
      <c r="FE123" s="12">
        <f>IF('Données projet'!$A$218&gt;35,FE122+FD123-FM122,IF(A123&lt;'Données projet'!$A$218,$FB$205^A123,IF(A123='Données projet'!$A$218,'Données projet'!$B$218,FE122+FD123-FM122)))</f>
        <v>416.19600000000071</v>
      </c>
      <c r="FF123" s="17">
        <f>FE123*VLOOKUP('Données projet'!$B$16,Paramètres!$A$1:$I$89,3,0)*VLOOKUP('Données projet'!$B$16,Paramètres!$A$1:$I$89,5,0)</f>
        <v>473.96400480000079</v>
      </c>
      <c r="FG123" s="13">
        <f t="shared" si="101"/>
        <v>106.62048785098648</v>
      </c>
      <c r="FH123" s="20">
        <f t="shared" si="76"/>
        <v>1011.1846580338029</v>
      </c>
      <c r="FI123" s="59">
        <f t="shared" si="77"/>
        <v>1293.2928187772795</v>
      </c>
      <c r="FJ123" s="59">
        <f ca="1">AVERAGE(OFFSET($FI$3,0,0,'Données projet'!$E$16+1,1))-AVERAGE(OFFSET($H$3,0,0,'Données projet'!$E$16+1,1))</f>
        <v>833.39050463936144</v>
      </c>
      <c r="FK123" s="59">
        <f t="shared" si="102"/>
        <v>362.56178526355507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40.749553822939149</v>
      </c>
      <c r="FR123" s="21">
        <f>EXP(-LN(2)/25)*FR122+(1-EXP(-LN(2)/25))/(LN(2)/25)*Calculateur!FM123*Calculateur!FO123*VLOOKUP('Données projet'!$B$16,Paramètres!$A$1:$I$89,3,0)*0.475*44/12</f>
        <v>27.475483510014708</v>
      </c>
      <c r="FS123" s="21">
        <f>EXP(-LN(2)/2)*FS122+(1-EXP(-LN(2)/2))/(LN(2)/2)*FM123*FP123*VLOOKUP('Données projet'!$B$16,Paramètres!$A$1:$I$89,3,0)*0.475*44/12</f>
        <v>0.85949904917009812</v>
      </c>
      <c r="FT123" s="22">
        <f t="shared" si="78"/>
        <v>69.084536382123957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1106.6288665012289</v>
      </c>
      <c r="S124" s="59">
        <f ca="1">AVERAGE(OFFSET($R$3,0,0,'Données projet'!$E$9+1,1))-AVERAGE(OFFSET($H$3,0,0,'Données projet'!$E$9+1,1))</f>
        <v>681.47578137804555</v>
      </c>
      <c r="T124" s="59">
        <f t="shared" si="88"/>
        <v>300.88511065995885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431.06356800000077</v>
      </c>
      <c r="AK124" s="13">
        <f t="shared" si="89"/>
        <v>98.046653408452883</v>
      </c>
      <c r="AL124" s="20">
        <f t="shared" si="58"/>
        <v>921.53363561972344</v>
      </c>
      <c r="AM124" s="59">
        <f t="shared" si="59"/>
        <v>1203.8365280119078</v>
      </c>
      <c r="AN124" s="59">
        <f ca="1">AVERAGE(OFFSET($AM$3,0,0,'Données projet'!$E$10+1,1))-AVERAGE(OFFSET($H$3,0,0,'Données projet'!$E$10+1,1))</f>
        <v>752.45542076695506</v>
      </c>
      <c r="AO124" s="59">
        <f t="shared" si="90"/>
        <v>329.70629768420724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35.57234514069755</v>
      </c>
      <c r="AV124" s="21">
        <f>EXP(-LN(2)/25)*AV123+(1-EXP(-LN(2)/25))/(LN(2)/25)*Calculateur!AQ124*Calculateur!AS124*VLOOKUP('Données projet'!$B$10,Paramètres!$A$1:$I$89,3,0)*0.475*44/12</f>
        <v>23.795489355567543</v>
      </c>
      <c r="AW124" s="21">
        <f>EXP(-LN(2)/2)*AW123+(1-EXP(-LN(2)/2))/(LN(2)/2)*AQ124*AT124*VLOOKUP('Données projet'!$B$10,Paramètres!$A$1:$I$89,3,0)*0.475*44/12</f>
        <v>0.54115403282125751</v>
      </c>
      <c r="AX124" s="21">
        <f t="shared" si="60"/>
        <v>59.908988529086351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404.53657920000069</v>
      </c>
      <c r="BF124" s="13">
        <f t="shared" si="91"/>
        <v>92.695782497390908</v>
      </c>
      <c r="BG124" s="20">
        <f t="shared" si="61"/>
        <v>866.01302995629032</v>
      </c>
      <c r="BH124" s="59">
        <f t="shared" si="62"/>
        <v>1148.3159223484747</v>
      </c>
      <c r="BI124" s="59">
        <f ca="1">AVERAGE(OFFSET($BH$3,0,0,'Données projet'!$E$11+1,1))-AVERAGE(OFFSET($H$3,0,0,'Données projet'!$E$11+1,1))</f>
        <v>711.91538686535682</v>
      </c>
      <c r="BJ124" s="59">
        <f t="shared" si="92"/>
        <v>313.24593837351722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33.383277747423861</v>
      </c>
      <c r="BQ124" s="21">
        <f>EXP(-LN(2)/25)*BQ123+(1-EXP(-LN(2)/25))/(LN(2)/25)*Calculateur!BL124*Calculateur!BN124*VLOOKUP('Données projet'!$B$11,Paramètres!$A$1:$I$89,3,0)*0.475*44/12</f>
        <v>22.331151549071073</v>
      </c>
      <c r="BR124" s="21">
        <f>EXP(-LN(2)/2)*BR123+(1-EXP(-LN(2)/2))/(LN(2)/2)*BL124*BO124*VLOOKUP('Données projet'!$B$11,Paramètres!$A$1:$I$89,3,0)*0.475*44/12</f>
        <v>0.50785224618610303</v>
      </c>
      <c r="BS124" s="22">
        <f t="shared" si="63"/>
        <v>56.222281542681039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8.9160000000000021</v>
      </c>
      <c r="BY124" s="12">
        <f>IF('Données projet'!$A$114&gt;35,BY123+BX124-CG123,IF(A124&lt;'Données projet'!$A$114,$BV$205^A124,IF(A124='Données projet'!$A$114,'Données projet'!$B$114,BY123+BX124-CG123)))</f>
        <v>425.11200000000071</v>
      </c>
      <c r="BZ124" s="13">
        <f>BY124*VLOOKUP('Données projet'!$B$12,Paramètres!$A$1:$I$89,3,0)*VLOOKUP('Données projet'!$B$12,Paramètres!$A$1:$I$89,5,0)</f>
        <v>411.16832640000069</v>
      </c>
      <c r="CA124" s="13">
        <f t="shared" si="93"/>
        <v>94.037230361045417</v>
      </c>
      <c r="CB124" s="20">
        <f t="shared" si="64"/>
        <v>879.8996780254887</v>
      </c>
      <c r="CC124" s="59">
        <f t="shared" si="65"/>
        <v>1162.2025704176731</v>
      </c>
      <c r="CD124" s="59">
        <f ca="1">AVERAGE(OFFSET($CC$3,0,0,'Données projet'!$E$12+1,1))-AVERAGE(OFFSET($H$3,0,0,'Données projet'!$E$12+1,1))</f>
        <v>722.05521609092671</v>
      </c>
      <c r="CE124" s="59">
        <f t="shared" si="94"/>
        <v>317.36319714884644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33.930544595742283</v>
      </c>
      <c r="CL124" s="21">
        <f>EXP(-LN(2)/25)*CL123+(1-EXP(-LN(2)/25))/(LN(2)/25)*Calculateur!CG124*Calculateur!CI124*VLOOKUP('Données projet'!$B$12,Paramètres!$A$1:$I$89,3,0)*0.475*44/12</f>
        <v>22.697236000695188</v>
      </c>
      <c r="CM124" s="21">
        <f>EXP(-LN(2)/2)*CM123+(1-EXP(-LN(2)/2))/(LN(2)/2)*CG124*CJ124*VLOOKUP('Données projet'!$B$12,Paramètres!$A$1:$I$89,3,0)*0.475*44/12</f>
        <v>0.51617769284489201</v>
      </c>
      <c r="CN124" s="22">
        <f t="shared" si="66"/>
        <v>57.143958289282367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8.9160000000000021</v>
      </c>
      <c r="CT124" s="12">
        <f>IF('Données projet'!$A$140&gt;35,CT123+CS124-DB123,IF(A124&lt;'Données projet'!$A$140,$CQ$205^A124,IF(A124='Données projet'!$A$140,'Données projet'!$B$140,CT123+CS124-DB123)))</f>
        <v>425.11200000000071</v>
      </c>
      <c r="CU124" s="17">
        <f>CT124*VLOOKUP('Données projet'!$B$13,Paramètres!$A$1:$I$89,3,0)*VLOOKUP('Données projet'!$B$13,Paramètres!$A$1:$I$89,5,0)</f>
        <v>457.5905568000008</v>
      </c>
      <c r="CV124" s="13">
        <f t="shared" si="95"/>
        <v>103.35930711084725</v>
      </c>
      <c r="CW124" s="20">
        <f t="shared" si="67"/>
        <v>976.987679644727</v>
      </c>
      <c r="CX124" s="59">
        <f t="shared" si="68"/>
        <v>1259.2905720369113</v>
      </c>
      <c r="CY124" s="59">
        <f ca="1">AVERAGE(OFFSET($CX$3,0,0,'Données projet'!$E$13+1,1))-AVERAGE(OFFSET($H$3,0,0,'Données projet'!$E$13+1,1))</f>
        <v>792.94606354161886</v>
      </c>
      <c r="CZ124" s="59">
        <f t="shared" si="96"/>
        <v>346.14443498270919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37.761412533971225</v>
      </c>
      <c r="DG124" s="21">
        <f>EXP(-LN(2)/25)*DG123+(1-EXP(-LN(2)/25))/(LN(2)/25)*Calculateur!DB124*Calculateur!DD124*VLOOKUP('Données projet'!$B$13,Paramètres!$A$1:$I$89,3,0)*0.475*44/12</f>
        <v>25.259827162063999</v>
      </c>
      <c r="DH124" s="21">
        <f>EXP(-LN(2)/2)*DH123+(1-EXP(-LN(2)/2))/(LN(2)/2)*DB124*DE124*VLOOKUP('Données projet'!$B$13,Paramètres!$A$1:$I$89,3,0)*0.475*44/12</f>
        <v>0.57445581945641166</v>
      </c>
      <c r="DI124" s="22">
        <f t="shared" si="69"/>
        <v>63.595695515491634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269.21114382490202</v>
      </c>
      <c r="DU124" s="59">
        <f t="shared" si="98"/>
        <v>233.07776944102309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5.8527799412250374</v>
      </c>
      <c r="EB124" s="21">
        <f>EXP(-LN(2)/25)*EB123+(1-EXP(-LN(2)/25))/(LN(2)/25)*Calculateur!DW124*Calculateur!DY124*VLOOKUP('Données projet'!$B$14,Paramètres!$A$1:$I$89,3,0)*0.475*44/12</f>
        <v>27.037820357285248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32.890600298510286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8.9160000000000021</v>
      </c>
      <c r="FE124" s="12">
        <f>IF('Données projet'!$A$218&gt;35,FE123+FD124-FM123,IF(A124&lt;'Données projet'!$A$218,$FB$205^A124,IF(A124='Données projet'!$A$218,'Données projet'!$B$218,FE123+FD124-FM123)))</f>
        <v>425.11200000000071</v>
      </c>
      <c r="FF124" s="17">
        <f>FE124*VLOOKUP('Données projet'!$B$16,Paramètres!$A$1:$I$89,3,0)*VLOOKUP('Données projet'!$B$16,Paramètres!$A$1:$I$89,5,0)</f>
        <v>484.11754560000077</v>
      </c>
      <c r="FG124" s="13">
        <f t="shared" si="101"/>
        <v>108.63621149474514</v>
      </c>
      <c r="FH124" s="20">
        <f t="shared" si="76"/>
        <v>1032.379460273349</v>
      </c>
      <c r="FI124" s="59">
        <f t="shared" si="77"/>
        <v>1314.6823526655335</v>
      </c>
      <c r="FJ124" s="59">
        <f ca="1">AVERAGE(OFFSET($FI$3,0,0,'Données projet'!$E$16+1,1))-AVERAGE(OFFSET($H$3,0,0,'Données projet'!$E$16+1,1))</f>
        <v>833.39050463936144</v>
      </c>
      <c r="FK124" s="59">
        <f t="shared" si="102"/>
        <v>362.56178526355507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39.950479927244942</v>
      </c>
      <c r="FR124" s="21">
        <f>EXP(-LN(2)/25)*FR123+(1-EXP(-LN(2)/25))/(LN(2)/25)*Calculateur!FM124*Calculateur!FO124*VLOOKUP('Données projet'!$B$16,Paramètres!$A$1:$I$89,3,0)*0.475*44/12</f>
        <v>26.724164968560473</v>
      </c>
      <c r="FS124" s="21">
        <f>EXP(-LN(2)/2)*FS123+(1-EXP(-LN(2)/2))/(LN(2)/2)*FM124*FP124*VLOOKUP('Données projet'!$B$16,Paramètres!$A$1:$I$89,3,0)*0.475*44/12</f>
        <v>0.60775760609156626</v>
      </c>
      <c r="FT124" s="22">
        <f t="shared" si="78"/>
        <v>67.282402501896982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1123.7286297349485</v>
      </c>
      <c r="S125" s="59">
        <f ca="1">AVERAGE(OFFSET($R$3,0,0,'Données projet'!$E$9+1,1))-AVERAGE(OFFSET($H$3,0,0,'Données projet'!$E$9+1,1))</f>
        <v>681.47578137804555</v>
      </c>
      <c r="T125" s="59">
        <f t="shared" si="88"/>
        <v>300.88511065995885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440.1043920000007</v>
      </c>
      <c r="AK125" s="13">
        <f t="shared" si="89"/>
        <v>99.861453660492415</v>
      </c>
      <c r="AL125" s="20">
        <f t="shared" si="58"/>
        <v>940.44051452535894</v>
      </c>
      <c r="AM125" s="59">
        <f t="shared" si="59"/>
        <v>1222.9347604075008</v>
      </c>
      <c r="AN125" s="59">
        <f ca="1">AVERAGE(OFFSET($AM$3,0,0,'Données projet'!$E$10+1,1))-AVERAGE(OFFSET($H$3,0,0,'Données projet'!$E$10+1,1))</f>
        <v>752.45542076695506</v>
      </c>
      <c r="AO125" s="59">
        <f t="shared" si="90"/>
        <v>329.70629768420724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34.874793149476609</v>
      </c>
      <c r="AV125" s="21">
        <f>EXP(-LN(2)/25)*AV124+(1-EXP(-LN(2)/25))/(LN(2)/25)*Calculateur!AQ125*Calculateur!AS125*VLOOKUP('Données projet'!$B$10,Paramètres!$A$1:$I$89,3,0)*0.475*44/12</f>
        <v>23.144800447789148</v>
      </c>
      <c r="AW125" s="21">
        <f>EXP(-LN(2)/2)*AW124+(1-EXP(-LN(2)/2))/(LN(2)/2)*AQ125*AT125*VLOOKUP('Données projet'!$B$10,Paramètres!$A$1:$I$89,3,0)*0.475*44/12</f>
        <v>0.3826536862743587</v>
      </c>
      <c r="AX125" s="21">
        <f t="shared" si="60"/>
        <v>58.402247283540113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413.02104480000071</v>
      </c>
      <c r="BF125" s="13">
        <f t="shared" si="91"/>
        <v>94.411540492092271</v>
      </c>
      <c r="BG125" s="20">
        <f t="shared" si="61"/>
        <v>883.77841938372865</v>
      </c>
      <c r="BH125" s="59">
        <f t="shared" si="62"/>
        <v>1166.2726652658705</v>
      </c>
      <c r="BI125" s="59">
        <f ca="1">AVERAGE(OFFSET($BH$3,0,0,'Données projet'!$E$11+1,1))-AVERAGE(OFFSET($H$3,0,0,'Données projet'!$E$11+1,1))</f>
        <v>711.91538686535682</v>
      </c>
      <c r="BJ125" s="59">
        <f t="shared" si="92"/>
        <v>313.24593837351722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32.728652032585742</v>
      </c>
      <c r="BQ125" s="21">
        <f>EXP(-LN(2)/25)*BQ124+(1-EXP(-LN(2)/25))/(LN(2)/25)*Calculateur!BL125*Calculateur!BN125*VLOOKUP('Données projet'!$B$11,Paramètres!$A$1:$I$89,3,0)*0.475*44/12</f>
        <v>21.720505035617503</v>
      </c>
      <c r="BR125" s="21">
        <f>EXP(-LN(2)/2)*BR124+(1-EXP(-LN(2)/2))/(LN(2)/2)*BL125*BO125*VLOOKUP('Données projet'!$B$11,Paramètres!$A$1:$I$89,3,0)*0.475*44/12</f>
        <v>0.35910576711901343</v>
      </c>
      <c r="BS125" s="22">
        <f t="shared" si="63"/>
        <v>54.80826283532226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8.9160000000000021</v>
      </c>
      <c r="BY125" s="12">
        <f>IF('Données projet'!$A$114&gt;35,BY124+BX125-CG124,IF(A125&lt;'Données projet'!$A$114,$BV$205^A125,IF(A125='Données projet'!$A$114,'Données projet'!$B$114,BY124+BX125-CG124)))</f>
        <v>434.0280000000007</v>
      </c>
      <c r="BZ125" s="13">
        <f>BY125*VLOOKUP('Données projet'!$B$12,Paramètres!$A$1:$I$89,3,0)*VLOOKUP('Données projet'!$B$12,Paramètres!$A$1:$I$89,5,0)</f>
        <v>419.79188160000069</v>
      </c>
      <c r="CA125" s="13">
        <f t="shared" si="93"/>
        <v>95.77781796324912</v>
      </c>
      <c r="CB125" s="20">
        <f t="shared" si="64"/>
        <v>897.9505600726601</v>
      </c>
      <c r="CC125" s="59">
        <f t="shared" si="65"/>
        <v>1180.444805954802</v>
      </c>
      <c r="CD125" s="59">
        <f ca="1">AVERAGE(OFFSET($CC$3,0,0,'Données projet'!$E$12+1,1))-AVERAGE(OFFSET($H$3,0,0,'Données projet'!$E$12+1,1))</f>
        <v>722.05521609092671</v>
      </c>
      <c r="CE125" s="59">
        <f t="shared" si="94"/>
        <v>317.36319714884644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33.265187311808461</v>
      </c>
      <c r="CL125" s="21">
        <f>EXP(-LN(2)/25)*CL124+(1-EXP(-LN(2)/25))/(LN(2)/25)*Calculateur!CG125*Calculateur!CI125*VLOOKUP('Données projet'!$B$12,Paramètres!$A$1:$I$89,3,0)*0.475*44/12</f>
        <v>22.076578888660411</v>
      </c>
      <c r="CM125" s="21">
        <f>EXP(-LN(2)/2)*CM124+(1-EXP(-LN(2)/2))/(LN(2)/2)*CG125*CJ125*VLOOKUP('Données projet'!$B$12,Paramètres!$A$1:$I$89,3,0)*0.475*44/12</f>
        <v>0.36499274690785</v>
      </c>
      <c r="CN125" s="22">
        <f t="shared" si="66"/>
        <v>55.70675894737672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8.9160000000000021</v>
      </c>
      <c r="CT125" s="12">
        <f>IF('Données projet'!$A$140&gt;35,CT124+CS125-DB124,IF(A125&lt;'Données projet'!$A$140,$CQ$205^A125,IF(A125='Données projet'!$A$140,'Données projet'!$B$140,CT124+CS125-DB124)))</f>
        <v>434.0280000000007</v>
      </c>
      <c r="CU125" s="17">
        <f>CT125*VLOOKUP('Données projet'!$B$13,Paramètres!$A$1:$I$89,3,0)*VLOOKUP('Données projet'!$B$13,Paramètres!$A$1:$I$89,5,0)</f>
        <v>467.18773920000075</v>
      </c>
      <c r="CV125" s="13">
        <f t="shared" si="95"/>
        <v>105.27244223657124</v>
      </c>
      <c r="CW125" s="20">
        <f t="shared" si="67"/>
        <v>997.0348160020294</v>
      </c>
      <c r="CX125" s="59">
        <f t="shared" si="68"/>
        <v>1279.5290618841711</v>
      </c>
      <c r="CY125" s="59">
        <f ca="1">AVERAGE(OFFSET($CX$3,0,0,'Données projet'!$E$13+1,1))-AVERAGE(OFFSET($H$3,0,0,'Données projet'!$E$13+1,1))</f>
        <v>792.94606354161886</v>
      </c>
      <c r="CZ125" s="59">
        <f t="shared" si="96"/>
        <v>346.14443498270919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37.020934266367455</v>
      </c>
      <c r="DG125" s="21">
        <f>EXP(-LN(2)/25)*DG124+(1-EXP(-LN(2)/25))/(LN(2)/25)*Calculateur!DB125*Calculateur!DD125*VLOOKUP('Données projet'!$B$13,Paramètres!$A$1:$I$89,3,0)*0.475*44/12</f>
        <v>24.569095859960782</v>
      </c>
      <c r="DH125" s="21">
        <f>EXP(-LN(2)/2)*DH124+(1-EXP(-LN(2)/2))/(LN(2)/2)*DB125*DE125*VLOOKUP('Données projet'!$B$13,Paramètres!$A$1:$I$89,3,0)*0.475*44/12</f>
        <v>0.40620160542970374</v>
      </c>
      <c r="DI125" s="22">
        <f t="shared" si="69"/>
        <v>61.996231731757938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269.21114382490202</v>
      </c>
      <c r="DU125" s="59">
        <f t="shared" si="98"/>
        <v>233.07776944102309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5.7380104964208858</v>
      </c>
      <c r="EB125" s="21">
        <f>EXP(-LN(2)/25)*EB124+(1-EXP(-LN(2)/25))/(LN(2)/25)*Calculateur!DW125*Calculateur!DY125*VLOOKUP('Données projet'!$B$14,Paramètres!$A$1:$I$89,3,0)*0.475*44/12</f>
        <v>26.298469737758108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32.036480234178995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8.9160000000000021</v>
      </c>
      <c r="FE125" s="12">
        <f>IF('Données projet'!$A$218&gt;35,FE124+FD125-FM124,IF(A125&lt;'Données projet'!$A$218,$FB$205^A125,IF(A125='Données projet'!$A$218,'Données projet'!$B$218,FE124+FD125-FM124)))</f>
        <v>434.0280000000007</v>
      </c>
      <c r="FF125" s="17">
        <f>FE125*VLOOKUP('Données projet'!$B$16,Paramètres!$A$1:$I$89,3,0)*VLOOKUP('Données projet'!$B$16,Paramètres!$A$1:$I$89,5,0)</f>
        <v>494.2710864000008</v>
      </c>
      <c r="FG125" s="13">
        <f t="shared" si="101"/>
        <v>110.64701979005709</v>
      </c>
      <c r="FH125" s="20">
        <f t="shared" si="76"/>
        <v>1053.5657016143507</v>
      </c>
      <c r="FI125" s="59">
        <f t="shared" si="77"/>
        <v>1336.0599474964924</v>
      </c>
      <c r="FJ125" s="59">
        <f ca="1">AVERAGE(OFFSET($FI$3,0,0,'Données projet'!$E$16+1,1))-AVERAGE(OFFSET($H$3,0,0,'Données projet'!$E$16+1,1))</f>
        <v>833.39050463936144</v>
      </c>
      <c r="FK125" s="59">
        <f t="shared" si="102"/>
        <v>362.56178526355507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39.167075383258343</v>
      </c>
      <c r="FR125" s="21">
        <f>EXP(-LN(2)/25)*FR124+(1-EXP(-LN(2)/25))/(LN(2)/25)*Calculateur!FM125*Calculateur!FO125*VLOOKUP('Données projet'!$B$16,Paramètres!$A$1:$I$89,3,0)*0.475*44/12</f>
        <v>25.993391272132431</v>
      </c>
      <c r="FS125" s="21">
        <f>EXP(-LN(2)/2)*FS124+(1-EXP(-LN(2)/2))/(LN(2)/2)*FM125*FP125*VLOOKUP('Données projet'!$B$16,Paramètres!$A$1:$I$89,3,0)*0.475*44/12</f>
        <v>0.42974952458504911</v>
      </c>
      <c r="FT125" s="22">
        <f t="shared" si="78"/>
        <v>65.590216179975826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1140.8182470868849</v>
      </c>
      <c r="S126" s="59">
        <f ca="1">AVERAGE(OFFSET($R$3,0,0,'Données projet'!$E$9+1,1))-AVERAGE(OFFSET($H$3,0,0,'Données projet'!$E$9+1,1))</f>
        <v>681.47578137804555</v>
      </c>
      <c r="T126" s="59">
        <f t="shared" si="88"/>
        <v>300.88511065995885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449.1452160000008</v>
      </c>
      <c r="AK126" s="13">
        <f t="shared" si="89"/>
        <v>101.67191932991005</v>
      </c>
      <c r="AL126" s="20">
        <f t="shared" si="58"/>
        <v>959.33984403292789</v>
      </c>
      <c r="AM126" s="59">
        <f t="shared" si="59"/>
        <v>1242.0221238497786</v>
      </c>
      <c r="AN126" s="59">
        <f ca="1">AVERAGE(OFFSET($AM$3,0,0,'Données projet'!$E$10+1,1))-AVERAGE(OFFSET($H$3,0,0,'Données projet'!$E$10+1,1))</f>
        <v>752.45542076695506</v>
      </c>
      <c r="AO126" s="59">
        <f t="shared" si="90"/>
        <v>329.70629768420724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34.190919727338809</v>
      </c>
      <c r="AV126" s="21">
        <f>EXP(-LN(2)/25)*AV125+(1-EXP(-LN(2)/25))/(LN(2)/25)*Calculateur!AQ126*Calculateur!AS126*VLOOKUP('Données projet'!$B$10,Paramètres!$A$1:$I$89,3,0)*0.475*44/12</f>
        <v>22.511904662412196</v>
      </c>
      <c r="AW126" s="21">
        <f>EXP(-LN(2)/2)*AW125+(1-EXP(-LN(2)/2))/(LN(2)/2)*AQ126*AT126*VLOOKUP('Données projet'!$B$10,Paramètres!$A$1:$I$89,3,0)*0.475*44/12</f>
        <v>0.27057701641062876</v>
      </c>
      <c r="AX126" s="21">
        <f t="shared" si="60"/>
        <v>56.973401406161628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421.50551040000067</v>
      </c>
      <c r="BF126" s="13">
        <f t="shared" si="91"/>
        <v>96.123200462904308</v>
      </c>
      <c r="BG126" s="20">
        <f t="shared" si="61"/>
        <v>901.53667141955941</v>
      </c>
      <c r="BH126" s="59">
        <f t="shared" si="62"/>
        <v>1184.21895123641</v>
      </c>
      <c r="BI126" s="59">
        <f ca="1">AVERAGE(OFFSET($BH$3,0,0,'Données projet'!$E$11+1,1))-AVERAGE(OFFSET($H$3,0,0,'Données projet'!$E$11+1,1))</f>
        <v>711.91538686535682</v>
      </c>
      <c r="BJ126" s="59">
        <f t="shared" si="92"/>
        <v>313.24593837351722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32.086863128733341</v>
      </c>
      <c r="BQ126" s="21">
        <f>EXP(-LN(2)/25)*BQ125+(1-EXP(-LN(2)/25))/(LN(2)/25)*Calculateur!BL126*Calculateur!BN126*VLOOKUP('Données projet'!$B$11,Paramètres!$A$1:$I$89,3,0)*0.475*44/12</f>
        <v>21.126556683186827</v>
      </c>
      <c r="BR126" s="21">
        <f>EXP(-LN(2)/2)*BR125+(1-EXP(-LN(2)/2))/(LN(2)/2)*BL126*BO126*VLOOKUP('Données projet'!$B$11,Paramètres!$A$1:$I$89,3,0)*0.475*44/12</f>
        <v>0.25392612309305151</v>
      </c>
      <c r="BS126" s="22">
        <f t="shared" si="63"/>
        <v>53.467345935013221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8.9160000000000021</v>
      </c>
      <c r="BY126" s="12">
        <f>IF('Données projet'!$A$114&gt;35,BY125+BX126-CG125,IF(A126&lt;'Données projet'!$A$114,$BV$205^A126,IF(A126='Données projet'!$A$114,'Données projet'!$B$114,BY125+BX126-CG125)))</f>
        <v>442.9440000000007</v>
      </c>
      <c r="BZ126" s="13">
        <f>BY126*VLOOKUP('Données projet'!$B$12,Paramètres!$A$1:$I$89,3,0)*VLOOKUP('Données projet'!$B$12,Paramètres!$A$1:$I$89,5,0)</f>
        <v>428.41543680000069</v>
      </c>
      <c r="CA126" s="13">
        <f t="shared" si="93"/>
        <v>97.514248236973415</v>
      </c>
      <c r="CB126" s="20">
        <f t="shared" si="64"/>
        <v>915.99420143939653</v>
      </c>
      <c r="CC126" s="59">
        <f t="shared" si="65"/>
        <v>1198.6764812562471</v>
      </c>
      <c r="CD126" s="59">
        <f ca="1">AVERAGE(OFFSET($CC$3,0,0,'Données projet'!$E$12+1,1))-AVERAGE(OFFSET($H$3,0,0,'Données projet'!$E$12+1,1))</f>
        <v>722.05521609092671</v>
      </c>
      <c r="CE126" s="59">
        <f t="shared" si="94"/>
        <v>317.36319714884644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32.612877278384708</v>
      </c>
      <c r="CL126" s="21">
        <f>EXP(-LN(2)/25)*CL125+(1-EXP(-LN(2)/25))/(LN(2)/25)*Calculateur!CG126*Calculateur!CI126*VLOOKUP('Données projet'!$B$12,Paramètres!$A$1:$I$89,3,0)*0.475*44/12</f>
        <v>21.472893677993163</v>
      </c>
      <c r="CM126" s="21">
        <f>EXP(-LN(2)/2)*CM125+(1-EXP(-LN(2)/2))/(LN(2)/2)*CG126*CJ126*VLOOKUP('Données projet'!$B$12,Paramètres!$A$1:$I$89,3,0)*0.475*44/12</f>
        <v>0.25808884642244601</v>
      </c>
      <c r="CN126" s="22">
        <f t="shared" si="66"/>
        <v>54.343859802800317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8.9160000000000021</v>
      </c>
      <c r="CT126" s="12">
        <f>IF('Données projet'!$A$140&gt;35,CT125+CS126-DB125,IF(A126&lt;'Données projet'!$A$140,$CQ$205^A126,IF(A126='Données projet'!$A$140,'Données projet'!$B$140,CT125+CS126-DB125)))</f>
        <v>442.9440000000007</v>
      </c>
      <c r="CU126" s="17">
        <f>CT126*VLOOKUP('Données projet'!$B$13,Paramètres!$A$1:$I$89,3,0)*VLOOKUP('Données projet'!$B$13,Paramètres!$A$1:$I$89,5,0)</f>
        <v>476.78492160000076</v>
      </c>
      <c r="CV126" s="13">
        <f t="shared" si="95"/>
        <v>107.1810079105002</v>
      </c>
      <c r="CW126" s="20">
        <f t="shared" si="67"/>
        <v>1017.0739938974557</v>
      </c>
      <c r="CX126" s="59">
        <f t="shared" si="68"/>
        <v>1299.7562737143064</v>
      </c>
      <c r="CY126" s="59">
        <f ca="1">AVERAGE(OFFSET($CX$3,0,0,'Données projet'!$E$13+1,1))-AVERAGE(OFFSET($H$3,0,0,'Données projet'!$E$13+1,1))</f>
        <v>792.94606354161886</v>
      </c>
      <c r="CZ126" s="59">
        <f t="shared" si="96"/>
        <v>346.14443498270919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36.294976325944248</v>
      </c>
      <c r="DG126" s="21">
        <f>EXP(-LN(2)/25)*DG125+(1-EXP(-LN(2)/25))/(LN(2)/25)*Calculateur!DB126*Calculateur!DD126*VLOOKUP('Données projet'!$B$13,Paramètres!$A$1:$I$89,3,0)*0.475*44/12</f>
        <v>23.897252641637557</v>
      </c>
      <c r="DH126" s="21">
        <f>EXP(-LN(2)/2)*DH125+(1-EXP(-LN(2)/2))/(LN(2)/2)*DB126*DE126*VLOOKUP('Données projet'!$B$13,Paramètres!$A$1:$I$89,3,0)*0.475*44/12</f>
        <v>0.28722790972820583</v>
      </c>
      <c r="DI126" s="22">
        <f t="shared" si="69"/>
        <v>60.479456877310014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269.21114382490202</v>
      </c>
      <c r="DU126" s="59">
        <f t="shared" si="98"/>
        <v>233.07776944102309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5.6254916104268942</v>
      </c>
      <c r="EB126" s="21">
        <f>EXP(-LN(2)/25)*EB125+(1-EXP(-LN(2)/25))/(LN(2)/25)*Calculateur!DW126*Calculateur!DY126*VLOOKUP('Données projet'!$B$14,Paramètres!$A$1:$I$89,3,0)*0.475*44/12</f>
        <v>25.579336699802695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31.20482831022959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8.9160000000000021</v>
      </c>
      <c r="FE126" s="12">
        <f>IF('Données projet'!$A$218&gt;35,FE125+FD126-FM125,IF(A126&lt;'Données projet'!$A$218,$FB$205^A126,IF(A126='Données projet'!$A$218,'Données projet'!$B$218,FE125+FD126-FM125)))</f>
        <v>442.9440000000007</v>
      </c>
      <c r="FF126" s="17">
        <f>FE126*VLOOKUP('Données projet'!$B$16,Paramètres!$A$1:$I$89,3,0)*VLOOKUP('Données projet'!$B$16,Paramètres!$A$1:$I$89,5,0)</f>
        <v>504.42462720000077</v>
      </c>
      <c r="FG126" s="13">
        <f t="shared" si="101"/>
        <v>112.6530253448562</v>
      </c>
      <c r="FH126" s="20">
        <f t="shared" si="76"/>
        <v>1074.7435781822924</v>
      </c>
      <c r="FI126" s="59">
        <f t="shared" si="77"/>
        <v>1357.4258579991431</v>
      </c>
      <c r="FJ126" s="59">
        <f ca="1">AVERAGE(OFFSET($FI$3,0,0,'Données projet'!$E$16+1,1))-AVERAGE(OFFSET($H$3,0,0,'Données projet'!$E$16+1,1))</f>
        <v>833.39050463936144</v>
      </c>
      <c r="FK126" s="59">
        <f t="shared" si="102"/>
        <v>362.56178526355507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38.399032924549729</v>
      </c>
      <c r="FR126" s="21">
        <f>EXP(-LN(2)/25)*FR125+(1-EXP(-LN(2)/25))/(LN(2)/25)*Calculateur!FM126*Calculateur!FO126*VLOOKUP('Données projet'!$B$16,Paramètres!$A$1:$I$89,3,0)*0.475*44/12</f>
        <v>25.282600620862933</v>
      </c>
      <c r="FS126" s="21">
        <f>EXP(-LN(2)/2)*FS125+(1-EXP(-LN(2)/2))/(LN(2)/2)*FM126*FP126*VLOOKUP('Données projet'!$B$16,Paramètres!$A$1:$I$89,3,0)*0.475*44/12</f>
        <v>0.30387880304578319</v>
      </c>
      <c r="FT126" s="22">
        <f t="shared" si="78"/>
        <v>63.98551234845845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1157.8979293861935</v>
      </c>
      <c r="S127" s="59">
        <f ca="1">AVERAGE(OFFSET($R$3,0,0,'Données projet'!$E$9+1,1))-AVERAGE(OFFSET($H$3,0,0,'Données projet'!$E$9+1,1))</f>
        <v>681.47578137804555</v>
      </c>
      <c r="T127" s="59">
        <f t="shared" si="88"/>
        <v>300.88511065995885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458.18604000000073</v>
      </c>
      <c r="AK127" s="13">
        <f t="shared" si="89"/>
        <v>103.47814772253736</v>
      </c>
      <c r="AL127" s="20">
        <f t="shared" si="58"/>
        <v>978.23179361675386</v>
      </c>
      <c r="AM127" s="59">
        <f t="shared" si="59"/>
        <v>1261.0988453999271</v>
      </c>
      <c r="AN127" s="59">
        <f ca="1">AVERAGE(OFFSET($AM$3,0,0,'Données projet'!$E$10+1,1))-AVERAGE(OFFSET($H$3,0,0,'Données projet'!$E$10+1,1))</f>
        <v>752.45542076695506</v>
      </c>
      <c r="AO127" s="59">
        <f t="shared" si="90"/>
        <v>329.70629768420724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43.273149223572069</v>
      </c>
      <c r="AV127" s="21">
        <f>EXP(-LN(2)/25)*AV126+(1-EXP(-LN(2)/25))/(LN(2)/25)*Calculateur!AQ127*Calculateur!AS127*VLOOKUP('Données projet'!$B$10,Paramètres!$A$1:$I$89,3,0)*0.475*44/12</f>
        <v>27.447339737534058</v>
      </c>
      <c r="AW127" s="21">
        <f>EXP(-LN(2)/2)*AW126+(1-EXP(-LN(2)/2))/(LN(2)/2)*AQ127*AT127*VLOOKUP('Données projet'!$B$10,Paramètres!$A$1:$I$89,3,0)*0.475*44/12</f>
        <v>5.7222193437776019</v>
      </c>
      <c r="AX127" s="21">
        <f t="shared" si="60"/>
        <v>76.442708304883723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429.98997600000069</v>
      </c>
      <c r="BF127" s="13">
        <f t="shared" si="91"/>
        <v>97.830854405217835</v>
      </c>
      <c r="BG127" s="20">
        <f t="shared" si="61"/>
        <v>919.28794628908884</v>
      </c>
      <c r="BH127" s="59">
        <f t="shared" si="62"/>
        <v>1202.1549980722621</v>
      </c>
      <c r="BI127" s="59">
        <f ca="1">AVERAGE(OFFSET($BH$3,0,0,'Données projet'!$E$11+1,1))-AVERAGE(OFFSET($H$3,0,0,'Données projet'!$E$11+1,1))</f>
        <v>711.91538686535682</v>
      </c>
      <c r="BJ127" s="59">
        <f t="shared" si="92"/>
        <v>313.24593837351722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40.610186194429176</v>
      </c>
      <c r="BQ127" s="21">
        <f>EXP(-LN(2)/25)*BQ126+(1-EXP(-LN(2)/25))/(LN(2)/25)*Calculateur!BL127*Calculateur!BN127*VLOOKUP('Données projet'!$B$11,Paramètres!$A$1:$I$89,3,0)*0.475*44/12</f>
        <v>25.758272676762729</v>
      </c>
      <c r="BR127" s="21">
        <f>EXP(-LN(2)/2)*BR126+(1-EXP(-LN(2)/2))/(LN(2)/2)*BL127*BO127*VLOOKUP('Données projet'!$B$11,Paramètres!$A$1:$I$89,3,0)*0.475*44/12</f>
        <v>5.3700827687759034</v>
      </c>
      <c r="BS127" s="22">
        <f t="shared" si="63"/>
        <v>71.738541639967806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8.9160000000000021</v>
      </c>
      <c r="BX127" s="12">
        <f t="array" ref="BX127">INDEX(BW:BW,MIN(IF(ISNUMBER(BW127:BW323),ROW(BW127:BW323),"")))</f>
        <v>8.9160000000000021</v>
      </c>
      <c r="BY127" s="12">
        <f>IF('Données projet'!$A$114&gt;35,BY126+BX127-CG126,IF(A127&lt;'Données projet'!$A$114,$BV$205^A127,IF(A127='Données projet'!$A$114,'Données projet'!$B$114,BY126+BX127-CG126)))</f>
        <v>451.8600000000007</v>
      </c>
      <c r="BZ127" s="13">
        <f>BY127*VLOOKUP('Données projet'!$B$12,Paramètres!$A$1:$I$89,3,0)*VLOOKUP('Données projet'!$B$12,Paramètres!$A$1:$I$89,5,0)</f>
        <v>437.03899200000069</v>
      </c>
      <c r="CA127" s="13">
        <f t="shared" si="93"/>
        <v>99.24661450892107</v>
      </c>
      <c r="CB127" s="20">
        <f t="shared" si="64"/>
        <v>934.03076466970526</v>
      </c>
      <c r="CC127" s="59">
        <f t="shared" si="65"/>
        <v>1216.8978164528785</v>
      </c>
      <c r="CD127" s="59">
        <f ca="1">AVERAGE(OFFSET($CC$3,0,0,'Données projet'!$E$12+1,1))-AVERAGE(OFFSET($H$3,0,0,'Données projet'!$E$12+1,1))</f>
        <v>722.05521609092671</v>
      </c>
      <c r="CE127" s="59">
        <f t="shared" si="94"/>
        <v>317.36319714884644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57.81</v>
      </c>
      <c r="CH127" s="16">
        <f>IF(ISNA(VLOOKUP(A127,'Données projet'!$A$113:$I$133,5,0)),0%,VLOOKUP(A127,'Données projet'!$A$113:$I$133,5,0)*VLOOKUP('Données projet'!$B$12,Paramètres!$A$1:$I$89,7,0))</f>
        <v>0.15049999999999999</v>
      </c>
      <c r="CI127" s="16">
        <f>IF(ISNA(VLOOKUP(A127,'Données projet'!$A$113:$I$133,6,0)),0%,VLOOKUP(A127,'Données projet'!$A$113:$I$133,6,0)*VLOOKUP('Données projet'!$B$12,Paramètres!$A$1:$I$89,7,0))</f>
        <v>8.6000000000000007E-2</v>
      </c>
      <c r="CJ127" s="16">
        <f>IF(ISNA(VLOOKUP(A127,'Données projet'!$A$113:$I$133,7,0)),0%,VLOOKUP(A127,'Données projet'!$A$113:$I$133,7,0))</f>
        <v>0.1</v>
      </c>
      <c r="CK127" s="21">
        <f>EXP(-LN(2)/35)*CK126+(1-EXP(-LN(2)/35))/(LN(2)/35)*CG127*CH127*VLOOKUP('Données projet'!$B$12,Paramètres!$A$1:$I$89,3,0)*0.475*44/12</f>
        <v>41.275926951714894</v>
      </c>
      <c r="CL127" s="21">
        <f>EXP(-LN(2)/25)*CL126+(1-EXP(-LN(2)/25))/(LN(2)/25)*Calculateur!CG127*Calculateur!CI127*VLOOKUP('Données projet'!$B$12,Paramètres!$A$1:$I$89,3,0)*0.475*44/12</f>
        <v>26.180539441955553</v>
      </c>
      <c r="CM127" s="21">
        <f>EXP(-LN(2)/2)*CM126+(1-EXP(-LN(2)/2))/(LN(2)/2)*CG127*CJ127*VLOOKUP('Données projet'!$B$12,Paramètres!$A$1:$I$89,3,0)*0.475*44/12</f>
        <v>5.4581169125263278</v>
      </c>
      <c r="CN127" s="22">
        <f t="shared" si="66"/>
        <v>72.914583306196761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451.86</v>
      </c>
      <c r="CR127" s="12">
        <f>VLOOKUP(A127,'Données projet'!$A$139:$I$159,9,0)</f>
        <v>8.9160000000000021</v>
      </c>
      <c r="CS127" s="12">
        <f t="array" ref="CS127">INDEX(CR:CR,MIN(IF(ISNUMBER(CR127:CR323),ROW(CR127:CR323),"")))</f>
        <v>8.9160000000000021</v>
      </c>
      <c r="CT127" s="12">
        <f>IF('Données projet'!$A$140&gt;35,CT126+CS127-DB126,IF(A127&lt;'Données projet'!$A$140,$CQ$205^A127,IF(A127='Données projet'!$A$140,'Données projet'!$B$140,CT126+CS127-DB126)))</f>
        <v>451.8600000000007</v>
      </c>
      <c r="CU127" s="17">
        <f>CT127*VLOOKUP('Données projet'!$B$13,Paramètres!$A$1:$I$89,3,0)*VLOOKUP('Données projet'!$B$13,Paramètres!$A$1:$I$89,5,0)</f>
        <v>486.38210400000077</v>
      </c>
      <c r="CV127" s="13">
        <f t="shared" si="95"/>
        <v>109.085106710978</v>
      </c>
      <c r="CW127" s="20">
        <f t="shared" si="67"/>
        <v>1037.1053919882879</v>
      </c>
      <c r="CX127" s="59">
        <f t="shared" si="68"/>
        <v>1319.9724437714613</v>
      </c>
      <c r="CY127" s="59">
        <f ca="1">AVERAGE(OFFSET($CX$3,0,0,'Données projet'!$E$13+1,1))-AVERAGE(OFFSET($H$3,0,0,'Données projet'!$E$13+1,1))</f>
        <v>792.94606354161886</v>
      </c>
      <c r="CZ127" s="59">
        <f t="shared" si="96"/>
        <v>346.14443498270919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57.81</v>
      </c>
      <c r="DC127" s="16">
        <f>IF(ISNA(VLOOKUP(A127,'Données projet'!$A$139:$I$159,5,0)),0%,VLOOKUP(A127,'Données projet'!$A$139:$I$159,5,0)*VLOOKUP('Données projet'!$B$13,Paramètres!$A$1:$I$89,7,0))</f>
        <v>0.15049999999999999</v>
      </c>
      <c r="DD127" s="16">
        <f>IF(ISNA(VLOOKUP(A127,'Données projet'!$A$139:$I$159,6,0)),0%,VLOOKUP(A127,'Données projet'!$A$139:$I$159,6,0)*VLOOKUP('Données projet'!$B$13,Paramètres!$A$1:$I$89,7,0))</f>
        <v>8.6000000000000007E-2</v>
      </c>
      <c r="DE127" s="16">
        <f>IF(ISNA(VLOOKUP(A127,'Données projet'!$A$139:$I$159,7,0)),0%,VLOOKUP(A127,'Données projet'!$A$139:$I$159,7,0))</f>
        <v>0.1</v>
      </c>
      <c r="DF127" s="21">
        <f>EXP(-LN(2)/35)*DF126+(1-EXP(-LN(2)/35))/(LN(2)/35)*DB127*DC127*VLOOKUP('Données projet'!$B$13,Paramètres!$A$1:$I$89,3,0)*0.475*44/12</f>
        <v>45.936112252714942</v>
      </c>
      <c r="DG127" s="21">
        <f>EXP(-LN(2)/25)*DG126+(1-EXP(-LN(2)/25))/(LN(2)/25)*Calculateur!DB127*Calculateur!DD127*VLOOKUP('Données projet'!$B$13,Paramètres!$A$1:$I$89,3,0)*0.475*44/12</f>
        <v>29.13640679830538</v>
      </c>
      <c r="DH127" s="21">
        <f>EXP(-LN(2)/2)*DH126+(1-EXP(-LN(2)/2))/(LN(2)/2)*DB127*DE127*VLOOKUP('Données projet'!$B$13,Paramètres!$A$1:$I$89,3,0)*0.475*44/12</f>
        <v>6.0743559187792995</v>
      </c>
      <c r="DI127" s="22">
        <f t="shared" si="69"/>
        <v>81.146874969799626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269.21114382490202</v>
      </c>
      <c r="DU127" s="59">
        <f t="shared" si="98"/>
        <v>233.07776944102309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5.5151791511575015</v>
      </c>
      <c r="EB127" s="21">
        <f>EXP(-LN(2)/25)*EB126+(1-EXP(-LN(2)/25))/(LN(2)/25)*Calculateur!DW127*Calculateur!DY127*VLOOKUP('Données projet'!$B$14,Paramètres!$A$1:$I$89,3,0)*0.475*44/12</f>
        <v>24.879868392587735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30.395047543745235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>
        <f>VLOOKUP(A127,'Données projet'!$A$217:$I$237,2,0)</f>
        <v>451.86</v>
      </c>
      <c r="FC127" s="12">
        <f>VLOOKUP(A127,'Données projet'!$A$217:$I$237,9,0)</f>
        <v>8.9160000000000021</v>
      </c>
      <c r="FD127" s="12">
        <f t="array" ref="FD127">INDEX(FC:FC,MIN(IF(ISNUMBER(FC127:FC323),ROW(FC127:FC323),"")))</f>
        <v>8.9160000000000021</v>
      </c>
      <c r="FE127" s="12">
        <f>IF('Données projet'!$A$218&gt;35,FE126+FD127-FM126,IF(A127&lt;'Données projet'!$A$218,$FB$205^A127,IF(A127='Données projet'!$A$218,'Données projet'!$B$218,FE126+FD127-FM126)))</f>
        <v>451.8600000000007</v>
      </c>
      <c r="FF127" s="17">
        <f>FE127*VLOOKUP('Données projet'!$B$16,Paramètres!$A$1:$I$89,3,0)*VLOOKUP('Données projet'!$B$16,Paramètres!$A$1:$I$89,5,0)</f>
        <v>514.5781680000008</v>
      </c>
      <c r="FG127" s="13">
        <f t="shared" si="101"/>
        <v>114.65433597451974</v>
      </c>
      <c r="FH127" s="20">
        <f t="shared" si="76"/>
        <v>1095.9132777556231</v>
      </c>
      <c r="FI127" s="59">
        <f t="shared" si="77"/>
        <v>1378.7803295387964</v>
      </c>
      <c r="FJ127" s="59">
        <f ca="1">AVERAGE(OFFSET($FI$3,0,0,'Données projet'!$E$16+1,1))-AVERAGE(OFFSET($H$3,0,0,'Données projet'!$E$16+1,1))</f>
        <v>833.39050463936144</v>
      </c>
      <c r="FK127" s="59">
        <f t="shared" si="102"/>
        <v>362.56178526355507</v>
      </c>
      <c r="FL127" s="15">
        <f>IF(ISNA(VLOOKUP(A127,'Données projet'!$A$217:$I$237,3,0)),0,VLOOKUP(A127,'Données projet'!$A$217:$I$237,3,0))</f>
        <v>10</v>
      </c>
      <c r="FM127" s="15">
        <f>IF(ISNA(VLOOKUP(A127,'Données projet'!$A$217:$I$237,4,0)),0,VLOOKUP(A127,'Données projet'!$A$217:$I$237,4,0))</f>
        <v>57.81</v>
      </c>
      <c r="FN127" s="16">
        <f>IF(ISNA(VLOOKUP(A127,'Données projet'!$A$217:$I$237,5,0)),0%,VLOOKUP(A127,'Données projet'!$A$217:$I$237,5,0)*VLOOKUP('Données projet'!$B$16,Paramètres!$A$1:$I$89,7,0))</f>
        <v>0.15049999999999999</v>
      </c>
      <c r="FO127" s="16">
        <f>IF(ISNA(VLOOKUP(A127,'Données projet'!$A$217:$I$237,6,0)),0%,VLOOKUP(A127,'Données projet'!$A$217:$I$237,6,0)*VLOOKUP('Données projet'!$B$16,Paramètres!$A$1:$I$89,7,0))</f>
        <v>8.6000000000000007E-2</v>
      </c>
      <c r="FP127" s="16">
        <f>IF(ISNA(VLOOKUP(A127,'Données projet'!$A$217:$I$237,7,0)),0%,VLOOKUP(A127,'Données projet'!$A$217:$I$237,7,0))</f>
        <v>0.1</v>
      </c>
      <c r="FQ127" s="21">
        <f>EXP(-LN(2)/35)*FQ126+(1-EXP(-LN(2)/35))/(LN(2)/35)*FM127*FN127*VLOOKUP('Données projet'!$B$16,Paramètres!$A$1:$I$89,3,0)*0.475*44/12</f>
        <v>48.59907528185785</v>
      </c>
      <c r="FR127" s="21">
        <f>EXP(-LN(2)/25)*FR126+(1-EXP(-LN(2)/25))/(LN(2)/25)*Calculateur!FM127*Calculateur!FO127*VLOOKUP('Données projet'!$B$16,Paramètres!$A$1:$I$89,3,0)*0.475*44/12</f>
        <v>30.82547385907672</v>
      </c>
      <c r="FS127" s="21">
        <f>EXP(-LN(2)/2)*FS126+(1-EXP(-LN(2)/2))/(LN(2)/2)*FM127*FP127*VLOOKUP('Données projet'!$B$16,Paramètres!$A$1:$I$89,3,0)*0.475*44/12</f>
        <v>6.426492493780998</v>
      </c>
      <c r="FT127" s="22">
        <f t="shared" si="78"/>
        <v>85.851041634715571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1065.5492352306719</v>
      </c>
      <c r="S128" s="59">
        <f ca="1">AVERAGE(OFFSET($R$3,0,0,'Données projet'!$E$9+1,1))-AVERAGE(OFFSET($H$3,0,0,'Données projet'!$E$9+1,1))</f>
        <v>681.47578137804555</v>
      </c>
      <c r="T128" s="59">
        <f t="shared" si="88"/>
        <v>300.88511065995885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408.71602200000075</v>
      </c>
      <c r="AK128" s="13">
        <f t="shared" si="89"/>
        <v>93.541481959099485</v>
      </c>
      <c r="AL128" s="20">
        <f t="shared" si="58"/>
        <v>874.76515272876622</v>
      </c>
      <c r="AM128" s="59">
        <f t="shared" si="59"/>
        <v>1157.8137710977348</v>
      </c>
      <c r="AN128" s="59">
        <f ca="1">AVERAGE(OFFSET($AM$3,0,0,'Données projet'!$E$10+1,1))-AVERAGE(OFFSET($H$3,0,0,'Données projet'!$E$10+1,1))</f>
        <v>752.45542076695506</v>
      </c>
      <c r="AO128" s="59">
        <f t="shared" si="90"/>
        <v>329.70629768420724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42.424589161312653</v>
      </c>
      <c r="AV128" s="21">
        <f>EXP(-LN(2)/25)*AV127+(1-EXP(-LN(2)/25))/(LN(2)/25)*Calculateur!AQ128*Calculateur!AS128*VLOOKUP('Données projet'!$B$10,Paramètres!$A$1:$I$89,3,0)*0.475*44/12</f>
        <v>26.696790789018323</v>
      </c>
      <c r="AW128" s="21">
        <f>EXP(-LN(2)/2)*AW127+(1-EXP(-LN(2)/2))/(LN(2)/2)*AQ128*AT128*VLOOKUP('Données projet'!$B$10,Paramètres!$A$1:$I$89,3,0)*0.475*44/12</f>
        <v>4.0462201014219783</v>
      </c>
      <c r="AX128" s="21">
        <f t="shared" si="60"/>
        <v>73.167600051752956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383.56426680000067</v>
      </c>
      <c r="BF128" s="13">
        <f t="shared" si="91"/>
        <v>88.436479622024081</v>
      </c>
      <c r="BG128" s="20">
        <f t="shared" si="61"/>
        <v>822.06796668502648</v>
      </c>
      <c r="BH128" s="59">
        <f t="shared" si="62"/>
        <v>1105.1165850539951</v>
      </c>
      <c r="BI128" s="59">
        <f ca="1">AVERAGE(OFFSET($BH$3,0,0,'Données projet'!$E$11+1,1))-AVERAGE(OFFSET($H$3,0,0,'Données projet'!$E$11+1,1))</f>
        <v>711.91538686535682</v>
      </c>
      <c r="BJ128" s="59">
        <f t="shared" si="92"/>
        <v>313.24593837351722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39.813845212924186</v>
      </c>
      <c r="BQ128" s="21">
        <f>EXP(-LN(2)/25)*BQ127+(1-EXP(-LN(2)/25))/(LN(2)/25)*Calculateur!BL128*Calculateur!BN128*VLOOKUP('Données projet'!$B$11,Paramètres!$A$1:$I$89,3,0)*0.475*44/12</f>
        <v>25.053911355847962</v>
      </c>
      <c r="BR128" s="21">
        <f>EXP(-LN(2)/2)*BR127+(1-EXP(-LN(2)/2))/(LN(2)/2)*BL128*BO128*VLOOKUP('Données projet'!$B$11,Paramètres!$A$1:$I$89,3,0)*0.475*44/12</f>
        <v>3.7972219413344721</v>
      </c>
      <c r="BS128" s="22">
        <f t="shared" si="63"/>
        <v>68.664978510106621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9.0229999999999961</v>
      </c>
      <c r="BY128" s="12">
        <f>IF('Données projet'!$A$114&gt;35,BY127+BX128-CG127,IF(A128&lt;'Données projet'!$A$114,$BV$205^A128,IF(A128='Données projet'!$A$114,'Données projet'!$B$114,BY127+BX128-CG127)))</f>
        <v>403.07300000000072</v>
      </c>
      <c r="BZ128" s="13">
        <f>BY128*VLOOKUP('Données projet'!$B$12,Paramètres!$A$1:$I$89,3,0)*VLOOKUP('Données projet'!$B$12,Paramètres!$A$1:$I$89,5,0)</f>
        <v>389.85220560000073</v>
      </c>
      <c r="CA128" s="13">
        <f t="shared" si="93"/>
        <v>89.716288945187429</v>
      </c>
      <c r="CB128" s="20">
        <f t="shared" si="64"/>
        <v>835.24846133286928</v>
      </c>
      <c r="CC128" s="59">
        <f t="shared" si="65"/>
        <v>1118.2970797018379</v>
      </c>
      <c r="CD128" s="59">
        <f ca="1">AVERAGE(OFFSET($CC$3,0,0,'Données projet'!$E$12+1,1))-AVERAGE(OFFSET($H$3,0,0,'Données projet'!$E$12+1,1))</f>
        <v>722.05521609092671</v>
      </c>
      <c r="CE128" s="59">
        <f t="shared" si="94"/>
        <v>317.36319714884644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40.466531200021301</v>
      </c>
      <c r="CL128" s="21">
        <f>EXP(-LN(2)/25)*CL127+(1-EXP(-LN(2)/25))/(LN(2)/25)*Calculateur!CG128*Calculateur!CI128*VLOOKUP('Données projet'!$B$12,Paramètres!$A$1:$I$89,3,0)*0.475*44/12</f>
        <v>25.464631214140546</v>
      </c>
      <c r="CM128" s="21">
        <f>EXP(-LN(2)/2)*CM127+(1-EXP(-LN(2)/2))/(LN(2)/2)*CG128*CJ128*VLOOKUP('Données projet'!$B$12,Paramètres!$A$1:$I$89,3,0)*0.475*44/12</f>
        <v>3.8594714813563487</v>
      </c>
      <c r="CN128" s="22">
        <f t="shared" si="66"/>
        <v>69.790633895518198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9.0229999999999961</v>
      </c>
      <c r="CT128" s="12">
        <f>IF('Données projet'!$A$140&gt;35,CT127+CS128-DB127,IF(A128&lt;'Données projet'!$A$140,$CQ$205^A128,IF(A128='Données projet'!$A$140,'Données projet'!$B$140,CT127+CS128-DB127)))</f>
        <v>403.07300000000072</v>
      </c>
      <c r="CU128" s="17">
        <f>CT128*VLOOKUP('Données projet'!$B$13,Paramètres!$A$1:$I$89,3,0)*VLOOKUP('Données projet'!$B$13,Paramètres!$A$1:$I$89,5,0)</f>
        <v>433.86777720000077</v>
      </c>
      <c r="CV128" s="13">
        <f t="shared" si="95"/>
        <v>98.610023140073864</v>
      </c>
      <c r="CW128" s="20">
        <f t="shared" si="67"/>
        <v>927.39883559229656</v>
      </c>
      <c r="CX128" s="59">
        <f t="shared" si="68"/>
        <v>1210.4474539612652</v>
      </c>
      <c r="CY128" s="59">
        <f ca="1">AVERAGE(OFFSET($CX$3,0,0,'Données projet'!$E$13+1,1))-AVERAGE(OFFSET($H$3,0,0,'Données projet'!$E$13+1,1))</f>
        <v>792.94606354161886</v>
      </c>
      <c r="CZ128" s="59">
        <f t="shared" si="96"/>
        <v>346.14443498270919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45.035333109701099</v>
      </c>
      <c r="DG128" s="21">
        <f>EXP(-LN(2)/25)*DG127+(1-EXP(-LN(2)/25))/(LN(2)/25)*Calculateur!DB128*Calculateur!DD128*VLOOKUP('Données projet'!$B$13,Paramètres!$A$1:$I$89,3,0)*0.475*44/12</f>
        <v>28.33967022218868</v>
      </c>
      <c r="DH128" s="21">
        <f>EXP(-LN(2)/2)*DH127+(1-EXP(-LN(2)/2))/(LN(2)/2)*DB128*DE128*VLOOKUP('Données projet'!$B$13,Paramètres!$A$1:$I$89,3,0)*0.475*44/12</f>
        <v>4.2952182615094845</v>
      </c>
      <c r="DI128" s="22">
        <f t="shared" si="69"/>
        <v>77.670221593399276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269.21114382490202</v>
      </c>
      <c r="DU128" s="59">
        <f t="shared" si="98"/>
        <v>233.07776944102309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5.4070298519304245</v>
      </c>
      <c r="EB128" s="21">
        <f>EXP(-LN(2)/25)*EB127+(1-EXP(-LN(2)/25))/(LN(2)/25)*Calculateur!DW128*Calculateur!DY128*VLOOKUP('Données projet'!$B$14,Paramètres!$A$1:$I$89,3,0)*0.475*44/12</f>
        <v>24.19952708301701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29.606556934947434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9.0229999999999961</v>
      </c>
      <c r="FE128" s="12">
        <f>IF('Données projet'!$A$218&gt;35,FE127+FD128-FM127,IF(A128&lt;'Données projet'!$A$218,$FB$205^A128,IF(A128='Données projet'!$A$218,'Données projet'!$B$218,FE127+FD128-FM127)))</f>
        <v>403.07300000000072</v>
      </c>
      <c r="FF128" s="17">
        <f>FE128*VLOOKUP('Données projet'!$B$16,Paramètres!$A$1:$I$89,3,0)*VLOOKUP('Données projet'!$B$16,Paramètres!$A$1:$I$89,5,0)</f>
        <v>459.0195324000008</v>
      </c>
      <c r="FG128" s="13">
        <f t="shared" si="101"/>
        <v>103.64445765738419</v>
      </c>
      <c r="FH128" s="20">
        <f t="shared" si="76"/>
        <v>979.97311601661215</v>
      </c>
      <c r="FI128" s="59">
        <f t="shared" si="77"/>
        <v>1263.0217343855807</v>
      </c>
      <c r="FJ128" s="59">
        <f ca="1">AVERAGE(OFFSET($FI$3,0,0,'Données projet'!$E$16+1,1))-AVERAGE(OFFSET($H$3,0,0,'Données projet'!$E$16+1,1))</f>
        <v>833.39050463936144</v>
      </c>
      <c r="FK128" s="59">
        <f t="shared" si="102"/>
        <v>362.56178526355507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47.646077058089588</v>
      </c>
      <c r="FR128" s="21">
        <f>EXP(-LN(2)/25)*FR127+(1-EXP(-LN(2)/25))/(LN(2)/25)*Calculateur!FM128*Calculateur!FO128*VLOOKUP('Données projet'!$B$16,Paramètres!$A$1:$I$89,3,0)*0.475*44/12</f>
        <v>29.982549655359048</v>
      </c>
      <c r="FS128" s="21">
        <f>EXP(-LN(2)/2)*FS127+(1-EXP(-LN(2)/2))/(LN(2)/2)*FM128*FP128*VLOOKUP('Données projet'!$B$16,Paramètres!$A$1:$I$89,3,0)*0.475*44/12</f>
        <v>4.5442164215969907</v>
      </c>
      <c r="FT128" s="22">
        <f t="shared" si="78"/>
        <v>82.172843135045625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1082.8567203626926</v>
      </c>
      <c r="S129" s="59">
        <f ca="1">AVERAGE(OFFSET($R$3,0,0,'Données projet'!$E$9+1,1))-AVERAGE(OFFSET($H$3,0,0,'Données projet'!$E$9+1,1))</f>
        <v>681.47578137804555</v>
      </c>
      <c r="T129" s="59">
        <f t="shared" si="88"/>
        <v>300.88511065995885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417.86534400000068</v>
      </c>
      <c r="AK129" s="13">
        <f t="shared" si="89"/>
        <v>95.389327572593899</v>
      </c>
      <c r="AL129" s="20">
        <f t="shared" si="58"/>
        <v>893.91855298893552</v>
      </c>
      <c r="AM129" s="59">
        <f t="shared" si="59"/>
        <v>1177.1455881693578</v>
      </c>
      <c r="AN129" s="59">
        <f ca="1">AVERAGE(OFFSET($AM$3,0,0,'Données projet'!$E$10+1,1))-AVERAGE(OFFSET($H$3,0,0,'Données projet'!$E$10+1,1))</f>
        <v>752.45542076695506</v>
      </c>
      <c r="AO129" s="59">
        <f t="shared" si="90"/>
        <v>329.70629768420724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41.592668844303617</v>
      </c>
      <c r="AV129" s="21">
        <f>EXP(-LN(2)/25)*AV128+(1-EXP(-LN(2)/25))/(LN(2)/25)*Calculateur!AQ129*Calculateur!AS129*VLOOKUP('Données projet'!$B$10,Paramètres!$A$1:$I$89,3,0)*0.475*44/12</f>
        <v>25.966765640969406</v>
      </c>
      <c r="AW129" s="21">
        <f>EXP(-LN(2)/2)*AW128+(1-EXP(-LN(2)/2))/(LN(2)/2)*AQ129*AT129*VLOOKUP('Données projet'!$B$10,Paramètres!$A$1:$I$89,3,0)*0.475*44/12</f>
        <v>2.8611096718888009</v>
      </c>
      <c r="AX129" s="21">
        <f t="shared" si="60"/>
        <v>70.420544157161814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392.15055360000065</v>
      </c>
      <c r="BF129" s="13">
        <f t="shared" si="91"/>
        <v>90.183479536071829</v>
      </c>
      <c r="BG129" s="20">
        <f t="shared" si="61"/>
        <v>840.06510771199294</v>
      </c>
      <c r="BH129" s="59">
        <f t="shared" si="62"/>
        <v>1123.2921428924151</v>
      </c>
      <c r="BI129" s="59">
        <f ca="1">AVERAGE(OFFSET($BH$3,0,0,'Données projet'!$E$11+1,1))-AVERAGE(OFFSET($H$3,0,0,'Données projet'!$E$11+1,1))</f>
        <v>711.91538686535682</v>
      </c>
      <c r="BJ129" s="59">
        <f t="shared" si="92"/>
        <v>313.24593837351722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39.033119992346471</v>
      </c>
      <c r="BQ129" s="21">
        <f>EXP(-LN(2)/25)*BQ128+(1-EXP(-LN(2)/25))/(LN(2)/25)*Calculateur!BL129*Calculateur!BN129*VLOOKUP('Données projet'!$B$11,Paramètres!$A$1:$I$89,3,0)*0.475*44/12</f>
        <v>24.368810832294361</v>
      </c>
      <c r="BR129" s="21">
        <f>EXP(-LN(2)/2)*BR128+(1-EXP(-LN(2)/2))/(LN(2)/2)*BL129*BO129*VLOOKUP('Données projet'!$B$11,Paramètres!$A$1:$I$89,3,0)*0.475*44/12</f>
        <v>2.6850413843879521</v>
      </c>
      <c r="BS129" s="22">
        <f t="shared" si="63"/>
        <v>66.086972209028787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9.0229999999999961</v>
      </c>
      <c r="BY129" s="12">
        <f>IF('Données projet'!$A$114&gt;35,BY128+BX129-CG128,IF(A129&lt;'Données projet'!$A$114,$BV$205^A129,IF(A129='Données projet'!$A$114,'Données projet'!$B$114,BY128+BX129-CG128)))</f>
        <v>412.09600000000069</v>
      </c>
      <c r="BZ129" s="13">
        <f>BY129*VLOOKUP('Données projet'!$B$12,Paramètres!$A$1:$I$89,3,0)*VLOOKUP('Données projet'!$B$12,Paramètres!$A$1:$I$89,5,0)</f>
        <v>398.57925120000067</v>
      </c>
      <c r="CA129" s="13">
        <f t="shared" si="93"/>
        <v>91.488570584458984</v>
      </c>
      <c r="CB129" s="20">
        <f t="shared" si="64"/>
        <v>853.53478960793382</v>
      </c>
      <c r="CC129" s="59">
        <f t="shared" si="65"/>
        <v>1136.7618247883561</v>
      </c>
      <c r="CD129" s="59">
        <f ca="1">AVERAGE(OFFSET($CC$3,0,0,'Données projet'!$E$12+1,1))-AVERAGE(OFFSET($H$3,0,0,'Données projet'!$E$12+1,1))</f>
        <v>722.05521609092671</v>
      </c>
      <c r="CE129" s="59">
        <f t="shared" si="94"/>
        <v>317.36319714884644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39.673007205335757</v>
      </c>
      <c r="CL129" s="21">
        <f>EXP(-LN(2)/25)*CL128+(1-EXP(-LN(2)/25))/(LN(2)/25)*Calculateur!CG129*Calculateur!CI129*VLOOKUP('Données projet'!$B$12,Paramètres!$A$1:$I$89,3,0)*0.475*44/12</f>
        <v>24.768299534463118</v>
      </c>
      <c r="CM129" s="21">
        <f>EXP(-LN(2)/2)*CM128+(1-EXP(-LN(2)/2))/(LN(2)/2)*CG129*CJ129*VLOOKUP('Données projet'!$B$12,Paramètres!$A$1:$I$89,3,0)*0.475*44/12</f>
        <v>2.7290584562631643</v>
      </c>
      <c r="CN129" s="22">
        <f t="shared" si="66"/>
        <v>67.170365196062036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9.0229999999999961</v>
      </c>
      <c r="CT129" s="12">
        <f>IF('Données projet'!$A$140&gt;35,CT128+CS129-DB128,IF(A129&lt;'Données projet'!$A$140,$CQ$205^A129,IF(A129='Données projet'!$A$140,'Données projet'!$B$140,CT128+CS129-DB128)))</f>
        <v>412.09600000000069</v>
      </c>
      <c r="CU129" s="17">
        <f>CT129*VLOOKUP('Données projet'!$B$13,Paramètres!$A$1:$I$89,3,0)*VLOOKUP('Données projet'!$B$13,Paramètres!$A$1:$I$89,5,0)</f>
        <v>443.58013440000076</v>
      </c>
      <c r="CV129" s="13">
        <f t="shared" si="95"/>
        <v>100.55799418874339</v>
      </c>
      <c r="CW129" s="20">
        <f t="shared" si="67"/>
        <v>947.70724062539603</v>
      </c>
      <c r="CX129" s="59">
        <f t="shared" si="68"/>
        <v>1230.9342758058183</v>
      </c>
      <c r="CY129" s="59">
        <f ca="1">AVERAGE(OFFSET($CX$3,0,0,'Données projet'!$E$13+1,1))-AVERAGE(OFFSET($H$3,0,0,'Données projet'!$E$13+1,1))</f>
        <v>792.94606354161886</v>
      </c>
      <c r="CZ129" s="59">
        <f t="shared" si="96"/>
        <v>346.14443498270919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44.152217696260735</v>
      </c>
      <c r="DG129" s="21">
        <f>EXP(-LN(2)/25)*DG128+(1-EXP(-LN(2)/25))/(LN(2)/25)*Calculateur!DB129*Calculateur!DD129*VLOOKUP('Données projet'!$B$13,Paramètres!$A$1:$I$89,3,0)*0.475*44/12</f>
        <v>27.564720449644444</v>
      </c>
      <c r="DH129" s="21">
        <f>EXP(-LN(2)/2)*DH128+(1-EXP(-LN(2)/2))/(LN(2)/2)*DB129*DE129*VLOOKUP('Données projet'!$B$13,Paramètres!$A$1:$I$89,3,0)*0.475*44/12</f>
        <v>3.0371779593896502</v>
      </c>
      <c r="DI129" s="22">
        <f t="shared" si="69"/>
        <v>74.754116105294827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269.21114382490202</v>
      </c>
      <c r="DU129" s="59">
        <f t="shared" si="98"/>
        <v>233.07776944102309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5.3010012944966318</v>
      </c>
      <c r="EB129" s="21">
        <f>EXP(-LN(2)/25)*EB128+(1-EXP(-LN(2)/25))/(LN(2)/25)*Calculateur!DW129*Calculateur!DY129*VLOOKUP('Données projet'!$B$14,Paramètres!$A$1:$I$89,3,0)*0.475*44/12</f>
        <v>23.537789742334088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28.83879103683072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9.0229999999999961</v>
      </c>
      <c r="FE129" s="12">
        <f>IF('Données projet'!$A$218&gt;35,FE128+FD129-FM128,IF(A129&lt;'Données projet'!$A$218,$FB$205^A129,IF(A129='Données projet'!$A$218,'Données projet'!$B$218,FE128+FD129-FM128)))</f>
        <v>412.09600000000069</v>
      </c>
      <c r="FF129" s="17">
        <f>FE129*VLOOKUP('Données projet'!$B$16,Paramètres!$A$1:$I$89,3,0)*VLOOKUP('Données projet'!$B$16,Paramètres!$A$1:$I$89,5,0)</f>
        <v>469.29492480000084</v>
      </c>
      <c r="FG129" s="13">
        <f t="shared" si="101"/>
        <v>105.69188038828497</v>
      </c>
      <c r="FH129" s="20">
        <f t="shared" si="76"/>
        <v>1001.4353523695978</v>
      </c>
      <c r="FI129" s="59">
        <f t="shared" si="77"/>
        <v>1284.66238755002</v>
      </c>
      <c r="FJ129" s="59">
        <f ca="1">AVERAGE(OFFSET($FI$3,0,0,'Données projet'!$E$16+1,1))-AVERAGE(OFFSET($H$3,0,0,'Données projet'!$E$16+1,1))</f>
        <v>833.39050463936144</v>
      </c>
      <c r="FK129" s="59">
        <f t="shared" si="102"/>
        <v>362.56178526355507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46.711766548217895</v>
      </c>
      <c r="FR129" s="21">
        <f>EXP(-LN(2)/25)*FR128+(1-EXP(-LN(2)/25))/(LN(2)/25)*Calculateur!FM129*Calculateur!FO129*VLOOKUP('Données projet'!$B$16,Paramètres!$A$1:$I$89,3,0)*0.475*44/12</f>
        <v>29.162675258319496</v>
      </c>
      <c r="FS129" s="21">
        <f>EXP(-LN(2)/2)*FS128+(1-EXP(-LN(2)/2))/(LN(2)/2)*FM129*FP129*VLOOKUP('Données projet'!$B$16,Paramètres!$A$1:$I$89,3,0)*0.475*44/12</f>
        <v>3.2132462468904994</v>
      </c>
      <c r="FT129" s="22">
        <f t="shared" si="78"/>
        <v>79.087688053427897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1100.153702474631</v>
      </c>
      <c r="S130" s="59">
        <f ca="1">AVERAGE(OFFSET($R$3,0,0,'Données projet'!$E$9+1,1))-AVERAGE(OFFSET($H$3,0,0,'Données projet'!$E$9+1,1))</f>
        <v>681.47578137804555</v>
      </c>
      <c r="T130" s="59">
        <f t="shared" si="88"/>
        <v>300.88511065995885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427.01466600000072</v>
      </c>
      <c r="AK130" s="13">
        <f t="shared" si="89"/>
        <v>97.232469323868258</v>
      </c>
      <c r="AL130" s="20">
        <f t="shared" si="58"/>
        <v>913.06376068907173</v>
      </c>
      <c r="AM130" s="59">
        <f t="shared" si="59"/>
        <v>1196.4661175481492</v>
      </c>
      <c r="AN130" s="59">
        <f ca="1">AVERAGE(OFFSET($AM$3,0,0,'Données projet'!$E$10+1,1))-AVERAGE(OFFSET($H$3,0,0,'Données projet'!$E$10+1,1))</f>
        <v>752.45542076695506</v>
      </c>
      <c r="AO130" s="59">
        <f t="shared" si="90"/>
        <v>329.70629768420724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40.777061977289833</v>
      </c>
      <c r="AV130" s="21">
        <f>EXP(-LN(2)/25)*AV129+(1-EXP(-LN(2)/25))/(LN(2)/25)*Calculateur!AQ130*Calculateur!AS130*VLOOKUP('Données projet'!$B$10,Paramètres!$A$1:$I$89,3,0)*0.475*44/12</f>
        <v>25.25670306898424</v>
      </c>
      <c r="AW130" s="21">
        <f>EXP(-LN(2)/2)*AW129+(1-EXP(-LN(2)/2))/(LN(2)/2)*AQ130*AT130*VLOOKUP('Données projet'!$B$10,Paramètres!$A$1:$I$89,3,0)*0.475*44/12</f>
        <v>2.0231100507109891</v>
      </c>
      <c r="AX130" s="21">
        <f t="shared" si="60"/>
        <v>68.056875096985053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400.73684040000069</v>
      </c>
      <c r="BF130" s="13">
        <f t="shared" si="91"/>
        <v>91.92603229997124</v>
      </c>
      <c r="BG130" s="20">
        <f t="shared" si="61"/>
        <v>858.05450328578445</v>
      </c>
      <c r="BH130" s="59">
        <f t="shared" si="62"/>
        <v>1141.4568601448618</v>
      </c>
      <c r="BI130" s="59">
        <f ca="1">AVERAGE(OFFSET($BH$3,0,0,'Données projet'!$E$11+1,1))-AVERAGE(OFFSET($H$3,0,0,'Données projet'!$E$11+1,1))</f>
        <v>711.91538686535682</v>
      </c>
      <c r="BJ130" s="59">
        <f t="shared" si="92"/>
        <v>313.24593837351722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38.267704317148919</v>
      </c>
      <c r="BQ130" s="21">
        <f>EXP(-LN(2)/25)*BQ129+(1-EXP(-LN(2)/25))/(LN(2)/25)*Calculateur!BL130*Calculateur!BN130*VLOOKUP('Données projet'!$B$11,Paramètres!$A$1:$I$89,3,0)*0.475*44/12</f>
        <v>23.702444418585205</v>
      </c>
      <c r="BR130" s="21">
        <f>EXP(-LN(2)/2)*BR129+(1-EXP(-LN(2)/2))/(LN(2)/2)*BL130*BO130*VLOOKUP('Données projet'!$B$11,Paramètres!$A$1:$I$89,3,0)*0.475*44/12</f>
        <v>1.8986109706672365</v>
      </c>
      <c r="BS130" s="22">
        <f t="shared" si="63"/>
        <v>63.868759706401363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9.0229999999999961</v>
      </c>
      <c r="BY130" s="12">
        <f>IF('Données projet'!$A$114&gt;35,BY129+BX130-CG129,IF(A130&lt;'Données projet'!$A$114,$BV$205^A130,IF(A130='Données projet'!$A$114,'Données projet'!$B$114,BY129+BX130-CG129)))</f>
        <v>421.11900000000071</v>
      </c>
      <c r="BZ130" s="13">
        <f>BY130*VLOOKUP('Données projet'!$B$12,Paramètres!$A$1:$I$89,3,0)*VLOOKUP('Données projet'!$B$12,Paramètres!$A$1:$I$89,5,0)</f>
        <v>407.30629680000067</v>
      </c>
      <c r="CA130" s="13">
        <f t="shared" si="93"/>
        <v>93.256340716608179</v>
      </c>
      <c r="CB130" s="20">
        <f t="shared" si="64"/>
        <v>871.81326034142705</v>
      </c>
      <c r="CC130" s="59">
        <f t="shared" si="65"/>
        <v>1155.2156172005045</v>
      </c>
      <c r="CD130" s="59">
        <f ca="1">AVERAGE(OFFSET($CC$3,0,0,'Données projet'!$E$12+1,1))-AVERAGE(OFFSET($H$3,0,0,'Données projet'!$E$12+1,1))</f>
        <v>722.05521609092671</v>
      </c>
      <c r="CE130" s="59">
        <f t="shared" si="94"/>
        <v>317.36319714884644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38.895043732184149</v>
      </c>
      <c r="CL130" s="21">
        <f>EXP(-LN(2)/25)*CL129+(1-EXP(-LN(2)/25))/(LN(2)/25)*Calculateur!CG130*Calculateur!CI130*VLOOKUP('Données projet'!$B$12,Paramètres!$A$1:$I$89,3,0)*0.475*44/12</f>
        <v>24.091009081184961</v>
      </c>
      <c r="CM130" s="21">
        <f>EXP(-LN(2)/2)*CM129+(1-EXP(-LN(2)/2))/(LN(2)/2)*CG130*CJ130*VLOOKUP('Données projet'!$B$12,Paramètres!$A$1:$I$89,3,0)*0.475*44/12</f>
        <v>1.9297357406781745</v>
      </c>
      <c r="CN130" s="22">
        <f t="shared" si="66"/>
        <v>64.915788554047282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9.0229999999999961</v>
      </c>
      <c r="CT130" s="12">
        <f>IF('Données projet'!$A$140&gt;35,CT129+CS130-DB129,IF(A130&lt;'Données projet'!$A$140,$CQ$205^A130,IF(A130='Données projet'!$A$140,'Données projet'!$B$140,CT129+CS130-DB129)))</f>
        <v>421.11900000000071</v>
      </c>
      <c r="CU130" s="17">
        <f>CT130*VLOOKUP('Données projet'!$B$13,Paramètres!$A$1:$I$89,3,0)*VLOOKUP('Données projet'!$B$13,Paramètres!$A$1:$I$89,5,0)</f>
        <v>453.29249160000074</v>
      </c>
      <c r="CV130" s="13">
        <f t="shared" si="95"/>
        <v>102.50100649662066</v>
      </c>
      <c r="CW130" s="20">
        <f t="shared" si="67"/>
        <v>968.00700918494886</v>
      </c>
      <c r="CX130" s="59">
        <f t="shared" si="68"/>
        <v>1251.4093660440262</v>
      </c>
      <c r="CY130" s="59">
        <f ca="1">AVERAGE(OFFSET($CX$3,0,0,'Données projet'!$E$13+1,1))-AVERAGE(OFFSET($H$3,0,0,'Données projet'!$E$13+1,1))</f>
        <v>792.94606354161886</v>
      </c>
      <c r="CZ130" s="59">
        <f t="shared" si="96"/>
        <v>346.14443498270919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43.286419637430718</v>
      </c>
      <c r="DG130" s="21">
        <f>EXP(-LN(2)/25)*DG129+(1-EXP(-LN(2)/25))/(LN(2)/25)*Calculateur!DB130*Calculateur!DD130*VLOOKUP('Données projet'!$B$13,Paramètres!$A$1:$I$89,3,0)*0.475*44/12</f>
        <v>26.810961719383268</v>
      </c>
      <c r="DH130" s="21">
        <f>EXP(-LN(2)/2)*DH129+(1-EXP(-LN(2)/2))/(LN(2)/2)*DB130*DE130*VLOOKUP('Données projet'!$B$13,Paramètres!$A$1:$I$89,3,0)*0.475*44/12</f>
        <v>2.1476091307547422</v>
      </c>
      <c r="DI130" s="22">
        <f t="shared" si="69"/>
        <v>72.244990487568728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269.21114382490202</v>
      </c>
      <c r="DU130" s="59">
        <f t="shared" si="98"/>
        <v>233.07776944102309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5.1970518924030813</v>
      </c>
      <c r="EB130" s="21">
        <f>EXP(-LN(2)/25)*EB129+(1-EXP(-LN(2)/25))/(LN(2)/25)*Calculateur!DW130*Calculateur!DY130*VLOOKUP('Données projet'!$B$14,Paramètres!$A$1:$I$89,3,0)*0.475*44/12</f>
        <v>22.894147644031396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28.091199536434477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9.0229999999999961</v>
      </c>
      <c r="FE130" s="12">
        <f>IF('Données projet'!$A$218&gt;35,FE129+FD130-FM129,IF(A130&lt;'Données projet'!$A$218,$FB$205^A130,IF(A130='Données projet'!$A$218,'Données projet'!$B$218,FE129+FD130-FM129)))</f>
        <v>421.11900000000071</v>
      </c>
      <c r="FF130" s="17">
        <f>FE130*VLOOKUP('Données projet'!$B$16,Paramètres!$A$1:$I$89,3,0)*VLOOKUP('Données projet'!$B$16,Paramètres!$A$1:$I$89,5,0)</f>
        <v>479.57031720000083</v>
      </c>
      <c r="FG130" s="13">
        <f t="shared" si="101"/>
        <v>107.73409121492165</v>
      </c>
      <c r="FH130" s="20">
        <f t="shared" si="76"/>
        <v>1022.8885113226567</v>
      </c>
      <c r="FI130" s="59">
        <f t="shared" si="77"/>
        <v>1306.2908681817341</v>
      </c>
      <c r="FJ130" s="59">
        <f ca="1">AVERAGE(OFFSET($FI$3,0,0,'Données projet'!$E$16+1,1))-AVERAGE(OFFSET($H$3,0,0,'Données projet'!$E$16+1,1))</f>
        <v>833.39050463936144</v>
      </c>
      <c r="FK130" s="59">
        <f t="shared" si="102"/>
        <v>362.56178526355507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45.795777297571647</v>
      </c>
      <c r="FR130" s="21">
        <f>EXP(-LN(2)/25)*FR129+(1-EXP(-LN(2)/25))/(LN(2)/25)*Calculateur!FM130*Calculateur!FO130*VLOOKUP('Données projet'!$B$16,Paramètres!$A$1:$I$89,3,0)*0.475*44/12</f>
        <v>28.36522036978231</v>
      </c>
      <c r="FS130" s="21">
        <f>EXP(-LN(2)/2)*FS129+(1-EXP(-LN(2)/2))/(LN(2)/2)*FM130*FP130*VLOOKUP('Données projet'!$B$16,Paramètres!$A$1:$I$89,3,0)*0.475*44/12</f>
        <v>2.2721082107984958</v>
      </c>
      <c r="FT130" s="22">
        <f t="shared" si="78"/>
        <v>76.433105878152446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1117.4404122653002</v>
      </c>
      <c r="S131" s="59">
        <f ca="1">AVERAGE(OFFSET($R$3,0,0,'Données projet'!$E$9+1,1))-AVERAGE(OFFSET($H$3,0,0,'Données projet'!$E$9+1,1))</f>
        <v>681.47578137804555</v>
      </c>
      <c r="T131" s="59">
        <f t="shared" si="88"/>
        <v>300.88511065995885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436.16398800000076</v>
      </c>
      <c r="AK131" s="13">
        <f t="shared" si="89"/>
        <v>99.071019607718114</v>
      </c>
      <c r="AL131" s="20">
        <f t="shared" si="58"/>
        <v>932.20097158344367</v>
      </c>
      <c r="AM131" s="59">
        <f t="shared" si="59"/>
        <v>1215.7756086820123</v>
      </c>
      <c r="AN131" s="59">
        <f ca="1">AVERAGE(OFFSET($AM$3,0,0,'Données projet'!$E$10+1,1))-AVERAGE(OFFSET($H$3,0,0,'Données projet'!$E$10+1,1))</f>
        <v>752.45542076695506</v>
      </c>
      <c r="AO131" s="59">
        <f t="shared" si="90"/>
        <v>329.70629768420724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39.977448663467122</v>
      </c>
      <c r="AV131" s="21">
        <f>EXP(-LN(2)/25)*AV130+(1-EXP(-LN(2)/25))/(LN(2)/25)*Calculateur!AQ131*Calculateur!AS131*VLOOKUP('Données projet'!$B$10,Paramètres!$A$1:$I$89,3,0)*0.475*44/12</f>
        <v>24.566057195370576</v>
      </c>
      <c r="AW131" s="21">
        <f>EXP(-LN(2)/2)*AW130+(1-EXP(-LN(2)/2))/(LN(2)/2)*AQ131*AT131*VLOOKUP('Données projet'!$B$10,Paramètres!$A$1:$I$89,3,0)*0.475*44/12</f>
        <v>1.4305548359444005</v>
      </c>
      <c r="AX131" s="21">
        <f t="shared" si="60"/>
        <v>65.974060694782111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409.32312720000073</v>
      </c>
      <c r="BF131" s="13">
        <f t="shared" si="91"/>
        <v>93.66424417460081</v>
      </c>
      <c r="BG131" s="20">
        <f t="shared" si="61"/>
        <v>876.03633847743095</v>
      </c>
      <c r="BH131" s="59">
        <f t="shared" si="62"/>
        <v>1159.6109755759994</v>
      </c>
      <c r="BI131" s="59">
        <f ca="1">AVERAGE(OFFSET($BH$3,0,0,'Données projet'!$E$11+1,1))-AVERAGE(OFFSET($H$3,0,0,'Données projet'!$E$11+1,1))</f>
        <v>711.91538686535682</v>
      </c>
      <c r="BJ131" s="59">
        <f t="shared" si="92"/>
        <v>313.24593837351722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37.517297976484528</v>
      </c>
      <c r="BQ131" s="21">
        <f>EXP(-LN(2)/25)*BQ130+(1-EXP(-LN(2)/25))/(LN(2)/25)*Calculateur!BL131*Calculateur!BN131*VLOOKUP('Données projet'!$B$11,Paramètres!$A$1:$I$89,3,0)*0.475*44/12</f>
        <v>23.054299829501613</v>
      </c>
      <c r="BR131" s="21">
        <f>EXP(-LN(2)/2)*BR130+(1-EXP(-LN(2)/2))/(LN(2)/2)*BL131*BO131*VLOOKUP('Données projet'!$B$11,Paramètres!$A$1:$I$89,3,0)*0.475*44/12</f>
        <v>1.3425206921939763</v>
      </c>
      <c r="BS131" s="22">
        <f t="shared" si="63"/>
        <v>61.914118498180123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9.0229999999999961</v>
      </c>
      <c r="BY131" s="12">
        <f>IF('Données projet'!$A$114&gt;35,BY130+BX131-CG130,IF(A131&lt;'Données projet'!$A$114,$BV$205^A131,IF(A131='Données projet'!$A$114,'Données projet'!$B$114,BY130+BX131-CG130)))</f>
        <v>430.14200000000073</v>
      </c>
      <c r="BZ131" s="13">
        <f>BY131*VLOOKUP('Données projet'!$B$12,Paramètres!$A$1:$I$89,3,0)*VLOOKUP('Données projet'!$B$12,Paramètres!$A$1:$I$89,5,0)</f>
        <v>416.03334240000072</v>
      </c>
      <c r="CA131" s="13">
        <f t="shared" si="93"/>
        <v>95.019707140268679</v>
      </c>
      <c r="CB131" s="20">
        <f t="shared" si="64"/>
        <v>890.08406128263584</v>
      </c>
      <c r="CC131" s="59">
        <f t="shared" si="65"/>
        <v>1173.6586983812044</v>
      </c>
      <c r="CD131" s="59">
        <f ca="1">AVERAGE(OFFSET($CC$3,0,0,'Données projet'!$E$12+1,1))-AVERAGE(OFFSET($H$3,0,0,'Données projet'!$E$12+1,1))</f>
        <v>722.05521609092671</v>
      </c>
      <c r="CE131" s="59">
        <f t="shared" si="94"/>
        <v>317.36319714884644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38.132335648230182</v>
      </c>
      <c r="CL131" s="21">
        <f>EXP(-LN(2)/25)*CL130+(1-EXP(-LN(2)/25))/(LN(2)/25)*Calculateur!CG131*Calculateur!CI131*VLOOKUP('Données projet'!$B$12,Paramètres!$A$1:$I$89,3,0)*0.475*44/12</f>
        <v>23.432239170968852</v>
      </c>
      <c r="CM131" s="21">
        <f>EXP(-LN(2)/2)*CM130+(1-EXP(-LN(2)/2))/(LN(2)/2)*CG131*CJ131*VLOOKUP('Données projet'!$B$12,Paramètres!$A$1:$I$89,3,0)*0.475*44/12</f>
        <v>1.3645292281315822</v>
      </c>
      <c r="CN131" s="22">
        <f t="shared" si="66"/>
        <v>62.929104047330618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9.0229999999999961</v>
      </c>
      <c r="CT131" s="12">
        <f>IF('Données projet'!$A$140&gt;35,CT130+CS131-DB130,IF(A131&lt;'Données projet'!$A$140,$CQ$205^A131,IF(A131='Données projet'!$A$140,'Données projet'!$B$140,CT130+CS131-DB130)))</f>
        <v>430.14200000000073</v>
      </c>
      <c r="CU131" s="17">
        <f>CT131*VLOOKUP('Données projet'!$B$13,Paramètres!$A$1:$I$89,3,0)*VLOOKUP('Données projet'!$B$13,Paramètres!$A$1:$I$89,5,0)</f>
        <v>463.00484880000079</v>
      </c>
      <c r="CV131" s="13">
        <f t="shared" si="95"/>
        <v>104.4391785486081</v>
      </c>
      <c r="CW131" s="20">
        <f t="shared" si="67"/>
        <v>988.29834763216047</v>
      </c>
      <c r="CX131" s="59">
        <f t="shared" si="68"/>
        <v>1271.8729847307291</v>
      </c>
      <c r="CY131" s="59">
        <f ca="1">AVERAGE(OFFSET($CX$3,0,0,'Données projet'!$E$13+1,1))-AVERAGE(OFFSET($H$3,0,0,'Données projet'!$E$13+1,1))</f>
        <v>792.94606354161886</v>
      </c>
      <c r="CZ131" s="59">
        <f t="shared" si="96"/>
        <v>346.14443498270919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42.437599350449688</v>
      </c>
      <c r="DG131" s="21">
        <f>EXP(-LN(2)/25)*DG130+(1-EXP(-LN(2)/25))/(LN(2)/25)*Calculateur!DB131*Calculateur!DD131*VLOOKUP('Données projet'!$B$13,Paramètres!$A$1:$I$89,3,0)*0.475*44/12</f>
        <v>26.077814561239535</v>
      </c>
      <c r="DH131" s="21">
        <f>EXP(-LN(2)/2)*DH130+(1-EXP(-LN(2)/2))/(LN(2)/2)*DB131*DE131*VLOOKUP('Données projet'!$B$13,Paramètres!$A$1:$I$89,3,0)*0.475*44/12</f>
        <v>1.5185889796948251</v>
      </c>
      <c r="DI131" s="22">
        <f t="shared" si="69"/>
        <v>70.034002891384048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269.21114382490202</v>
      </c>
      <c r="DU131" s="59">
        <f t="shared" si="98"/>
        <v>233.07776944102309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5.0951408746817108</v>
      </c>
      <c r="EB131" s="21">
        <f>EXP(-LN(2)/25)*EB130+(1-EXP(-LN(2)/25))/(LN(2)/25)*Calculateur!DW131*Calculateur!DY131*VLOOKUP('Données projet'!$B$14,Paramètres!$A$1:$I$89,3,0)*0.475*44/12</f>
        <v>22.268105972754459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27.363246847436169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9.0229999999999961</v>
      </c>
      <c r="FE131" s="12">
        <f>IF('Données projet'!$A$218&gt;35,FE130+FD131-FM130,IF(A131&lt;'Données projet'!$A$218,$FB$205^A131,IF(A131='Données projet'!$A$218,'Données projet'!$B$218,FE130+FD131-FM130)))</f>
        <v>430.14200000000073</v>
      </c>
      <c r="FF131" s="17">
        <f>FE131*VLOOKUP('Données projet'!$B$16,Paramètres!$A$1:$I$89,3,0)*VLOOKUP('Données projet'!$B$16,Paramètres!$A$1:$I$89,5,0)</f>
        <v>489.84570960000087</v>
      </c>
      <c r="FG131" s="13">
        <f t="shared" si="101"/>
        <v>109.77121467132322</v>
      </c>
      <c r="FH131" s="20">
        <f t="shared" si="76"/>
        <v>1044.3328097725562</v>
      </c>
      <c r="FI131" s="59">
        <f t="shared" si="77"/>
        <v>1327.9074468711246</v>
      </c>
      <c r="FJ131" s="59">
        <f ca="1">AVERAGE(OFFSET($FI$3,0,0,'Données projet'!$E$16+1,1))-AVERAGE(OFFSET($H$3,0,0,'Données projet'!$E$16+1,1))</f>
        <v>833.39050463936144</v>
      </c>
      <c r="FK131" s="59">
        <f t="shared" si="102"/>
        <v>362.56178526355507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44.897750037432296</v>
      </c>
      <c r="FR131" s="21">
        <f>EXP(-LN(2)/25)*FR130+(1-EXP(-LN(2)/25))/(LN(2)/25)*Calculateur!FM131*Calculateur!FO131*VLOOKUP('Données projet'!$B$16,Paramètres!$A$1:$I$89,3,0)*0.475*44/12</f>
        <v>27.589571927108505</v>
      </c>
      <c r="FS131" s="21">
        <f>EXP(-LN(2)/2)*FS130+(1-EXP(-LN(2)/2))/(LN(2)/2)*FM131*FP131*VLOOKUP('Données projet'!$B$16,Paramètres!$A$1:$I$89,3,0)*0.475*44/12</f>
        <v>1.6066231234452502</v>
      </c>
      <c r="FT131" s="22">
        <f t="shared" si="78"/>
        <v>74.093945087986043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1134.717071651711</v>
      </c>
      <c r="S132" s="59">
        <f ca="1">AVERAGE(OFFSET($R$3,0,0,'Données projet'!$E$9+1,1))-AVERAGE(OFFSET($H$3,0,0,'Données projet'!$E$9+1,1))</f>
        <v>681.47578137804555</v>
      </c>
      <c r="T132" s="59">
        <f t="shared" si="88"/>
        <v>300.88511065995885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445.3133100000008</v>
      </c>
      <c r="AK132" s="13">
        <f t="shared" si="89"/>
        <v>100.90508583412877</v>
      </c>
      <c r="AL132" s="20">
        <f t="shared" ref="AL132:AL153" si="112">(AJ132+AK132)*0.475*44/12</f>
        <v>951.33037274444223</v>
      </c>
      <c r="AM132" s="59">
        <f t="shared" ref="AM132:AM195" si="113">AL132+(AD132+AE132)*44/12</f>
        <v>1235.0743014055076</v>
      </c>
      <c r="AN132" s="59">
        <f ca="1">AVERAGE(OFFSET($AM$3,0,0,'Données projet'!$E$10+1,1))-AVERAGE(OFFSET($H$3,0,0,'Données projet'!$E$10+1,1))</f>
        <v>752.45542076695506</v>
      </c>
      <c r="AO132" s="59">
        <f t="shared" si="90"/>
        <v>329.70629768420724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39.193515279012516</v>
      </c>
      <c r="AV132" s="21">
        <f>EXP(-LN(2)/25)*AV131+(1-EXP(-LN(2)/25))/(LN(2)/25)*Calculateur!AQ132*Calculateur!AS132*VLOOKUP('Données projet'!$B$10,Paramètres!$A$1:$I$89,3,0)*0.475*44/12</f>
        <v>23.894297069490367</v>
      </c>
      <c r="AW132" s="21">
        <f>EXP(-LN(2)/2)*AW131+(1-EXP(-LN(2)/2))/(LN(2)/2)*AQ132*AT132*VLOOKUP('Données projet'!$B$10,Paramètres!$A$1:$I$89,3,0)*0.475*44/12</f>
        <v>1.0115550253554946</v>
      </c>
      <c r="AX132" s="21">
        <f t="shared" ref="AX132:AX153" si="114">SUM(AU132:AW132)</f>
        <v>64.099367373858371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417.90941400000071</v>
      </c>
      <c r="BF132" s="13">
        <f t="shared" si="91"/>
        <v>95.398216708073406</v>
      </c>
      <c r="BG132" s="20">
        <f t="shared" ref="BG132:BG153" si="115">(BE132+BF132)*0.475*44/12</f>
        <v>894.0107901498958</v>
      </c>
      <c r="BH132" s="59">
        <f t="shared" ref="BH132:BH195" si="116">BG132+(AY132+AZ132)*44/12</f>
        <v>1177.7547188109611</v>
      </c>
      <c r="BI132" s="59">
        <f ca="1">AVERAGE(OFFSET($BH$3,0,0,'Données projet'!$E$11+1,1))-AVERAGE(OFFSET($H$3,0,0,'Données projet'!$E$11+1,1))</f>
        <v>711.91538686535682</v>
      </c>
      <c r="BJ132" s="59">
        <f t="shared" si="92"/>
        <v>313.24593837351722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36.781606646457895</v>
      </c>
      <c r="BQ132" s="21">
        <f>EXP(-LN(2)/25)*BQ131+(1-EXP(-LN(2)/25))/(LN(2)/25)*Calculateur!BL132*Calculateur!BN132*VLOOKUP('Données projet'!$B$11,Paramètres!$A$1:$I$89,3,0)*0.475*44/12</f>
        <v>22.423878788290953</v>
      </c>
      <c r="BR132" s="21">
        <f>EXP(-LN(2)/2)*BR131+(1-EXP(-LN(2)/2))/(LN(2)/2)*BL132*BO132*VLOOKUP('Données projet'!$B$11,Paramètres!$A$1:$I$89,3,0)*0.475*44/12</f>
        <v>0.94930548533361836</v>
      </c>
      <c r="BS132" s="22">
        <f t="shared" ref="BS132:BS153" si="117">SUM(BP132:BR132)</f>
        <v>60.154790920082469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9.0229999999999961</v>
      </c>
      <c r="BY132" s="12">
        <f>IF('Données projet'!$A$114&gt;35,BY131+BX132-CG131,IF(A132&lt;'Données projet'!$A$114,$BV$205^A132,IF(A132='Données projet'!$A$114,'Données projet'!$B$114,BY131+BX132-CG131)))</f>
        <v>439.16500000000076</v>
      </c>
      <c r="BZ132" s="13">
        <f>BY132*VLOOKUP('Données projet'!$B$12,Paramètres!$A$1:$I$89,3,0)*VLOOKUP('Données projet'!$B$12,Paramètres!$A$1:$I$89,5,0)</f>
        <v>424.76038800000077</v>
      </c>
      <c r="CA132" s="13">
        <f t="shared" si="93"/>
        <v>96.778772873108181</v>
      </c>
      <c r="CB132" s="20">
        <f t="shared" ref="CB132:CB153" si="118">(BZ132+CA132)*0.475*44/12</f>
        <v>908.34737185399808</v>
      </c>
      <c r="CC132" s="59">
        <f t="shared" ref="CC132:CC195" si="119">CB132+(BT132+BU132)*44/12</f>
        <v>1192.0913005150635</v>
      </c>
      <c r="CD132" s="59">
        <f ca="1">AVERAGE(OFFSET($CC$3,0,0,'Données projet'!$E$12+1,1))-AVERAGE(OFFSET($H$3,0,0,'Données projet'!$E$12+1,1))</f>
        <v>722.05521609092671</v>
      </c>
      <c r="CE132" s="59">
        <f t="shared" si="94"/>
        <v>317.36319714884644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37.384583804596552</v>
      </c>
      <c r="CL132" s="21">
        <f>EXP(-LN(2)/25)*CL131+(1-EXP(-LN(2)/25))/(LN(2)/25)*Calculateur!CG132*Calculateur!CI132*VLOOKUP('Données projet'!$B$12,Paramètres!$A$1:$I$89,3,0)*0.475*44/12</f>
        <v>22.791483358590806</v>
      </c>
      <c r="CM132" s="21">
        <f>EXP(-LN(2)/2)*CM131+(1-EXP(-LN(2)/2))/(LN(2)/2)*CG132*CJ132*VLOOKUP('Données projet'!$B$12,Paramètres!$A$1:$I$89,3,0)*0.475*44/12</f>
        <v>0.96486787033908727</v>
      </c>
      <c r="CN132" s="22">
        <f t="shared" ref="CN132:CN153" si="120">SUM(CK132:CM132)</f>
        <v>61.140935033526439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9.0229999999999961</v>
      </c>
      <c r="CT132" s="12">
        <f>IF('Données projet'!$A$140&gt;35,CT131+CS132-DB131,IF(A132&lt;'Données projet'!$A$140,$CQ$205^A132,IF(A132='Données projet'!$A$140,'Données projet'!$B$140,CT131+CS132-DB131)))</f>
        <v>439.16500000000076</v>
      </c>
      <c r="CU132" s="17">
        <f>CT132*VLOOKUP('Données projet'!$B$13,Paramètres!$A$1:$I$89,3,0)*VLOOKUP('Données projet'!$B$13,Paramètres!$A$1:$I$89,5,0)</f>
        <v>472.71720600000077</v>
      </c>
      <c r="CV132" s="13">
        <f t="shared" si="95"/>
        <v>106.37262357469676</v>
      </c>
      <c r="CW132" s="20">
        <f t="shared" ref="CW132:CW153" si="121">(CU132+CV132)*0.475*44/12</f>
        <v>1008.5814531759315</v>
      </c>
      <c r="CX132" s="59">
        <f t="shared" ref="CX132:CX195" si="122">CW132+(CO132+CP132)*44/12</f>
        <v>1292.3253818369969</v>
      </c>
      <c r="CY132" s="59">
        <f ca="1">AVERAGE(OFFSET($CX$3,0,0,'Données projet'!$E$13+1,1))-AVERAGE(OFFSET($H$3,0,0,'Données projet'!$E$13+1,1))</f>
        <v>792.94606354161886</v>
      </c>
      <c r="CZ132" s="59">
        <f t="shared" si="96"/>
        <v>346.14443498270919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41.605423911567101</v>
      </c>
      <c r="DG132" s="21">
        <f>EXP(-LN(2)/25)*DG131+(1-EXP(-LN(2)/25))/(LN(2)/25)*Calculateur!DB132*Calculateur!DD132*VLOOKUP('Données projet'!$B$13,Paramètres!$A$1:$I$89,3,0)*0.475*44/12</f>
        <v>25.364715350689774</v>
      </c>
      <c r="DH132" s="21">
        <f>EXP(-LN(2)/2)*DH131+(1-EXP(-LN(2)/2))/(LN(2)/2)*DB132*DE132*VLOOKUP('Données projet'!$B$13,Paramètres!$A$1:$I$89,3,0)*0.475*44/12</f>
        <v>1.0738045653773711</v>
      </c>
      <c r="DI132" s="22">
        <f t="shared" ref="DI132:DI153" si="123">SUM(DF132:DH132)</f>
        <v>68.043943827634251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269.21114382490202</v>
      </c>
      <c r="DU132" s="59">
        <f t="shared" si="98"/>
        <v>233.07776944102309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4.9952282698582735</v>
      </c>
      <c r="EB132" s="21">
        <f>EXP(-LN(2)/25)*EB131+(1-EXP(-LN(2)/25))/(LN(2)/25)*Calculateur!DW132*Calculateur!DY132*VLOOKUP('Données projet'!$B$14,Paramètres!$A$1:$I$89,3,0)*0.475*44/12</f>
        <v>21.659183443900691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26.654411713758964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9.0229999999999961</v>
      </c>
      <c r="FE132" s="12">
        <f>IF('Données projet'!$A$218&gt;35,FE131+FD132-FM131,IF(A132&lt;'Données projet'!$A$218,$FB$205^A132,IF(A132='Données projet'!$A$218,'Données projet'!$B$218,FE131+FD132-FM131)))</f>
        <v>439.16500000000076</v>
      </c>
      <c r="FF132" s="17">
        <f>FE132*VLOOKUP('Données projet'!$B$16,Paramètres!$A$1:$I$89,3,0)*VLOOKUP('Données projet'!$B$16,Paramètres!$A$1:$I$89,5,0)</f>
        <v>500.12110200000086</v>
      </c>
      <c r="FG132" s="13">
        <f t="shared" si="101"/>
        <v>111.8033697683226</v>
      </c>
      <c r="FH132" s="20">
        <f t="shared" ref="FH132:FH153" si="130">(FF132+FG132)*0.475*44/12</f>
        <v>1065.7684549964965</v>
      </c>
      <c r="FI132" s="59">
        <f t="shared" ref="FI132:FI195" si="131">FH132+(EZ132+FA132)*44/12</f>
        <v>1349.5123836575619</v>
      </c>
      <c r="FJ132" s="59">
        <f ca="1">AVERAGE(OFFSET($FI$3,0,0,'Données projet'!$E$16+1,1))-AVERAGE(OFFSET($H$3,0,0,'Données projet'!$E$16+1,1))</f>
        <v>833.39050463936144</v>
      </c>
      <c r="FK132" s="59">
        <f t="shared" si="102"/>
        <v>362.56178526355507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44.017332544121736</v>
      </c>
      <c r="FR132" s="21">
        <f>EXP(-LN(2)/25)*FR131+(1-EXP(-LN(2)/25))/(LN(2)/25)*Calculateur!FM132*Calculateur!FO132*VLOOKUP('Données projet'!$B$16,Paramètres!$A$1:$I$89,3,0)*0.475*44/12</f>
        <v>26.835133631889192</v>
      </c>
      <c r="FS132" s="21">
        <f>EXP(-LN(2)/2)*FS131+(1-EXP(-LN(2)/2))/(LN(2)/2)*FM132*FP132*VLOOKUP('Données projet'!$B$16,Paramètres!$A$1:$I$89,3,0)*0.475*44/12</f>
        <v>1.1360541053992481</v>
      </c>
      <c r="FT132" s="22">
        <f t="shared" ref="FT132:FT153" si="132">SUM(FQ132:FS132)</f>
        <v>71.988520281410175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1151.9838942874203</v>
      </c>
      <c r="S133" s="59">
        <f ca="1">AVERAGE(OFFSET($R$3,0,0,'Données projet'!$E$9+1,1))-AVERAGE(OFFSET($H$3,0,0,'Données projet'!$E$9+1,1))</f>
        <v>681.47578137804555</v>
      </c>
      <c r="T133" s="59">
        <f t="shared" ref="T133:T196" si="142">$T$3</f>
        <v>300.88511065995885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454.46263200000084</v>
      </c>
      <c r="AK133" s="13">
        <f t="shared" ref="AK133:AK153" si="143">EXP(-1.0587+0.8836*LN(AJ133)+0.284)</f>
        <v>102.73477074715666</v>
      </c>
      <c r="AL133" s="20">
        <f t="shared" si="112"/>
        <v>970.45214311796599</v>
      </c>
      <c r="AM133" s="59">
        <f t="shared" si="113"/>
        <v>1254.3624265113981</v>
      </c>
      <c r="AN133" s="59">
        <f ca="1">AVERAGE(OFFSET($AM$3,0,0,'Données projet'!$E$10+1,1))-AVERAGE(OFFSET($H$3,0,0,'Données projet'!$E$10+1,1))</f>
        <v>752.45542076695506</v>
      </c>
      <c r="AO133" s="59">
        <f t="shared" ref="AO133:AO196" si="144">$AO$3</f>
        <v>329.70629768420724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38.424954350074913</v>
      </c>
      <c r="AV133" s="21">
        <f>EXP(-LN(2)/25)*AV132+(1-EXP(-LN(2)/25))/(LN(2)/25)*Calculateur!AQ133*Calculateur!AS133*VLOOKUP('Données projet'!$B$10,Paramètres!$A$1:$I$89,3,0)*0.475*44/12</f>
        <v>23.240906259578683</v>
      </c>
      <c r="AW133" s="21">
        <f>EXP(-LN(2)/2)*AW132+(1-EXP(-LN(2)/2))/(LN(2)/2)*AQ133*AT133*VLOOKUP('Données projet'!$B$10,Paramètres!$A$1:$I$89,3,0)*0.475*44/12</f>
        <v>0.71527741797220024</v>
      </c>
      <c r="AX133" s="21">
        <f t="shared" si="114"/>
        <v>62.381138027625795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426.49570080000069</v>
      </c>
      <c r="BF133" s="13">
        <f t="shared" ref="BF133:BF153" si="145">EXP(-1.0587+0.8836*LN(BE133)+0.284)</f>
        <v>97.128047037215154</v>
      </c>
      <c r="BG133" s="20">
        <f t="shared" si="115"/>
        <v>911.97802748315098</v>
      </c>
      <c r="BH133" s="59">
        <f t="shared" si="116"/>
        <v>1195.8883108765831</v>
      </c>
      <c r="BI133" s="59">
        <f ca="1">AVERAGE(OFFSET($BH$3,0,0,'Données projet'!$E$11+1,1))-AVERAGE(OFFSET($H$3,0,0,'Données projet'!$E$11+1,1))</f>
        <v>711.91538686535682</v>
      </c>
      <c r="BJ133" s="59">
        <f t="shared" ref="BJ133:BJ196" si="146">$BJ$3</f>
        <v>313.24593837351722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36.060341774685682</v>
      </c>
      <c r="BQ133" s="21">
        <f>EXP(-LN(2)/25)*BQ132+(1-EXP(-LN(2)/25))/(LN(2)/25)*Calculateur!BL133*Calculateur!BN133*VLOOKUP('Données projet'!$B$11,Paramètres!$A$1:$I$89,3,0)*0.475*44/12</f>
        <v>21.810696643604601</v>
      </c>
      <c r="BR133" s="21">
        <f>EXP(-LN(2)/2)*BR132+(1-EXP(-LN(2)/2))/(LN(2)/2)*BL133*BO133*VLOOKUP('Données projet'!$B$11,Paramètres!$A$1:$I$89,3,0)*0.475*44/12</f>
        <v>0.67126034609698826</v>
      </c>
      <c r="BS133" s="22">
        <f t="shared" si="117"/>
        <v>58.542298764387269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9.0229999999999961</v>
      </c>
      <c r="BY133" s="12">
        <f>IF('Données projet'!$A$114&gt;35,BY132+BX133-CG132,IF(A133&lt;'Données projet'!$A$114,$BV$205^A133,IF(A133='Données projet'!$A$114,'Données projet'!$B$114,BY132+BX133-CG132)))</f>
        <v>448.18800000000078</v>
      </c>
      <c r="BZ133" s="13">
        <f>BY133*VLOOKUP('Données projet'!$B$12,Paramètres!$A$1:$I$89,3,0)*VLOOKUP('Données projet'!$B$12,Paramètres!$A$1:$I$89,5,0)</f>
        <v>433.48743360000077</v>
      </c>
      <c r="CA133" s="13">
        <f t="shared" ref="CA133:CA153" si="147">EXP(-1.0587+0.8836*LN(BZ133)+0.284)</f>
        <v>98.533636457668734</v>
      </c>
      <c r="CB133" s="20">
        <f t="shared" si="118"/>
        <v>926.60336368377432</v>
      </c>
      <c r="CC133" s="59">
        <f t="shared" si="119"/>
        <v>1210.5136470772063</v>
      </c>
      <c r="CD133" s="59">
        <f ca="1">AVERAGE(OFFSET($CC$3,0,0,'Données projet'!$E$12+1,1))-AVERAGE(OFFSET($H$3,0,0,'Données projet'!$E$12+1,1))</f>
        <v>722.05521609092671</v>
      </c>
      <c r="CE133" s="59">
        <f t="shared" ref="CE133:CE196" si="148">$CE$3</f>
        <v>317.36319714884644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36.65149491853299</v>
      </c>
      <c r="CL133" s="21">
        <f>EXP(-LN(2)/25)*CL132+(1-EXP(-LN(2)/25))/(LN(2)/25)*Calculateur!CG133*Calculateur!CI133*VLOOKUP('Données projet'!$B$12,Paramètres!$A$1:$I$89,3,0)*0.475*44/12</f>
        <v>22.16824904759812</v>
      </c>
      <c r="CM133" s="21">
        <f>EXP(-LN(2)/2)*CM132+(1-EXP(-LN(2)/2))/(LN(2)/2)*CG133*CJ133*VLOOKUP('Données projet'!$B$12,Paramètres!$A$1:$I$89,3,0)*0.475*44/12</f>
        <v>0.68226461406579109</v>
      </c>
      <c r="CN133" s="22">
        <f t="shared" si="120"/>
        <v>59.502008580196907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9.0229999999999961</v>
      </c>
      <c r="CT133" s="12">
        <f>IF('Données projet'!$A$140&gt;35,CT132+CS133-DB132,IF(A133&lt;'Données projet'!$A$140,$CQ$205^A133,IF(A133='Données projet'!$A$140,'Données projet'!$B$140,CT132+CS133-DB132)))</f>
        <v>448.18800000000078</v>
      </c>
      <c r="CU133" s="17">
        <f>CT133*VLOOKUP('Données projet'!$B$13,Paramètres!$A$1:$I$89,3,0)*VLOOKUP('Données projet'!$B$13,Paramètres!$A$1:$I$89,5,0)</f>
        <v>482.42956320000087</v>
      </c>
      <c r="CV133" s="13">
        <f t="shared" ref="CV133:CV153" si="149">EXP(-1.0587+0.8836*LN(CU133)+0.284)</f>
        <v>108.30144988612524</v>
      </c>
      <c r="CW133" s="20">
        <f t="shared" si="121"/>
        <v>1028.8565144583363</v>
      </c>
      <c r="CX133" s="59">
        <f t="shared" si="122"/>
        <v>1312.7667978517684</v>
      </c>
      <c r="CY133" s="59">
        <f ca="1">AVERAGE(OFFSET($CX$3,0,0,'Données projet'!$E$13+1,1))-AVERAGE(OFFSET($H$3,0,0,'Données projet'!$E$13+1,1))</f>
        <v>792.94606354161886</v>
      </c>
      <c r="CZ133" s="59">
        <f t="shared" ref="CZ133:CZ196" si="150">$CZ$3</f>
        <v>346.14443498270919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40.789566925464108</v>
      </c>
      <c r="DG133" s="21">
        <f>EXP(-LN(2)/25)*DG132+(1-EXP(-LN(2)/25))/(LN(2)/25)*Calculateur!DB133*Calculateur!DD133*VLOOKUP('Données projet'!$B$13,Paramètres!$A$1:$I$89,3,0)*0.475*44/12</f>
        <v>24.671115875552754</v>
      </c>
      <c r="DH133" s="21">
        <f>EXP(-LN(2)/2)*DH132+(1-EXP(-LN(2)/2))/(LN(2)/2)*DB133*DE133*VLOOKUP('Données projet'!$B$13,Paramètres!$A$1:$I$89,3,0)*0.475*44/12</f>
        <v>0.75929448984741255</v>
      </c>
      <c r="DI133" s="22">
        <f t="shared" si="123"/>
        <v>66.219977290864264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269.21114382490202</v>
      </c>
      <c r="DU133" s="59">
        <f t="shared" ref="DU133:DU196" si="152">$DU$3</f>
        <v>233.07776944102309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4.897274890274752</v>
      </c>
      <c r="EB133" s="21">
        <f>EXP(-LN(2)/25)*EB132+(1-EXP(-LN(2)/25))/(LN(2)/25)*Calculateur!DW133*Calculateur!DY133*VLOOKUP('Données projet'!$B$14,Paramètres!$A$1:$I$89,3,0)*0.475*44/12</f>
        <v>21.066911933620272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25.964186823895023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9.0229999999999961</v>
      </c>
      <c r="FE133" s="12">
        <f>IF('Données projet'!$A$218&gt;35,FE132+FD133-FM132,IF(A133&lt;'Données projet'!$A$218,$FB$205^A133,IF(A133='Données projet'!$A$218,'Données projet'!$B$218,FE132+FD133-FM132)))</f>
        <v>448.18800000000078</v>
      </c>
      <c r="FF133" s="17">
        <f>FE133*VLOOKUP('Données projet'!$B$16,Paramètres!$A$1:$I$89,3,0)*VLOOKUP('Données projet'!$B$16,Paramètres!$A$1:$I$89,5,0)</f>
        <v>510.3964944000009</v>
      </c>
      <c r="FG133" s="13">
        <f t="shared" ref="FG133:FG153" si="155">EXP(-1.0587+0.8836*LN(FF133)+0.284)</f>
        <v>113.83067034687865</v>
      </c>
      <c r="FH133" s="20">
        <f t="shared" si="130"/>
        <v>1087.195645267482</v>
      </c>
      <c r="FI133" s="59">
        <f t="shared" si="131"/>
        <v>1371.1059286609141</v>
      </c>
      <c r="FJ133" s="59">
        <f ca="1">AVERAGE(OFFSET($FI$3,0,0,'Données projet'!$E$16+1,1))-AVERAGE(OFFSET($H$3,0,0,'Données projet'!$E$16+1,1))</f>
        <v>833.39050463936144</v>
      </c>
      <c r="FK133" s="59">
        <f t="shared" ref="FK133:FK196" si="156">$FK$3</f>
        <v>362.56178526355507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43.154179500853346</v>
      </c>
      <c r="FR133" s="21">
        <f>EXP(-LN(2)/25)*FR132+(1-EXP(-LN(2)/25))/(LN(2)/25)*Calculateur!FM133*Calculateur!FO133*VLOOKUP('Données projet'!$B$16,Paramètres!$A$1:$I$89,3,0)*0.475*44/12</f>
        <v>26.101325491526836</v>
      </c>
      <c r="FS133" s="21">
        <f>EXP(-LN(2)/2)*FS132+(1-EXP(-LN(2)/2))/(LN(2)/2)*FM133*FP133*VLOOKUP('Données projet'!$B$16,Paramètres!$A$1:$I$89,3,0)*0.475*44/12</f>
        <v>0.80331156172262519</v>
      </c>
      <c r="FT133" s="22">
        <f t="shared" si="132"/>
        <v>70.058816554102805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1169.2410860390162</v>
      </c>
      <c r="S134" s="59">
        <f ca="1">AVERAGE(OFFSET($R$3,0,0,'Données projet'!$E$9+1,1))-AVERAGE(OFFSET($H$3,0,0,'Données projet'!$E$9+1,1))</f>
        <v>681.47578137804555</v>
      </c>
      <c r="T134" s="59">
        <f t="shared" si="142"/>
        <v>300.88511065995885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463.61195400000088</v>
      </c>
      <c r="AK134" s="13">
        <f t="shared" si="143"/>
        <v>104.56017271740512</v>
      </c>
      <c r="AL134" s="20">
        <f t="shared" si="112"/>
        <v>989.56645403281527</v>
      </c>
      <c r="AM134" s="59">
        <f t="shared" si="113"/>
        <v>1273.6402062759209</v>
      </c>
      <c r="AN134" s="59">
        <f ca="1">AVERAGE(OFFSET($AM$3,0,0,'Données projet'!$E$10+1,1))-AVERAGE(OFFSET($H$3,0,0,'Données projet'!$E$10+1,1))</f>
        <v>752.45542076695506</v>
      </c>
      <c r="AO134" s="59">
        <f t="shared" si="144"/>
        <v>329.70629768420724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37.671464432177892</v>
      </c>
      <c r="AV134" s="21">
        <f>EXP(-LN(2)/25)*AV133+(1-EXP(-LN(2)/25))/(LN(2)/25)*Calculateur!AQ134*Calculateur!AS134*VLOOKUP('Données projet'!$B$10,Paramètres!$A$1:$I$89,3,0)*0.475*44/12</f>
        <v>22.60538245572436</v>
      </c>
      <c r="AW134" s="21">
        <f>EXP(-LN(2)/2)*AW133+(1-EXP(-LN(2)/2))/(LN(2)/2)*AQ134*AT134*VLOOKUP('Données projet'!$B$10,Paramètres!$A$1:$I$89,3,0)*0.475*44/12</f>
        <v>0.50577751267774729</v>
      </c>
      <c r="AX134" s="21">
        <f t="shared" si="114"/>
        <v>60.782624400579998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435.08198760000079</v>
      </c>
      <c r="BF134" s="13">
        <f t="shared" si="145"/>
        <v>98.853828164079005</v>
      </c>
      <c r="BG134" s="20">
        <f t="shared" si="115"/>
        <v>929.93821245577226</v>
      </c>
      <c r="BH134" s="59">
        <f t="shared" si="116"/>
        <v>1214.011964698878</v>
      </c>
      <c r="BI134" s="59">
        <f ca="1">AVERAGE(OFFSET($BH$3,0,0,'Données projet'!$E$11+1,1))-AVERAGE(OFFSET($H$3,0,0,'Données projet'!$E$11+1,1))</f>
        <v>711.91538686535682</v>
      </c>
      <c r="BJ134" s="59">
        <f t="shared" si="146"/>
        <v>313.24593837351722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35.353220467120785</v>
      </c>
      <c r="BQ134" s="21">
        <f>EXP(-LN(2)/25)*BQ133+(1-EXP(-LN(2)/25))/(LN(2)/25)*Calculateur!BL134*Calculateur!BN134*VLOOKUP('Données projet'!$B$11,Paramètres!$A$1:$I$89,3,0)*0.475*44/12</f>
        <v>21.214281996910547</v>
      </c>
      <c r="BR134" s="21">
        <f>EXP(-LN(2)/2)*BR133+(1-EXP(-LN(2)/2))/(LN(2)/2)*BL134*BO134*VLOOKUP('Données projet'!$B$11,Paramètres!$A$1:$I$89,3,0)*0.475*44/12</f>
        <v>0.47465274266680929</v>
      </c>
      <c r="BS134" s="22">
        <f t="shared" si="117"/>
        <v>57.042155206698148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9.0229999999999961</v>
      </c>
      <c r="BY134" s="12">
        <f>IF('Données projet'!$A$114&gt;35,BY133+BX134-CG133,IF(A134&lt;'Données projet'!$A$114,$BV$205^A134,IF(A134='Données projet'!$A$114,'Données projet'!$B$114,BY133+BX134-CG133)))</f>
        <v>457.21100000000081</v>
      </c>
      <c r="BZ134" s="13">
        <f>BY134*VLOOKUP('Données projet'!$B$12,Paramètres!$A$1:$I$89,3,0)*VLOOKUP('Données projet'!$B$12,Paramètres!$A$1:$I$89,5,0)</f>
        <v>442.21447920000082</v>
      </c>
      <c r="CA134" s="13">
        <f t="shared" si="147"/>
        <v>100.28439224188371</v>
      </c>
      <c r="CB134" s="20">
        <f t="shared" si="118"/>
        <v>944.85220109461545</v>
      </c>
      <c r="CC134" s="59">
        <f t="shared" si="119"/>
        <v>1228.9259533377212</v>
      </c>
      <c r="CD134" s="59">
        <f ca="1">AVERAGE(OFFSET($CC$3,0,0,'Données projet'!$E$12+1,1))-AVERAGE(OFFSET($H$3,0,0,'Données projet'!$E$12+1,1))</f>
        <v>722.05521609092671</v>
      </c>
      <c r="CE134" s="59">
        <f t="shared" si="148"/>
        <v>317.36319714884644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35.932781458385065</v>
      </c>
      <c r="CL134" s="21">
        <f>EXP(-LN(2)/25)*CL133+(1-EXP(-LN(2)/25))/(LN(2)/25)*Calculateur!CG134*Calculateur!CI134*VLOOKUP('Données projet'!$B$12,Paramètres!$A$1:$I$89,3,0)*0.475*44/12</f>
        <v>21.562057111613999</v>
      </c>
      <c r="CM134" s="21">
        <f>EXP(-LN(2)/2)*CM133+(1-EXP(-LN(2)/2))/(LN(2)/2)*CG134*CJ134*VLOOKUP('Données projet'!$B$12,Paramètres!$A$1:$I$89,3,0)*0.475*44/12</f>
        <v>0.48243393516954364</v>
      </c>
      <c r="CN134" s="22">
        <f t="shared" si="120"/>
        <v>57.977272505168607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9.0229999999999961</v>
      </c>
      <c r="CT134" s="12">
        <f>IF('Données projet'!$A$140&gt;35,CT133+CS134-DB133,IF(A134&lt;'Données projet'!$A$140,$CQ$205^A134,IF(A134='Données projet'!$A$140,'Données projet'!$B$140,CT133+CS134-DB133)))</f>
        <v>457.21100000000081</v>
      </c>
      <c r="CU134" s="17">
        <f>CT134*VLOOKUP('Données projet'!$B$13,Paramètres!$A$1:$I$89,3,0)*VLOOKUP('Données projet'!$B$13,Paramètres!$A$1:$I$89,5,0)</f>
        <v>492.14192040000086</v>
      </c>
      <c r="CV134" s="13">
        <f t="shared" si="149"/>
        <v>110.22576118370382</v>
      </c>
      <c r="CW134" s="20">
        <f t="shared" si="121"/>
        <v>1049.1237120916189</v>
      </c>
      <c r="CX134" s="59">
        <f t="shared" si="122"/>
        <v>1333.1974643347246</v>
      </c>
      <c r="CY134" s="59">
        <f ca="1">AVERAGE(OFFSET($CX$3,0,0,'Données projet'!$E$13+1,1))-AVERAGE(OFFSET($H$3,0,0,'Données projet'!$E$13+1,1))</f>
        <v>792.94606354161886</v>
      </c>
      <c r="CZ134" s="59">
        <f t="shared" si="150"/>
        <v>346.14443498270919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39.989708397234963</v>
      </c>
      <c r="DG134" s="21">
        <f>EXP(-LN(2)/25)*DG133+(1-EXP(-LN(2)/25))/(LN(2)/25)*Calculateur!DB134*Calculateur!DD134*VLOOKUP('Données projet'!$B$13,Paramètres!$A$1:$I$89,3,0)*0.475*44/12</f>
        <v>23.996482914538166</v>
      </c>
      <c r="DH134" s="21">
        <f>EXP(-LN(2)/2)*DH133+(1-EXP(-LN(2)/2))/(LN(2)/2)*DB134*DE134*VLOOKUP('Données projet'!$B$13,Paramètres!$A$1:$I$89,3,0)*0.475*44/12</f>
        <v>0.53690228268868556</v>
      </c>
      <c r="DI134" s="22">
        <f t="shared" si="123"/>
        <v>64.523093594461812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269.21114382490202</v>
      </c>
      <c r="DU134" s="59">
        <f t="shared" si="152"/>
        <v>233.07776944102309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4.8012423167192013</v>
      </c>
      <c r="EB134" s="21">
        <f>EXP(-LN(2)/25)*EB133+(1-EXP(-LN(2)/25))/(LN(2)/25)*Calculateur!DW134*Calculateur!DY134*VLOOKUP('Données projet'!$B$14,Paramètres!$A$1:$I$89,3,0)*0.475*44/12</f>
        <v>20.490836118934677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25.292078435653877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9.0229999999999961</v>
      </c>
      <c r="FE134" s="12">
        <f>IF('Données projet'!$A$218&gt;35,FE133+FD134-FM133,IF(A134&lt;'Données projet'!$A$218,$FB$205^A134,IF(A134='Données projet'!$A$218,'Données projet'!$B$218,FE133+FD134-FM133)))</f>
        <v>457.21100000000081</v>
      </c>
      <c r="FF134" s="17">
        <f>FE134*VLOOKUP('Données projet'!$B$16,Paramètres!$A$1:$I$89,3,0)*VLOOKUP('Données projet'!$B$16,Paramètres!$A$1:$I$89,5,0)</f>
        <v>520.67188680000083</v>
      </c>
      <c r="FG134" s="13">
        <f t="shared" si="155"/>
        <v>115.85322540214115</v>
      </c>
      <c r="FH134" s="20">
        <f t="shared" si="130"/>
        <v>1108.6145704187306</v>
      </c>
      <c r="FI134" s="59">
        <f t="shared" si="131"/>
        <v>1392.6883226618363</v>
      </c>
      <c r="FJ134" s="59">
        <f ca="1">AVERAGE(OFFSET($FI$3,0,0,'Données projet'!$E$16+1,1))-AVERAGE(OFFSET($H$3,0,0,'Données projet'!$E$16+1,1))</f>
        <v>833.39050463936144</v>
      </c>
      <c r="FK134" s="59">
        <f t="shared" si="156"/>
        <v>362.56178526355507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42.307952362292077</v>
      </c>
      <c r="FR134" s="21">
        <f>EXP(-LN(2)/25)*FR133+(1-EXP(-LN(2)/25))/(LN(2)/25)*Calculateur!FM134*Calculateur!FO134*VLOOKUP('Données projet'!$B$16,Paramètres!$A$1:$I$89,3,0)*0.475*44/12</f>
        <v>25.387583373351983</v>
      </c>
      <c r="FS134" s="21">
        <f>EXP(-LN(2)/2)*FS133+(1-EXP(-LN(2)/2))/(LN(2)/2)*FM134*FP134*VLOOKUP('Données projet'!$B$16,Paramètres!$A$1:$I$89,3,0)*0.475*44/12</f>
        <v>0.56802705269962417</v>
      </c>
      <c r="FT134" s="22">
        <f t="shared" si="132"/>
        <v>68.263562788343677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1186.488845424941</v>
      </c>
      <c r="S135" s="59">
        <f ca="1">AVERAGE(OFFSET($R$3,0,0,'Données projet'!$E$9+1,1))-AVERAGE(OFFSET($H$3,0,0,'Données projet'!$E$9+1,1))</f>
        <v>681.47578137804555</v>
      </c>
      <c r="T135" s="59">
        <f t="shared" si="142"/>
        <v>300.88511065995885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472.76127600000092</v>
      </c>
      <c r="AK135" s="13">
        <f t="shared" si="143"/>
        <v>106.38138601076099</v>
      </c>
      <c r="AL135" s="20">
        <f t="shared" si="112"/>
        <v>1008.6734696687436</v>
      </c>
      <c r="AM135" s="59">
        <f t="shared" si="113"/>
        <v>1292.9078549424428</v>
      </c>
      <c r="AN135" s="59">
        <f ca="1">AVERAGE(OFFSET($AM$3,0,0,'Données projet'!$E$10+1,1))-AVERAGE(OFFSET($H$3,0,0,'Données projet'!$E$10+1,1))</f>
        <v>752.45542076695506</v>
      </c>
      <c r="AO135" s="59">
        <f t="shared" si="144"/>
        <v>329.70629768420724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36.932749991987365</v>
      </c>
      <c r="AV135" s="21">
        <f>EXP(-LN(2)/25)*AV134+(1-EXP(-LN(2)/25))/(LN(2)/25)*Calculateur!AQ135*Calculateur!AS135*VLOOKUP('Données projet'!$B$10,Paramètres!$A$1:$I$89,3,0)*0.475*44/12</f>
        <v>21.987237083707178</v>
      </c>
      <c r="AW135" s="21">
        <f>EXP(-LN(2)/2)*AW134+(1-EXP(-LN(2)/2))/(LN(2)/2)*AQ135*AT135*VLOOKUP('Données projet'!$B$10,Paramètres!$A$1:$I$89,3,0)*0.475*44/12</f>
        <v>0.35763870898610012</v>
      </c>
      <c r="AX135" s="21">
        <f t="shared" si="114"/>
        <v>59.277625784680644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443.66827440000083</v>
      </c>
      <c r="BF135" s="13">
        <f t="shared" si="145"/>
        <v>100.57564921001506</v>
      </c>
      <c r="BG135" s="20">
        <f t="shared" si="115"/>
        <v>947.89150028744427</v>
      </c>
      <c r="BH135" s="59">
        <f t="shared" si="116"/>
        <v>1232.1258855611434</v>
      </c>
      <c r="BI135" s="59">
        <f ca="1">AVERAGE(OFFSET($BH$3,0,0,'Données projet'!$E$11+1,1))-AVERAGE(OFFSET($H$3,0,0,'Données projet'!$E$11+1,1))</f>
        <v>711.91538686535682</v>
      </c>
      <c r="BJ135" s="59">
        <f t="shared" si="146"/>
        <v>313.24593837351722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34.65996537709583</v>
      </c>
      <c r="BQ135" s="21">
        <f>EXP(-LN(2)/25)*BQ134+(1-EXP(-LN(2)/25))/(LN(2)/25)*Calculateur!BL135*Calculateur!BN135*VLOOKUP('Données projet'!$B$11,Paramètres!$A$1:$I$89,3,0)*0.475*44/12</f>
        <v>20.634176340094424</v>
      </c>
      <c r="BR135" s="21">
        <f>EXP(-LN(2)/2)*BR134+(1-EXP(-LN(2)/2))/(LN(2)/2)*BL135*BO135*VLOOKUP('Données projet'!$B$11,Paramètres!$A$1:$I$89,3,0)*0.475*44/12</f>
        <v>0.33563017304849418</v>
      </c>
      <c r="BS135" s="22">
        <f t="shared" si="117"/>
        <v>55.62977189023875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9.0229999999999961</v>
      </c>
      <c r="BY135" s="12">
        <f>IF('Données projet'!$A$114&gt;35,BY134+BX135-CG134,IF(A135&lt;'Données projet'!$A$114,$BV$205^A135,IF(A135='Données projet'!$A$114,'Données projet'!$B$114,BY134+BX135-CG134)))</f>
        <v>466.23400000000083</v>
      </c>
      <c r="BZ135" s="13">
        <f>BY135*VLOOKUP('Données projet'!$B$12,Paramètres!$A$1:$I$89,3,0)*VLOOKUP('Données projet'!$B$12,Paramètres!$A$1:$I$89,5,0)</f>
        <v>450.94152480000088</v>
      </c>
      <c r="CA135" s="13">
        <f t="shared" si="147"/>
        <v>102.03113063682355</v>
      </c>
      <c r="CB135" s="20">
        <f t="shared" si="118"/>
        <v>963.09404155246921</v>
      </c>
      <c r="CC135" s="59">
        <f t="shared" si="119"/>
        <v>1247.3284268261684</v>
      </c>
      <c r="CD135" s="59">
        <f ca="1">AVERAGE(OFFSET($CC$3,0,0,'Données projet'!$E$12+1,1))-AVERAGE(OFFSET($H$3,0,0,'Données projet'!$E$12+1,1))</f>
        <v>722.05521609092671</v>
      </c>
      <c r="CE135" s="59">
        <f t="shared" si="148"/>
        <v>317.36319714884644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35.228161530818717</v>
      </c>
      <c r="CL135" s="21">
        <f>EXP(-LN(2)/25)*CL134+(1-EXP(-LN(2)/25))/(LN(2)/25)*Calculateur!CG135*Calculateur!CI135*VLOOKUP('Données projet'!$B$12,Paramètres!$A$1:$I$89,3,0)*0.475*44/12</f>
        <v>20.972441525997613</v>
      </c>
      <c r="CM135" s="21">
        <f>EXP(-LN(2)/2)*CM134+(1-EXP(-LN(2)/2))/(LN(2)/2)*CG135*CJ135*VLOOKUP('Données projet'!$B$12,Paramètres!$A$1:$I$89,3,0)*0.475*44/12</f>
        <v>0.34113230703289554</v>
      </c>
      <c r="CN135" s="22">
        <f t="shared" si="120"/>
        <v>56.541735363849227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9.0229999999999961</v>
      </c>
      <c r="CT135" s="12">
        <f>IF('Données projet'!$A$140&gt;35,CT134+CS135-DB134,IF(A135&lt;'Données projet'!$A$140,$CQ$205^A135,IF(A135='Données projet'!$A$140,'Données projet'!$B$140,CT134+CS135-DB134)))</f>
        <v>466.23400000000083</v>
      </c>
      <c r="CU135" s="17">
        <f>CT135*VLOOKUP('Données projet'!$B$13,Paramètres!$A$1:$I$89,3,0)*VLOOKUP('Données projet'!$B$13,Paramètres!$A$1:$I$89,5,0)</f>
        <v>501.8542776000009</v>
      </c>
      <c r="CV135" s="13">
        <f t="shared" si="149"/>
        <v>112.14565684111234</v>
      </c>
      <c r="CW135" s="20">
        <f t="shared" si="121"/>
        <v>1069.3832191516055</v>
      </c>
      <c r="CX135" s="59">
        <f t="shared" si="122"/>
        <v>1353.6176044253048</v>
      </c>
      <c r="CY135" s="59">
        <f ca="1">AVERAGE(OFFSET($CX$3,0,0,'Données projet'!$E$13+1,1))-AVERAGE(OFFSET($H$3,0,0,'Données projet'!$E$13+1,1))</f>
        <v>792.94606354161886</v>
      </c>
      <c r="CZ135" s="59">
        <f t="shared" si="150"/>
        <v>346.14443498270919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39.205534606878864</v>
      </c>
      <c r="DG135" s="21">
        <f>EXP(-LN(2)/25)*DG134+(1-EXP(-LN(2)/25))/(LN(2)/25)*Calculateur!DB135*Calculateur!DD135*VLOOKUP('Données projet'!$B$13,Paramètres!$A$1:$I$89,3,0)*0.475*44/12</f>
        <v>23.34029782731993</v>
      </c>
      <c r="DH135" s="21">
        <f>EXP(-LN(2)/2)*DH134+(1-EXP(-LN(2)/2))/(LN(2)/2)*DB135*DE135*VLOOKUP('Données projet'!$B$13,Paramètres!$A$1:$I$89,3,0)*0.475*44/12</f>
        <v>0.37964724492370627</v>
      </c>
      <c r="DI135" s="22">
        <f t="shared" si="123"/>
        <v>62.925479679122496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269.21114382490202</v>
      </c>
      <c r="DU135" s="59">
        <f t="shared" si="152"/>
        <v>233.07776944102309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4.7070928833569887</v>
      </c>
      <c r="EB135" s="21">
        <f>EXP(-LN(2)/25)*EB134+(1-EXP(-LN(2)/25))/(LN(2)/25)*Calculateur!DW135*Calculateur!DY135*VLOOKUP('Données projet'!$B$14,Paramètres!$A$1:$I$89,3,0)*0.475*44/12</f>
        <v>19.93051312769617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24.637606011053158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9.0229999999999961</v>
      </c>
      <c r="FE135" s="12">
        <f>IF('Données projet'!$A$218&gt;35,FE134+FD135-FM134,IF(A135&lt;'Données projet'!$A$218,$FB$205^A135,IF(A135='Données projet'!$A$218,'Données projet'!$B$218,FE134+FD135-FM134)))</f>
        <v>466.23400000000083</v>
      </c>
      <c r="FF135" s="17">
        <f>FE135*VLOOKUP('Données projet'!$B$16,Paramètres!$A$1:$I$89,3,0)*VLOOKUP('Données projet'!$B$16,Paramètres!$A$1:$I$89,5,0)</f>
        <v>530.94727920000093</v>
      </c>
      <c r="FG135" s="13">
        <f t="shared" si="155"/>
        <v>117.87113938121217</v>
      </c>
      <c r="FH135" s="20">
        <f t="shared" si="130"/>
        <v>1130.0254123622794</v>
      </c>
      <c r="FI135" s="59">
        <f t="shared" si="131"/>
        <v>1414.2597976359787</v>
      </c>
      <c r="FJ135" s="59">
        <f ca="1">AVERAGE(OFFSET($FI$3,0,0,'Données projet'!$E$16+1,1))-AVERAGE(OFFSET($H$3,0,0,'Données projet'!$E$16+1,1))</f>
        <v>833.39050463936144</v>
      </c>
      <c r="FK135" s="59">
        <f t="shared" si="156"/>
        <v>362.56178526355507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41.478319221770406</v>
      </c>
      <c r="FR135" s="21">
        <f>EXP(-LN(2)/25)*FR134+(1-EXP(-LN(2)/25))/(LN(2)/25)*Calculateur!FM135*Calculateur!FO135*VLOOKUP('Données projet'!$B$16,Paramètres!$A$1:$I$89,3,0)*0.475*44/12</f>
        <v>24.693358570932688</v>
      </c>
      <c r="FS135" s="21">
        <f>EXP(-LN(2)/2)*FS134+(1-EXP(-LN(2)/2))/(LN(2)/2)*FM135*FP135*VLOOKUP('Données projet'!$B$16,Paramètres!$A$1:$I$89,3,0)*0.475*44/12</f>
        <v>0.40165578086131265</v>
      </c>
      <c r="FT135" s="22">
        <f t="shared" si="132"/>
        <v>66.573333573564412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1203.7273640203548</v>
      </c>
      <c r="S136" s="59">
        <f ca="1">AVERAGE(OFFSET($R$3,0,0,'Données projet'!$E$9+1,1))-AVERAGE(OFFSET($H$3,0,0,'Données projet'!$E$9+1,1))</f>
        <v>681.47578137804555</v>
      </c>
      <c r="T136" s="59">
        <f t="shared" si="142"/>
        <v>300.88511065995885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481.9105980000009</v>
      </c>
      <c r="AK136" s="13">
        <f t="shared" si="143"/>
        <v>108.19850103573877</v>
      </c>
      <c r="AL136" s="20">
        <f t="shared" si="112"/>
        <v>1027.7733474872464</v>
      </c>
      <c r="AM136" s="59">
        <f t="shared" si="113"/>
        <v>1312.1655791675798</v>
      </c>
      <c r="AN136" s="59">
        <f ca="1">AVERAGE(OFFSET($AM$3,0,0,'Données projet'!$E$10+1,1))-AVERAGE(OFFSET($H$3,0,0,'Données projet'!$E$10+1,1))</f>
        <v>752.45542076695506</v>
      </c>
      <c r="AO136" s="59">
        <f t="shared" si="144"/>
        <v>329.70629768420724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36.208521291397652</v>
      </c>
      <c r="AV136" s="21">
        <f>EXP(-LN(2)/25)*AV135+(1-EXP(-LN(2)/25))/(LN(2)/25)*Calculateur!AQ136*Calculateur!AS136*VLOOKUP('Données projet'!$B$10,Paramètres!$A$1:$I$89,3,0)*0.475*44/12</f>
        <v>21.385994929394659</v>
      </c>
      <c r="AW136" s="21">
        <f>EXP(-LN(2)/2)*AW135+(1-EXP(-LN(2)/2))/(LN(2)/2)*AQ136*AT136*VLOOKUP('Données projet'!$B$10,Paramètres!$A$1:$I$89,3,0)*0.475*44/12</f>
        <v>0.25288875633887364</v>
      </c>
      <c r="AX136" s="21">
        <f t="shared" si="114"/>
        <v>57.847404977131191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452.25456120000081</v>
      </c>
      <c r="BF136" s="13">
        <f t="shared" si="145"/>
        <v>102.29359564951639</v>
      </c>
      <c r="BG136" s="20">
        <f t="shared" si="115"/>
        <v>965.83803984624228</v>
      </c>
      <c r="BH136" s="59">
        <f t="shared" si="116"/>
        <v>1250.2302715265757</v>
      </c>
      <c r="BI136" s="59">
        <f ca="1">AVERAGE(OFFSET($BH$3,0,0,'Données projet'!$E$11+1,1))-AVERAGE(OFFSET($H$3,0,0,'Données projet'!$E$11+1,1))</f>
        <v>711.91538686535682</v>
      </c>
      <c r="BJ136" s="59">
        <f t="shared" si="146"/>
        <v>313.24593837351722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33.98030459654241</v>
      </c>
      <c r="BQ136" s="21">
        <f>EXP(-LN(2)/25)*BQ135+(1-EXP(-LN(2)/25))/(LN(2)/25)*Calculateur!BL136*Calculateur!BN136*VLOOKUP('Données projet'!$B$11,Paramètres!$A$1:$I$89,3,0)*0.475*44/12</f>
        <v>20.069933702970367</v>
      </c>
      <c r="BR136" s="21">
        <f>EXP(-LN(2)/2)*BR135+(1-EXP(-LN(2)/2))/(LN(2)/2)*BL136*BO136*VLOOKUP('Données projet'!$B$11,Paramètres!$A$1:$I$89,3,0)*0.475*44/12</f>
        <v>0.23732637133340467</v>
      </c>
      <c r="BS136" s="22">
        <f t="shared" si="117"/>
        <v>54.28756467084618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9.0229999999999961</v>
      </c>
      <c r="BY136" s="12">
        <f>IF('Données projet'!$A$114&gt;35,BY135+BX136-CG135,IF(A136&lt;'Données projet'!$A$114,$BV$205^A136,IF(A136='Données projet'!$A$114,'Données projet'!$B$114,BY135+BX136-CG135)))</f>
        <v>475.25700000000086</v>
      </c>
      <c r="BZ136" s="13">
        <f>BY136*VLOOKUP('Données projet'!$B$12,Paramètres!$A$1:$I$89,3,0)*VLOOKUP('Données projet'!$B$12,Paramètres!$A$1:$I$89,5,0)</f>
        <v>459.66857040000087</v>
      </c>
      <c r="CA136" s="13">
        <f t="shared" si="147"/>
        <v>103.77393835392633</v>
      </c>
      <c r="CB136" s="20">
        <f t="shared" si="118"/>
        <v>981.32903607975641</v>
      </c>
      <c r="CC136" s="59">
        <f t="shared" si="119"/>
        <v>1265.7212677600899</v>
      </c>
      <c r="CD136" s="59">
        <f ca="1">AVERAGE(OFFSET($CC$3,0,0,'Données projet'!$E$12+1,1))-AVERAGE(OFFSET($H$3,0,0,'Données projet'!$E$12+1,1))</f>
        <v>722.05521609092671</v>
      </c>
      <c r="CE136" s="59">
        <f t="shared" si="148"/>
        <v>317.36319714884644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34.537358770256226</v>
      </c>
      <c r="CL136" s="21">
        <f>EXP(-LN(2)/25)*CL135+(1-EXP(-LN(2)/25))/(LN(2)/25)*Calculateur!CG136*Calculateur!CI136*VLOOKUP('Données projet'!$B$12,Paramètres!$A$1:$I$89,3,0)*0.475*44/12</f>
        <v>20.398949009576441</v>
      </c>
      <c r="CM136" s="21">
        <f>EXP(-LN(2)/2)*CM135+(1-EXP(-LN(2)/2))/(LN(2)/2)*CG136*CJ136*VLOOKUP('Données projet'!$B$12,Paramètres!$A$1:$I$89,3,0)*0.475*44/12</f>
        <v>0.24121696758477182</v>
      </c>
      <c r="CN136" s="22">
        <f t="shared" si="120"/>
        <v>55.177524747417436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9.0229999999999961</v>
      </c>
      <c r="CT136" s="12">
        <f>IF('Données projet'!$A$140&gt;35,CT135+CS136-DB135,IF(A136&lt;'Données projet'!$A$140,$CQ$205^A136,IF(A136='Données projet'!$A$140,'Données projet'!$B$140,CT135+CS136-DB135)))</f>
        <v>475.25700000000086</v>
      </c>
      <c r="CU136" s="17">
        <f>CT136*VLOOKUP('Données projet'!$B$13,Paramètres!$A$1:$I$89,3,0)*VLOOKUP('Données projet'!$B$13,Paramètres!$A$1:$I$89,5,0)</f>
        <v>511.56663480000088</v>
      </c>
      <c r="CV136" s="13">
        <f t="shared" si="149"/>
        <v>114.0612321656468</v>
      </c>
      <c r="CW136" s="20">
        <f t="shared" si="121"/>
        <v>1089.6352016318363</v>
      </c>
      <c r="CX136" s="59">
        <f t="shared" si="122"/>
        <v>1374.0274333121697</v>
      </c>
      <c r="CY136" s="59">
        <f ca="1">AVERAGE(OFFSET($CX$3,0,0,'Données projet'!$E$13+1,1))-AVERAGE(OFFSET($H$3,0,0,'Données projet'!$E$13+1,1))</f>
        <v>792.94606354161886</v>
      </c>
      <c r="CZ136" s="59">
        <f t="shared" si="150"/>
        <v>346.14443498270919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38.436737986252865</v>
      </c>
      <c r="DG136" s="21">
        <f>EXP(-LN(2)/25)*DG135+(1-EXP(-LN(2)/25))/(LN(2)/25)*Calculateur!DB136*Calculateur!DD136*VLOOKUP('Données projet'!$B$13,Paramètres!$A$1:$I$89,3,0)*0.475*44/12</f>
        <v>22.702056155818948</v>
      </c>
      <c r="DH136" s="21">
        <f>EXP(-LN(2)/2)*DH135+(1-EXP(-LN(2)/2))/(LN(2)/2)*DB136*DE136*VLOOKUP('Données projet'!$B$13,Paramètres!$A$1:$I$89,3,0)*0.475*44/12</f>
        <v>0.26845114134434278</v>
      </c>
      <c r="DI136" s="22">
        <f t="shared" si="123"/>
        <v>61.40724528341616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269.21114382490202</v>
      </c>
      <c r="DU136" s="59">
        <f t="shared" si="152"/>
        <v>233.07776944102309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4.6147896629575254</v>
      </c>
      <c r="EB136" s="21">
        <f>EXP(-LN(2)/25)*EB135+(1-EXP(-LN(2)/25))/(LN(2)/25)*Calculateur!DW136*Calculateur!DY136*VLOOKUP('Données projet'!$B$14,Paramètres!$A$1:$I$89,3,0)*0.475*44/12</f>
        <v>19.385512198119184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24.000301861076707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9.0229999999999961</v>
      </c>
      <c r="FE136" s="12">
        <f>IF('Données projet'!$A$218&gt;35,FE135+FD136-FM135,IF(A136&lt;'Données projet'!$A$218,$FB$205^A136,IF(A136='Données projet'!$A$218,'Données projet'!$B$218,FE135+FD136-FM135)))</f>
        <v>475.25700000000086</v>
      </c>
      <c r="FF136" s="17">
        <f>FE136*VLOOKUP('Données projet'!$B$16,Paramètres!$A$1:$I$89,3,0)*VLOOKUP('Données projet'!$B$16,Paramètres!$A$1:$I$89,5,0)</f>
        <v>541.22267160000104</v>
      </c>
      <c r="FG136" s="13">
        <f t="shared" si="155"/>
        <v>119.88451245720488</v>
      </c>
      <c r="FH136" s="20">
        <f t="shared" si="130"/>
        <v>1151.4283455663001</v>
      </c>
      <c r="FI136" s="59">
        <f t="shared" si="131"/>
        <v>1435.8205772466335</v>
      </c>
      <c r="FJ136" s="59">
        <f ca="1">AVERAGE(OFFSET($FI$3,0,0,'Données projet'!$E$16+1,1))-AVERAGE(OFFSET($H$3,0,0,'Données projet'!$E$16+1,1))</f>
        <v>833.39050463936144</v>
      </c>
      <c r="FK136" s="59">
        <f t="shared" si="156"/>
        <v>362.56178526355507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40.664954681108114</v>
      </c>
      <c r="FR136" s="21">
        <f>EXP(-LN(2)/25)*FR135+(1-EXP(-LN(2)/25))/(LN(2)/25)*Calculateur!FM136*Calculateur!FO136*VLOOKUP('Données projet'!$B$16,Paramètres!$A$1:$I$89,3,0)*0.475*44/12</f>
        <v>24.018117382243243</v>
      </c>
      <c r="FS136" s="21">
        <f>EXP(-LN(2)/2)*FS135+(1-EXP(-LN(2)/2))/(LN(2)/2)*FM136*FP136*VLOOKUP('Données projet'!$B$16,Paramètres!$A$1:$I$89,3,0)*0.475*44/12</f>
        <v>0.28401352634981208</v>
      </c>
      <c r="FT136" s="22">
        <f t="shared" si="132"/>
        <v>64.967085589701171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1220.9568268313151</v>
      </c>
      <c r="S137" s="59">
        <f ca="1">AVERAGE(OFFSET($R$3,0,0,'Données projet'!$E$9+1,1))-AVERAGE(OFFSET($H$3,0,0,'Données projet'!$E$9+1,1))</f>
        <v>681.47578137804555</v>
      </c>
      <c r="T137" s="59">
        <f t="shared" si="142"/>
        <v>300.88511065995885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491.05992000000094</v>
      </c>
      <c r="AK137" s="13">
        <f t="shared" si="143"/>
        <v>110.01160457151111</v>
      </c>
      <c r="AL137" s="20">
        <f t="shared" si="112"/>
        <v>1046.8662386287169</v>
      </c>
      <c r="AM137" s="59">
        <f t="shared" si="113"/>
        <v>1331.4135784334212</v>
      </c>
      <c r="AN137" s="59">
        <f ca="1">AVERAGE(OFFSET($AM$3,0,0,'Données projet'!$E$10+1,1))-AVERAGE(OFFSET($H$3,0,0,'Données projet'!$E$10+1,1))</f>
        <v>752.45542076695506</v>
      </c>
      <c r="AO137" s="59">
        <f t="shared" si="144"/>
        <v>329.70629768420724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50.146692926414062</v>
      </c>
      <c r="AV137" s="21">
        <f>EXP(-LN(2)/25)*AV136+(1-EXP(-LN(2)/25))/(LN(2)/25)*Calculateur!AQ137*Calculateur!AS137*VLOOKUP('Données projet'!$B$10,Paramètres!$A$1:$I$89,3,0)*0.475*44/12</f>
        <v>26.637403018620649</v>
      </c>
      <c r="AW137" s="21">
        <f>EXP(-LN(2)/2)*AW136+(1-EXP(-LN(2)/2))/(LN(2)/2)*AQ137*AT137*VLOOKUP('Données projet'!$B$10,Paramètres!$A$1:$I$89,3,0)*0.475*44/12</f>
        <v>0.17881935449305006</v>
      </c>
      <c r="AX137" s="21">
        <f t="shared" si="114"/>
        <v>76.962915299527751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460.84084800000079</v>
      </c>
      <c r="BF137" s="13">
        <f t="shared" si="145"/>
        <v>104.00774952580478</v>
      </c>
      <c r="BG137" s="20">
        <f t="shared" si="115"/>
        <v>983.77797402411124</v>
      </c>
      <c r="BH137" s="59">
        <f t="shared" si="116"/>
        <v>1268.3253138288155</v>
      </c>
      <c r="BI137" s="59">
        <f ca="1">AVERAGE(OFFSET($BH$3,0,0,'Données projet'!$E$11+1,1))-AVERAGE(OFFSET($H$3,0,0,'Données projet'!$E$11+1,1))</f>
        <v>711.91538686535682</v>
      </c>
      <c r="BJ137" s="59">
        <f t="shared" si="146"/>
        <v>313.24593837351722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47.060742592480885</v>
      </c>
      <c r="BQ137" s="21">
        <f>EXP(-LN(2)/25)*BQ136+(1-EXP(-LN(2)/25))/(LN(2)/25)*Calculateur!BL137*Calculateur!BN137*VLOOKUP('Données projet'!$B$11,Paramètres!$A$1:$I$89,3,0)*0.475*44/12</f>
        <v>24.998178217474756</v>
      </c>
      <c r="BR137" s="21">
        <f>EXP(-LN(2)/2)*BR136+(1-EXP(-LN(2)/2))/(LN(2)/2)*BL137*BO137*VLOOKUP('Données projet'!$B$11,Paramètres!$A$1:$I$89,3,0)*0.475*44/12</f>
        <v>0.16781508652424712</v>
      </c>
      <c r="BS137" s="22">
        <f t="shared" si="117"/>
        <v>72.22673589647988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9.0229999999999961</v>
      </c>
      <c r="BX137" s="12">
        <f t="array" ref="BX137">INDEX(BW:BW,MIN(IF(ISNUMBER(BW137:BW333),ROW(BW137:BW333),"")))</f>
        <v>9.0229999999999961</v>
      </c>
      <c r="BY137" s="12">
        <f>IF('Données projet'!$A$114&gt;35,BY136+BX137-CG136,IF(A137&lt;'Données projet'!$A$114,$BV$205^A137,IF(A137='Données projet'!$A$114,'Données projet'!$B$114,BY136+BX137-CG136)))</f>
        <v>484.28000000000088</v>
      </c>
      <c r="BZ137" s="13">
        <f>BY137*VLOOKUP('Données projet'!$B$12,Paramètres!$A$1:$I$89,3,0)*VLOOKUP('Données projet'!$B$12,Paramètres!$A$1:$I$89,5,0)</f>
        <v>468.39561600000081</v>
      </c>
      <c r="CA137" s="13">
        <f t="shared" si="147"/>
        <v>105.51289862370277</v>
      </c>
      <c r="CB137" s="20">
        <f t="shared" si="118"/>
        <v>999.55732963628373</v>
      </c>
      <c r="CC137" s="59">
        <f t="shared" si="119"/>
        <v>1284.1046694409879</v>
      </c>
      <c r="CD137" s="59">
        <f ca="1">AVERAGE(OFFSET($CC$3,0,0,'Données projet'!$E$12+1,1))-AVERAGE(OFFSET($H$3,0,0,'Données projet'!$E$12+1,1))</f>
        <v>722.05521609092671</v>
      </c>
      <c r="CE137" s="59">
        <f t="shared" si="148"/>
        <v>317.36319714884644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60.779999999999973</v>
      </c>
      <c r="CH137" s="16">
        <f>IF(ISNA(VLOOKUP(A137,'Données projet'!$A$113:$I$133,5,0)),0%,VLOOKUP(A137,'Données projet'!$A$113:$I$133,5,0)*VLOOKUP('Données projet'!$B$12,Paramètres!$A$1:$I$89,7,0))</f>
        <v>0.215</v>
      </c>
      <c r="CI137" s="16">
        <f>IF(ISNA(VLOOKUP(A137,'Données projet'!$A$113:$I$133,6,0)),0%,VLOOKUP(A137,'Données projet'!$A$113:$I$133,6,0)*VLOOKUP('Données projet'!$B$12,Paramètres!$A$1:$I$89,7,0))</f>
        <v>8.6000000000000007E-2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47.832230175964185</v>
      </c>
      <c r="CL137" s="21">
        <f>EXP(-LN(2)/25)*CL136+(1-EXP(-LN(2)/25))/(LN(2)/25)*Calculateur!CG137*Calculateur!CI137*VLOOKUP('Données projet'!$B$12,Paramètres!$A$1:$I$89,3,0)*0.475*44/12</f>
        <v>25.407984417761231</v>
      </c>
      <c r="CM137" s="21">
        <f>EXP(-LN(2)/2)*CM136+(1-EXP(-LN(2)/2))/(LN(2)/2)*CG137*CJ137*VLOOKUP('Données projet'!$B$12,Paramètres!$A$1:$I$89,3,0)*0.475*44/12</f>
        <v>0.17056615351644777</v>
      </c>
      <c r="CN137" s="22">
        <f t="shared" si="120"/>
        <v>73.410780747241859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484.28</v>
      </c>
      <c r="CR137" s="12">
        <f>VLOOKUP(A137,'Données projet'!$A$139:$I$159,9,0)</f>
        <v>9.0229999999999961</v>
      </c>
      <c r="CS137" s="12">
        <f t="array" ref="CS137">INDEX(CR:CR,MIN(IF(ISNUMBER(CR137:CR333),ROW(CR137:CR333),"")))</f>
        <v>9.0229999999999961</v>
      </c>
      <c r="CT137" s="12">
        <f>IF('Données projet'!$A$140&gt;35,CT136+CS137-DB136,IF(A137&lt;'Données projet'!$A$140,$CQ$205^A137,IF(A137='Données projet'!$A$140,'Données projet'!$B$140,CT136+CS137-DB136)))</f>
        <v>484.28000000000088</v>
      </c>
      <c r="CU137" s="17">
        <f>CT137*VLOOKUP('Données projet'!$B$13,Paramètres!$A$1:$I$89,3,0)*VLOOKUP('Données projet'!$B$13,Paramètres!$A$1:$I$89,5,0)</f>
        <v>521.27899200000093</v>
      </c>
      <c r="CV137" s="13">
        <f t="shared" si="149"/>
        <v>115.97257863860555</v>
      </c>
      <c r="CW137" s="20">
        <f t="shared" si="121"/>
        <v>1109.8798188622395</v>
      </c>
      <c r="CX137" s="59">
        <f t="shared" si="122"/>
        <v>1394.4271586669438</v>
      </c>
      <c r="CY137" s="59">
        <f ca="1">AVERAGE(OFFSET($CX$3,0,0,'Données projet'!$E$13+1,1))-AVERAGE(OFFSET($H$3,0,0,'Données projet'!$E$13+1,1))</f>
        <v>792.94606354161886</v>
      </c>
      <c r="CZ137" s="59">
        <f t="shared" si="150"/>
        <v>346.14443498270919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60.779999999999973</v>
      </c>
      <c r="DC137" s="16">
        <f>IF(ISNA(VLOOKUP(A137,'Données projet'!$A$139:$I$159,5,0)),0%,VLOOKUP(A137,'Données projet'!$A$139:$I$159,5,0)*VLOOKUP('Données projet'!$B$13,Paramètres!$A$1:$I$89,7,0))</f>
        <v>0.215</v>
      </c>
      <c r="DD137" s="16">
        <f>IF(ISNA(VLOOKUP(A137,'Données projet'!$A$139:$I$159,6,0)),0%,VLOOKUP(A137,'Données projet'!$A$139:$I$159,6,0)*VLOOKUP('Données projet'!$B$13,Paramètres!$A$1:$I$89,7,0))</f>
        <v>8.6000000000000007E-2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53.232643260347203</v>
      </c>
      <c r="DG137" s="21">
        <f>EXP(-LN(2)/25)*DG136+(1-EXP(-LN(2)/25))/(LN(2)/25)*Calculateur!DB137*Calculateur!DD137*VLOOKUP('Données projet'!$B$13,Paramètres!$A$1:$I$89,3,0)*0.475*44/12</f>
        <v>28.276627819766535</v>
      </c>
      <c r="DH137" s="21">
        <f>EXP(-LN(2)/2)*DH136+(1-EXP(-LN(2)/2))/(LN(2)/2)*DB137*DE137*VLOOKUP('Données projet'!$B$13,Paramètres!$A$1:$I$89,3,0)*0.475*44/12</f>
        <v>0.18982362246185314</v>
      </c>
      <c r="DI137" s="22">
        <f t="shared" si="123"/>
        <v>81.699094702575593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269.21114382490202</v>
      </c>
      <c r="DU137" s="59">
        <f t="shared" si="152"/>
        <v>233.07776944102309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4.5242964524106899</v>
      </c>
      <c r="EB137" s="21">
        <f>EXP(-LN(2)/25)*EB136+(1-EXP(-LN(2)/25))/(LN(2)/25)*Calculateur!DW137*Calculateur!DY137*VLOOKUP('Données projet'!$B$14,Paramètres!$A$1:$I$89,3,0)*0.475*44/12</f>
        <v>18.855414347621835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23.379710800032527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>
        <f>VLOOKUP(A137,'Données projet'!$A$217:$I$237,2,0)</f>
        <v>484.28</v>
      </c>
      <c r="FC137" s="12">
        <f>VLOOKUP(A137,'Données projet'!$A$217:$I$237,9,0)</f>
        <v>9.0229999999999961</v>
      </c>
      <c r="FD137" s="12">
        <f t="array" ref="FD137">INDEX(FC:FC,MIN(IF(ISNUMBER(FC137:FC333),ROW(FC137:FC333),"")))</f>
        <v>9.0229999999999961</v>
      </c>
      <c r="FE137" s="12">
        <f>IF('Données projet'!$A$218&gt;35,FE136+FD137-FM136,IF(A137&lt;'Données projet'!$A$218,$FB$205^A137,IF(A137='Données projet'!$A$218,'Données projet'!$B$218,FE136+FD137-FM136)))</f>
        <v>484.28000000000088</v>
      </c>
      <c r="FF137" s="17">
        <f>FE137*VLOOKUP('Données projet'!$B$16,Paramètres!$A$1:$I$89,3,0)*VLOOKUP('Données projet'!$B$16,Paramètres!$A$1:$I$89,5,0)</f>
        <v>551.49806400000102</v>
      </c>
      <c r="FG137" s="13">
        <f t="shared" si="155"/>
        <v>121.89344078190231</v>
      </c>
      <c r="FH137" s="20">
        <f t="shared" si="130"/>
        <v>1172.8235374951482</v>
      </c>
      <c r="FI137" s="59">
        <f t="shared" si="131"/>
        <v>1457.3708772998525</v>
      </c>
      <c r="FJ137" s="59">
        <f ca="1">AVERAGE(OFFSET($FI$3,0,0,'Données projet'!$E$16+1,1))-AVERAGE(OFFSET($H$3,0,0,'Données projet'!$E$16+1,1))</f>
        <v>833.39050463936144</v>
      </c>
      <c r="FK137" s="59">
        <f t="shared" si="156"/>
        <v>362.56178526355507</v>
      </c>
      <c r="FL137" s="15">
        <f>IF(ISNA(VLOOKUP(A137,'Données projet'!$A$217:$I$237,3,0)),0,VLOOKUP(A137,'Données projet'!$A$217:$I$237,3,0))</f>
        <v>11</v>
      </c>
      <c r="FM137" s="15">
        <f>IF(ISNA(VLOOKUP(A137,'Données projet'!$A$217:$I$237,4,0)),0,VLOOKUP(A137,'Données projet'!$A$217:$I$237,4,0))</f>
        <v>60.779999999999973</v>
      </c>
      <c r="FN137" s="16">
        <f>IF(ISNA(VLOOKUP(A137,'Données projet'!$A$217:$I$237,5,0)),0%,VLOOKUP(A137,'Données projet'!$A$217:$I$237,5,0)*VLOOKUP('Données projet'!$B$16,Paramètres!$A$1:$I$89,7,0))</f>
        <v>0.215</v>
      </c>
      <c r="FO137" s="16">
        <f>IF(ISNA(VLOOKUP(A137,'Données projet'!$A$217:$I$237,6,0)),0%,VLOOKUP(A137,'Données projet'!$A$217:$I$237,6,0)*VLOOKUP('Données projet'!$B$16,Paramètres!$A$1:$I$89,7,0))</f>
        <v>8.6000000000000007E-2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56.318593594280387</v>
      </c>
      <c r="FR137" s="21">
        <f>EXP(-LN(2)/25)*FR136+(1-EXP(-LN(2)/25))/(LN(2)/25)*Calculateur!FM137*Calculateur!FO137*VLOOKUP('Données projet'!$B$16,Paramètres!$A$1:$I$89,3,0)*0.475*44/12</f>
        <v>29.915852620912432</v>
      </c>
      <c r="FS137" s="21">
        <f>EXP(-LN(2)/2)*FS136+(1-EXP(-LN(2)/2))/(LN(2)/2)*FM137*FP137*VLOOKUP('Données projet'!$B$16,Paramètres!$A$1:$I$89,3,0)*0.475*44/12</f>
        <v>0.20082789043065633</v>
      </c>
      <c r="FT137" s="22">
        <f t="shared" si="132"/>
        <v>86.435274105623478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1123.3099582720315</v>
      </c>
      <c r="S138" s="59">
        <f ca="1">AVERAGE(OFFSET($R$3,0,0,'Données projet'!$E$9+1,1))-AVERAGE(OFFSET($H$3,0,0,'Données projet'!$E$9+1,1))</f>
        <v>681.47578137804555</v>
      </c>
      <c r="T138" s="59">
        <f t="shared" si="142"/>
        <v>300.88511065995885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438.70101600000095</v>
      </c>
      <c r="AK138" s="13">
        <f t="shared" si="143"/>
        <v>99.580035175975198</v>
      </c>
      <c r="AL138" s="20">
        <f t="shared" si="112"/>
        <v>937.50616413149157</v>
      </c>
      <c r="AM138" s="59">
        <f t="shared" si="113"/>
        <v>1222.2059212813788</v>
      </c>
      <c r="AN138" s="59">
        <f ca="1">AVERAGE(OFFSET($AM$3,0,0,'Données projet'!$E$10+1,1))-AVERAGE(OFFSET($H$3,0,0,'Données projet'!$E$10+1,1))</f>
        <v>752.45542076695506</v>
      </c>
      <c r="AO138" s="59">
        <f t="shared" si="144"/>
        <v>329.70629768420724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49.163346864589606</v>
      </c>
      <c r="AV138" s="21">
        <f>EXP(-LN(2)/25)*AV137+(1-EXP(-LN(2)/25))/(LN(2)/25)*Calculateur!AQ138*Calculateur!AS138*VLOOKUP('Données projet'!$B$10,Paramètres!$A$1:$I$89,3,0)*0.475*44/12</f>
        <v>25.909001832276324</v>
      </c>
      <c r="AW138" s="21">
        <f>EXP(-LN(2)/2)*AW137+(1-EXP(-LN(2)/2))/(LN(2)/2)*AQ138*AT138*VLOOKUP('Données projet'!$B$10,Paramètres!$A$1:$I$89,3,0)*0.475*44/12</f>
        <v>0.12644437816943682</v>
      </c>
      <c r="AX138" s="21">
        <f t="shared" si="114"/>
        <v>75.198793075035368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411.70403040000082</v>
      </c>
      <c r="BF138" s="13">
        <f t="shared" si="145"/>
        <v>94.145480349040895</v>
      </c>
      <c r="BG138" s="20">
        <f t="shared" si="115"/>
        <v>881.0212312212476</v>
      </c>
      <c r="BH138" s="59">
        <f t="shared" si="116"/>
        <v>1165.7209883711348</v>
      </c>
      <c r="BI138" s="59">
        <f ca="1">AVERAGE(OFFSET($BH$3,0,0,'Données projet'!$E$11+1,1))-AVERAGE(OFFSET($H$3,0,0,'Données projet'!$E$11+1,1))</f>
        <v>711.91538686535682</v>
      </c>
      <c r="BJ138" s="59">
        <f t="shared" si="146"/>
        <v>313.24593837351722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46.137910134461009</v>
      </c>
      <c r="BQ138" s="21">
        <f>EXP(-LN(2)/25)*BQ137+(1-EXP(-LN(2)/25))/(LN(2)/25)*Calculateur!BL138*Calculateur!BN138*VLOOKUP('Données projet'!$B$11,Paramètres!$A$1:$I$89,3,0)*0.475*44/12</f>
        <v>24.314601719520851</v>
      </c>
      <c r="BR138" s="21">
        <f>EXP(-LN(2)/2)*BR137+(1-EXP(-LN(2)/2))/(LN(2)/2)*BL138*BO138*VLOOKUP('Données projet'!$B$11,Paramètres!$A$1:$I$89,3,0)*0.475*44/12</f>
        <v>0.11866318566670235</v>
      </c>
      <c r="BS138" s="22">
        <f t="shared" si="117"/>
        <v>70.571175039648566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9.1440000000000055</v>
      </c>
      <c r="BY138" s="12">
        <f>IF('Données projet'!$A$114&gt;35,BY137+BX138-CG137,IF(A138&lt;'Données projet'!$A$114,$BV$205^A138,IF(A138='Données projet'!$A$114,'Données projet'!$B$114,BY137+BX138-CG137)))</f>
        <v>432.64400000000091</v>
      </c>
      <c r="BZ138" s="13">
        <f>BY138*VLOOKUP('Données projet'!$B$12,Paramètres!$A$1:$I$89,3,0)*VLOOKUP('Données projet'!$B$12,Paramètres!$A$1:$I$89,5,0)</f>
        <v>418.45327680000094</v>
      </c>
      <c r="CA138" s="13">
        <f t="shared" si="147"/>
        <v>95.507907528405781</v>
      </c>
      <c r="CB138" s="20">
        <f t="shared" si="118"/>
        <v>895.14906270530844</v>
      </c>
      <c r="CC138" s="59">
        <f t="shared" si="119"/>
        <v>1179.8488198551956</v>
      </c>
      <c r="CD138" s="59">
        <f ca="1">AVERAGE(OFFSET($CC$3,0,0,'Données projet'!$E$12+1,1))-AVERAGE(OFFSET($H$3,0,0,'Données projet'!$E$12+1,1))</f>
        <v>722.05521609092671</v>
      </c>
      <c r="CE138" s="59">
        <f t="shared" si="148"/>
        <v>317.36319714884644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46.894269316993167</v>
      </c>
      <c r="CL138" s="21">
        <f>EXP(-LN(2)/25)*CL137+(1-EXP(-LN(2)/25))/(LN(2)/25)*Calculateur!CG138*Calculateur!CI138*VLOOKUP('Données projet'!$B$12,Paramètres!$A$1:$I$89,3,0)*0.475*44/12</f>
        <v>24.713201747709721</v>
      </c>
      <c r="CM138" s="21">
        <f>EXP(-LN(2)/2)*CM137+(1-EXP(-LN(2)/2))/(LN(2)/2)*CG138*CJ138*VLOOKUP('Données projet'!$B$12,Paramètres!$A$1:$I$89,3,0)*0.475*44/12</f>
        <v>0.12060848379238591</v>
      </c>
      <c r="CN138" s="22">
        <f t="shared" si="120"/>
        <v>71.728079548495273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9.1440000000000055</v>
      </c>
      <c r="CT138" s="12">
        <f>IF('Données projet'!$A$140&gt;35,CT137+CS138-DB137,IF(A138&lt;'Données projet'!$A$140,$CQ$205^A138,IF(A138='Données projet'!$A$140,'Données projet'!$B$140,CT137+CS138-DB137)))</f>
        <v>432.64400000000091</v>
      </c>
      <c r="CU138" s="17">
        <f>CT138*VLOOKUP('Données projet'!$B$13,Paramètres!$A$1:$I$89,3,0)*VLOOKUP('Données projet'!$B$13,Paramètres!$A$1:$I$89,5,0)</f>
        <v>465.69800160000102</v>
      </c>
      <c r="CV138" s="13">
        <f t="shared" si="149"/>
        <v>104.97577510356142</v>
      </c>
      <c r="CW138" s="20">
        <f t="shared" si="121"/>
        <v>993.92349442537125</v>
      </c>
      <c r="CX138" s="59">
        <f t="shared" si="122"/>
        <v>1278.6232515752583</v>
      </c>
      <c r="CY138" s="59">
        <f ca="1">AVERAGE(OFFSET($CX$3,0,0,'Données projet'!$E$13+1,1))-AVERAGE(OFFSET($H$3,0,0,'Données projet'!$E$13+1,1))</f>
        <v>792.94606354161886</v>
      </c>
      <c r="CZ138" s="59">
        <f t="shared" si="150"/>
        <v>346.14443498270919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52.188783594718167</v>
      </c>
      <c r="DG138" s="21">
        <f>EXP(-LN(2)/25)*DG137+(1-EXP(-LN(2)/25))/(LN(2)/25)*Calculateur!DB138*Calculateur!DD138*VLOOKUP('Données projet'!$B$13,Paramètres!$A$1:$I$89,3,0)*0.475*44/12</f>
        <v>27.50340194503179</v>
      </c>
      <c r="DH138" s="21">
        <f>EXP(-LN(2)/2)*DH137+(1-EXP(-LN(2)/2))/(LN(2)/2)*DB138*DE138*VLOOKUP('Données projet'!$B$13,Paramètres!$A$1:$I$89,3,0)*0.475*44/12</f>
        <v>0.13422557067217139</v>
      </c>
      <c r="DI138" s="22">
        <f t="shared" si="123"/>
        <v>79.826411110422129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269.21114382490202</v>
      </c>
      <c r="DU138" s="59">
        <f t="shared" si="152"/>
        <v>233.07776944102309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4.4355777585272698</v>
      </c>
      <c r="EB138" s="21">
        <f>EXP(-LN(2)/25)*EB137+(1-EXP(-LN(2)/25))/(LN(2)/25)*Calculateur!DW138*Calculateur!DY138*VLOOKUP('Données projet'!$B$14,Paramètres!$A$1:$I$89,3,0)*0.475*44/12</f>
        <v>18.339812050722969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22.775389809250239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9.1440000000000055</v>
      </c>
      <c r="FE138" s="12">
        <f>IF('Données projet'!$A$218&gt;35,FE137+FD138-FM137,IF(A138&lt;'Données projet'!$A$218,$FB$205^A138,IF(A138='Données projet'!$A$218,'Données projet'!$B$218,FE137+FD138-FM137)))</f>
        <v>432.64400000000091</v>
      </c>
      <c r="FF138" s="17">
        <f>FE138*VLOOKUP('Données projet'!$B$16,Paramètres!$A$1:$I$89,3,0)*VLOOKUP('Données projet'!$B$16,Paramètres!$A$1:$I$89,5,0)</f>
        <v>492.69498720000104</v>
      </c>
      <c r="FG138" s="13">
        <f t="shared" si="155"/>
        <v>110.33520661806435</v>
      </c>
      <c r="FH138" s="20">
        <f t="shared" si="130"/>
        <v>1050.277587566464</v>
      </c>
      <c r="FI138" s="59">
        <f t="shared" si="131"/>
        <v>1334.9773447163511</v>
      </c>
      <c r="FJ138" s="59">
        <f ca="1">AVERAGE(OFFSET($FI$3,0,0,'Données projet'!$E$16+1,1))-AVERAGE(OFFSET($H$3,0,0,'Données projet'!$E$16+1,1))</f>
        <v>833.39050463936144</v>
      </c>
      <c r="FK138" s="59">
        <f t="shared" si="156"/>
        <v>362.56178526355507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55.214220324846764</v>
      </c>
      <c r="FR138" s="21">
        <f>EXP(-LN(2)/25)*FR137+(1-EXP(-LN(2)/25))/(LN(2)/25)*Calculateur!FM138*Calculateur!FO138*VLOOKUP('Données projet'!$B$16,Paramètres!$A$1:$I$89,3,0)*0.475*44/12</f>
        <v>29.097802057787266</v>
      </c>
      <c r="FS138" s="21">
        <f>EXP(-LN(2)/2)*FS137+(1-EXP(-LN(2)/2))/(LN(2)/2)*FM138*FP138*VLOOKUP('Données projet'!$B$16,Paramètres!$A$1:$I$89,3,0)*0.475*44/12</f>
        <v>0.14200676317490604</v>
      </c>
      <c r="FT138" s="22">
        <f t="shared" si="132"/>
        <v>84.454029145808931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1140.7945101117734</v>
      </c>
      <c r="S139" s="59">
        <f ca="1">AVERAGE(OFFSET($R$3,0,0,'Données projet'!$E$9+1,1))-AVERAGE(OFFSET($H$3,0,0,'Données projet'!$E$9+1,1))</f>
        <v>681.47578137804555</v>
      </c>
      <c r="T139" s="59">
        <f t="shared" si="142"/>
        <v>300.88511065995885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447.97303200000096</v>
      </c>
      <c r="AK139" s="13">
        <f t="shared" si="143"/>
        <v>101.43742531380877</v>
      </c>
      <c r="AL139" s="20">
        <f t="shared" si="112"/>
        <v>956.88987982155186</v>
      </c>
      <c r="AM139" s="59">
        <f t="shared" si="113"/>
        <v>1241.7394102164371</v>
      </c>
      <c r="AN139" s="59">
        <f ca="1">AVERAGE(OFFSET($AM$3,0,0,'Données projet'!$E$10+1,1))-AVERAGE(OFFSET($H$3,0,0,'Données projet'!$E$10+1,1))</f>
        <v>752.45542076695506</v>
      </c>
      <c r="AO139" s="59">
        <f t="shared" si="144"/>
        <v>329.70629768420724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48.199283619255652</v>
      </c>
      <c r="AV139" s="21">
        <f>EXP(-LN(2)/25)*AV138+(1-EXP(-LN(2)/25))/(LN(2)/25)*Calculateur!AQ139*Calculateur!AS139*VLOOKUP('Données projet'!$B$10,Paramètres!$A$1:$I$89,3,0)*0.475*44/12</f>
        <v>25.200518814677537</v>
      </c>
      <c r="AW139" s="21">
        <f>EXP(-LN(2)/2)*AW138+(1-EXP(-LN(2)/2))/(LN(2)/2)*AQ139*AT139*VLOOKUP('Données projet'!$B$10,Paramètres!$A$1:$I$89,3,0)*0.475*44/12</f>
        <v>8.9409677246525029E-2</v>
      </c>
      <c r="AX139" s="21">
        <f t="shared" si="114"/>
        <v>73.489212111179711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420.40546080000092</v>
      </c>
      <c r="BF139" s="13">
        <f t="shared" si="145"/>
        <v>95.901503897465091</v>
      </c>
      <c r="BG139" s="20">
        <f t="shared" si="115"/>
        <v>899.2346301814199</v>
      </c>
      <c r="BH139" s="59">
        <f t="shared" si="116"/>
        <v>1184.0841605763051</v>
      </c>
      <c r="BI139" s="59">
        <f ca="1">AVERAGE(OFFSET($BH$3,0,0,'Données projet'!$E$11+1,1))-AVERAGE(OFFSET($H$3,0,0,'Données projet'!$E$11+1,1))</f>
        <v>711.91538686535682</v>
      </c>
      <c r="BJ139" s="59">
        <f t="shared" si="146"/>
        <v>313.24593837351722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45.233173858070685</v>
      </c>
      <c r="BQ139" s="21">
        <f>EXP(-LN(2)/25)*BQ138+(1-EXP(-LN(2)/25))/(LN(2)/25)*Calculateur!BL139*Calculateur!BN139*VLOOKUP('Données projet'!$B$11,Paramètres!$A$1:$I$89,3,0)*0.475*44/12</f>
        <v>23.64971765685122</v>
      </c>
      <c r="BR139" s="21">
        <f>EXP(-LN(2)/2)*BR138+(1-EXP(-LN(2)/2))/(LN(2)/2)*BL139*BO139*VLOOKUP('Données projet'!$B$11,Paramètres!$A$1:$I$89,3,0)*0.475*44/12</f>
        <v>8.3907543262123574E-2</v>
      </c>
      <c r="BS139" s="22">
        <f t="shared" si="117"/>
        <v>68.966799058184037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9.1440000000000055</v>
      </c>
      <c r="BY139" s="12">
        <f>IF('Données projet'!$A$114&gt;35,BY138+BX139-CG138,IF(A139&lt;'Données projet'!$A$114,$BV$205^A139,IF(A139='Données projet'!$A$114,'Données projet'!$B$114,BY138+BX139-CG138)))</f>
        <v>441.78800000000092</v>
      </c>
      <c r="BZ139" s="13">
        <f>BY139*VLOOKUP('Données projet'!$B$12,Paramètres!$A$1:$I$89,3,0)*VLOOKUP('Données projet'!$B$12,Paramètres!$A$1:$I$89,5,0)</f>
        <v>427.29735360000092</v>
      </c>
      <c r="CA139" s="13">
        <f t="shared" si="147"/>
        <v>97.289343387661134</v>
      </c>
      <c r="CB139" s="20">
        <f t="shared" si="118"/>
        <v>913.6551639201781</v>
      </c>
      <c r="CC139" s="59">
        <f t="shared" si="119"/>
        <v>1198.5046943150633</v>
      </c>
      <c r="CD139" s="59">
        <f ca="1">AVERAGE(OFFSET($CC$3,0,0,'Données projet'!$E$12+1,1))-AVERAGE(OFFSET($H$3,0,0,'Données projet'!$E$12+1,1))</f>
        <v>722.05521609092671</v>
      </c>
      <c r="CE139" s="59">
        <f t="shared" si="148"/>
        <v>317.36319714884644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45.974701298366938</v>
      </c>
      <c r="CL139" s="21">
        <f>EXP(-LN(2)/25)*CL138+(1-EXP(-LN(2)/25))/(LN(2)/25)*Calculateur!CG139*Calculateur!CI139*VLOOKUP('Données projet'!$B$12,Paramètres!$A$1:$I$89,3,0)*0.475*44/12</f>
        <v>24.037417946307801</v>
      </c>
      <c r="CM139" s="21">
        <f>EXP(-LN(2)/2)*CM138+(1-EXP(-LN(2)/2))/(LN(2)/2)*CG139*CJ139*VLOOKUP('Données projet'!$B$12,Paramètres!$A$1:$I$89,3,0)*0.475*44/12</f>
        <v>8.5283076758223886E-2</v>
      </c>
      <c r="CN139" s="22">
        <f t="shared" si="120"/>
        <v>70.097402321432966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9.1440000000000055</v>
      </c>
      <c r="CT139" s="12">
        <f>IF('Données projet'!$A$140&gt;35,CT138+CS139-DB138,IF(A139&lt;'Données projet'!$A$140,$CQ$205^A139,IF(A139='Données projet'!$A$140,'Données projet'!$B$140,CT138+CS139-DB138)))</f>
        <v>441.78800000000092</v>
      </c>
      <c r="CU139" s="17">
        <f>CT139*VLOOKUP('Données projet'!$B$13,Paramètres!$A$1:$I$89,3,0)*VLOOKUP('Données projet'!$B$13,Paramètres!$A$1:$I$89,5,0)</f>
        <v>475.54060320000093</v>
      </c>
      <c r="CV139" s="13">
        <f t="shared" si="149"/>
        <v>106.93380784621144</v>
      </c>
      <c r="CW139" s="20">
        <f t="shared" si="121"/>
        <v>1014.4762659054865</v>
      </c>
      <c r="CX139" s="59">
        <f t="shared" si="122"/>
        <v>1299.3257963003716</v>
      </c>
      <c r="CY139" s="59">
        <f ca="1">AVERAGE(OFFSET($CX$3,0,0,'Données projet'!$E$13+1,1))-AVERAGE(OFFSET($H$3,0,0,'Données projet'!$E$13+1,1))</f>
        <v>792.94606354161886</v>
      </c>
      <c r="CZ139" s="59">
        <f t="shared" si="150"/>
        <v>346.14443498270919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51.165393380440584</v>
      </c>
      <c r="DG139" s="21">
        <f>EXP(-LN(2)/25)*DG138+(1-EXP(-LN(2)/25))/(LN(2)/25)*Calculateur!DB139*Calculateur!DD139*VLOOKUP('Données projet'!$B$13,Paramètres!$A$1:$I$89,3,0)*0.475*44/12</f>
        <v>26.751319972503847</v>
      </c>
      <c r="DH139" s="21">
        <f>EXP(-LN(2)/2)*DH138+(1-EXP(-LN(2)/2))/(LN(2)/2)*DB139*DE139*VLOOKUP('Données projet'!$B$13,Paramètres!$A$1:$I$89,3,0)*0.475*44/12</f>
        <v>9.4911811230926568E-2</v>
      </c>
      <c r="DI139" s="22">
        <f t="shared" si="123"/>
        <v>78.011625164175356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269.21114382490202</v>
      </c>
      <c r="DU139" s="59">
        <f t="shared" si="152"/>
        <v>233.07776944102309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4.3485987841178435</v>
      </c>
      <c r="EB139" s="21">
        <f>EXP(-LN(2)/25)*EB138+(1-EXP(-LN(2)/25))/(LN(2)/25)*Calculateur!DW139*Calculateur!DY139*VLOOKUP('Données projet'!$B$14,Paramètres!$A$1:$I$89,3,0)*0.475*44/12</f>
        <v>17.83830892574715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22.186907709864993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9.1440000000000055</v>
      </c>
      <c r="FE139" s="12">
        <f>IF('Données projet'!$A$218&gt;35,FE138+FD139-FM138,IF(A139&lt;'Données projet'!$A$218,$FB$205^A139,IF(A139='Données projet'!$A$218,'Données projet'!$B$218,FE138+FD139-FM138)))</f>
        <v>441.78800000000092</v>
      </c>
      <c r="FF139" s="17">
        <f>FE139*VLOOKUP('Données projet'!$B$16,Paramètres!$A$1:$I$89,3,0)*VLOOKUP('Données projet'!$B$16,Paramètres!$A$1:$I$89,5,0)</f>
        <v>503.10817440000102</v>
      </c>
      <c r="FG139" s="13">
        <f t="shared" si="155"/>
        <v>112.39320473250653</v>
      </c>
      <c r="FH139" s="20">
        <f t="shared" si="130"/>
        <v>1071.9982353224505</v>
      </c>
      <c r="FI139" s="59">
        <f t="shared" si="131"/>
        <v>1356.8477657173357</v>
      </c>
      <c r="FJ139" s="59">
        <f ca="1">AVERAGE(OFFSET($FI$3,0,0,'Données projet'!$E$16+1,1))-AVERAGE(OFFSET($H$3,0,0,'Données projet'!$E$16+1,1))</f>
        <v>833.39050463936144</v>
      </c>
      <c r="FK139" s="59">
        <f t="shared" si="156"/>
        <v>362.56178526355507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54.131503141625558</v>
      </c>
      <c r="FR139" s="21">
        <f>EXP(-LN(2)/25)*FR138+(1-EXP(-LN(2)/25))/(LN(2)/25)*Calculateur!FM139*Calculateur!FO139*VLOOKUP('Données projet'!$B$16,Paramètres!$A$1:$I$89,3,0)*0.475*44/12</f>
        <v>28.302121130330168</v>
      </c>
      <c r="FS139" s="21">
        <f>EXP(-LN(2)/2)*FS138+(1-EXP(-LN(2)/2))/(LN(2)/2)*FM139*FP139*VLOOKUP('Données projet'!$B$16,Paramètres!$A$1:$I$89,3,0)*0.475*44/12</f>
        <v>0.10041394521532816</v>
      </c>
      <c r="FT139" s="22">
        <f t="shared" si="132"/>
        <v>82.534038217171044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1158.2694244457505</v>
      </c>
      <c r="S140" s="59">
        <f ca="1">AVERAGE(OFFSET($R$3,0,0,'Données projet'!$E$9+1,1))-AVERAGE(OFFSET($H$3,0,0,'Données projet'!$E$9+1,1))</f>
        <v>681.47578137804555</v>
      </c>
      <c r="T140" s="59">
        <f t="shared" si="142"/>
        <v>300.88511065995885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457.24504800000096</v>
      </c>
      <c r="AK140" s="13">
        <f t="shared" si="143"/>
        <v>103.29034565107023</v>
      </c>
      <c r="AL140" s="20">
        <f t="shared" si="112"/>
        <v>976.26581060894898</v>
      </c>
      <c r="AM140" s="59">
        <f t="shared" si="113"/>
        <v>1261.2625160178743</v>
      </c>
      <c r="AN140" s="59">
        <f ca="1">AVERAGE(OFFSET($AM$3,0,0,'Données projet'!$E$10+1,1))-AVERAGE(OFFSET($H$3,0,0,'Données projet'!$E$10+1,1))</f>
        <v>752.45542076695506</v>
      </c>
      <c r="AO140" s="59">
        <f t="shared" si="144"/>
        <v>329.70629768420724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47.25412506614218</v>
      </c>
      <c r="AV140" s="21">
        <f>EXP(-LN(2)/25)*AV139+(1-EXP(-LN(2)/25))/(LN(2)/25)*Calculateur!AQ140*Calculateur!AS140*VLOOKUP('Données projet'!$B$10,Paramètres!$A$1:$I$89,3,0)*0.475*44/12</f>
        <v>24.511409302452492</v>
      </c>
      <c r="AW140" s="21">
        <f>EXP(-LN(2)/2)*AW139+(1-EXP(-LN(2)/2))/(LN(2)/2)*AQ140*AT140*VLOOKUP('Données projet'!$B$10,Paramètres!$A$1:$I$89,3,0)*0.475*44/12</f>
        <v>6.3222189084718411E-2</v>
      </c>
      <c r="AX140" s="21">
        <f t="shared" si="114"/>
        <v>71.828756557679384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429.10689120000086</v>
      </c>
      <c r="BF140" s="13">
        <f t="shared" si="145"/>
        <v>97.653301583534528</v>
      </c>
      <c r="BG140" s="20">
        <f t="shared" si="115"/>
        <v>917.44066909799074</v>
      </c>
      <c r="BH140" s="59">
        <f t="shared" si="116"/>
        <v>1202.4373745069161</v>
      </c>
      <c r="BI140" s="59">
        <f ca="1">AVERAGE(OFFSET($BH$3,0,0,'Données projet'!$E$11+1,1))-AVERAGE(OFFSET($H$3,0,0,'Données projet'!$E$11+1,1))</f>
        <v>711.91538686535682</v>
      </c>
      <c r="BJ140" s="59">
        <f t="shared" si="146"/>
        <v>313.24593837351722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44.346178908225738</v>
      </c>
      <c r="BQ140" s="21">
        <f>EXP(-LN(2)/25)*BQ139+(1-EXP(-LN(2)/25))/(LN(2)/25)*Calculateur!BL140*Calculateur!BN140*VLOOKUP('Données projet'!$B$11,Paramètres!$A$1:$I$89,3,0)*0.475*44/12</f>
        <v>23.003014883840024</v>
      </c>
      <c r="BR140" s="21">
        <f>EXP(-LN(2)/2)*BR139+(1-EXP(-LN(2)/2))/(LN(2)/2)*BL140*BO140*VLOOKUP('Données projet'!$B$11,Paramètres!$A$1:$I$89,3,0)*0.475*44/12</f>
        <v>5.9331592833351189E-2</v>
      </c>
      <c r="BS140" s="22">
        <f t="shared" si="117"/>
        <v>67.408525384899107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9.1440000000000055</v>
      </c>
      <c r="BY140" s="12">
        <f>IF('Données projet'!$A$114&gt;35,BY139+BX140-CG139,IF(A140&lt;'Données projet'!$A$114,$BV$205^A140,IF(A140='Données projet'!$A$114,'Données projet'!$B$114,BY139+BX140-CG139)))</f>
        <v>450.93200000000093</v>
      </c>
      <c r="BZ140" s="13">
        <f>BY140*VLOOKUP('Données projet'!$B$12,Paramètres!$A$1:$I$89,3,0)*VLOOKUP('Données projet'!$B$12,Paramètres!$A$1:$I$89,5,0)</f>
        <v>436.1414304000009</v>
      </c>
      <c r="CA140" s="13">
        <f t="shared" si="147"/>
        <v>99.066492229956026</v>
      </c>
      <c r="CB140" s="20">
        <f t="shared" si="118"/>
        <v>932.15379858050812</v>
      </c>
      <c r="CC140" s="59">
        <f t="shared" si="119"/>
        <v>1217.1505039894334</v>
      </c>
      <c r="CD140" s="59">
        <f ca="1">AVERAGE(OFFSET($CC$3,0,0,'Données projet'!$E$12+1,1))-AVERAGE(OFFSET($H$3,0,0,'Données projet'!$E$12+1,1))</f>
        <v>722.05521609092671</v>
      </c>
      <c r="CE140" s="59">
        <f t="shared" si="148"/>
        <v>317.36319714884644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45.073165447704859</v>
      </c>
      <c r="CL140" s="21">
        <f>EXP(-LN(2)/25)*CL139+(1-EXP(-LN(2)/25))/(LN(2)/25)*Calculateur!CG140*Calculateur!CI140*VLOOKUP('Données projet'!$B$12,Paramètres!$A$1:$I$89,3,0)*0.475*44/12</f>
        <v>23.380113488493144</v>
      </c>
      <c r="CM140" s="21">
        <f>EXP(-LN(2)/2)*CM139+(1-EXP(-LN(2)/2))/(LN(2)/2)*CG140*CJ140*VLOOKUP('Données projet'!$B$12,Paramètres!$A$1:$I$89,3,0)*0.475*44/12</f>
        <v>6.0304241896192955E-2</v>
      </c>
      <c r="CN140" s="22">
        <f t="shared" si="120"/>
        <v>68.513583178094194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9.1440000000000055</v>
      </c>
      <c r="CT140" s="12">
        <f>IF('Données projet'!$A$140&gt;35,CT139+CS140-DB139,IF(A140&lt;'Données projet'!$A$140,$CQ$205^A140,IF(A140='Données projet'!$A$140,'Données projet'!$B$140,CT139+CS140-DB139)))</f>
        <v>450.93200000000093</v>
      </c>
      <c r="CU140" s="17">
        <f>CT140*VLOOKUP('Données projet'!$B$13,Paramètres!$A$1:$I$89,3,0)*VLOOKUP('Données projet'!$B$13,Paramètres!$A$1:$I$89,5,0)</f>
        <v>485.38320480000101</v>
      </c>
      <c r="CV140" s="13">
        <f t="shared" si="149"/>
        <v>108.88712859233728</v>
      </c>
      <c r="CW140" s="20">
        <f t="shared" si="121"/>
        <v>1035.0208306583224</v>
      </c>
      <c r="CX140" s="59">
        <f t="shared" si="122"/>
        <v>1320.0175360672479</v>
      </c>
      <c r="CY140" s="59">
        <f ca="1">AVERAGE(OFFSET($CX$3,0,0,'Données projet'!$E$13+1,1))-AVERAGE(OFFSET($H$3,0,0,'Données projet'!$E$13+1,1))</f>
        <v>792.94606354161886</v>
      </c>
      <c r="CZ140" s="59">
        <f t="shared" si="150"/>
        <v>346.14443498270919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50.162071224058593</v>
      </c>
      <c r="DG140" s="21">
        <f>EXP(-LN(2)/25)*DG139+(1-EXP(-LN(2)/25))/(LN(2)/25)*Calculateur!DB140*Calculateur!DD140*VLOOKUP('Données projet'!$B$13,Paramètres!$A$1:$I$89,3,0)*0.475*44/12</f>
        <v>26.019803721064953</v>
      </c>
      <c r="DH140" s="21">
        <f>EXP(-LN(2)/2)*DH139+(1-EXP(-LN(2)/2))/(LN(2)/2)*DB140*DE140*VLOOKUP('Données projet'!$B$13,Paramètres!$A$1:$I$89,3,0)*0.475*44/12</f>
        <v>6.7112785336085695E-2</v>
      </c>
      <c r="DI140" s="22">
        <f t="shared" si="123"/>
        <v>76.248987730459632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269.21114382490202</v>
      </c>
      <c r="DU140" s="59">
        <f t="shared" si="152"/>
        <v>233.07776944102309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4.2633254143446502</v>
      </c>
      <c r="EB140" s="21">
        <f>EXP(-LN(2)/25)*EB139+(1-EXP(-LN(2)/25))/(LN(2)/25)*Calculateur!DW140*Calculateur!DY140*VLOOKUP('Données projet'!$B$14,Paramètres!$A$1:$I$89,3,0)*0.475*44/12</f>
        <v>17.350519430096696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21.613844844441346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9.1440000000000055</v>
      </c>
      <c r="FE140" s="12">
        <f>IF('Données projet'!$A$218&gt;35,FE139+FD140-FM139,IF(A140&lt;'Données projet'!$A$218,$FB$205^A140,IF(A140='Données projet'!$A$218,'Données projet'!$B$218,FE139+FD140-FM139)))</f>
        <v>450.93200000000093</v>
      </c>
      <c r="FF140" s="17">
        <f>FE140*VLOOKUP('Données projet'!$B$16,Paramètres!$A$1:$I$89,3,0)*VLOOKUP('Données projet'!$B$16,Paramètres!$A$1:$I$89,5,0)</f>
        <v>513.52136160000111</v>
      </c>
      <c r="FG140" s="13">
        <f t="shared" si="155"/>
        <v>114.44625028423043</v>
      </c>
      <c r="FH140" s="20">
        <f t="shared" si="130"/>
        <v>1093.7102573650366</v>
      </c>
      <c r="FI140" s="59">
        <f t="shared" si="131"/>
        <v>1378.706962773962</v>
      </c>
      <c r="FJ140" s="59">
        <f ca="1">AVERAGE(OFFSET($FI$3,0,0,'Données projet'!$E$16+1,1))-AVERAGE(OFFSET($H$3,0,0,'Données projet'!$E$16+1,1))</f>
        <v>833.39050463936144</v>
      </c>
      <c r="FK140" s="59">
        <f t="shared" si="156"/>
        <v>362.56178526355507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53.070017381975042</v>
      </c>
      <c r="FR140" s="21">
        <f>EXP(-LN(2)/25)*FR139+(1-EXP(-LN(2)/25))/(LN(2)/25)*Calculateur!FM140*Calculateur!FO140*VLOOKUP('Données projet'!$B$16,Paramètres!$A$1:$I$89,3,0)*0.475*44/12</f>
        <v>27.528198139677425</v>
      </c>
      <c r="FS140" s="21">
        <f>EXP(-LN(2)/2)*FS139+(1-EXP(-LN(2)/2))/(LN(2)/2)*FM140*FP140*VLOOKUP('Données projet'!$B$16,Paramètres!$A$1:$I$89,3,0)*0.475*44/12</f>
        <v>7.1003381587453021E-2</v>
      </c>
      <c r="FT140" s="22">
        <f t="shared" si="132"/>
        <v>80.669218903239923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1175.7349055392067</v>
      </c>
      <c r="S141" s="59">
        <f ca="1">AVERAGE(OFFSET($R$3,0,0,'Données projet'!$E$9+1,1))-AVERAGE(OFFSET($H$3,0,0,'Données projet'!$E$9+1,1))</f>
        <v>681.47578137804555</v>
      </c>
      <c r="T141" s="59">
        <f t="shared" si="142"/>
        <v>300.88511065995885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466.51706400000097</v>
      </c>
      <c r="AK141" s="13">
        <f t="shared" si="143"/>
        <v>105.13889727137632</v>
      </c>
      <c r="AL141" s="20">
        <f t="shared" si="112"/>
        <v>995.63413254764862</v>
      </c>
      <c r="AM141" s="59">
        <f t="shared" si="113"/>
        <v>1280.7754598131546</v>
      </c>
      <c r="AN141" s="59">
        <f ca="1">AVERAGE(OFFSET($AM$3,0,0,'Données projet'!$E$10+1,1))-AVERAGE(OFFSET($H$3,0,0,'Données projet'!$E$10+1,1))</f>
        <v>752.45542076695506</v>
      </c>
      <c r="AO141" s="59">
        <f t="shared" si="144"/>
        <v>329.70629768420724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46.32750049576547</v>
      </c>
      <c r="AV141" s="21">
        <f>EXP(-LN(2)/25)*AV140+(1-EXP(-LN(2)/25))/(LN(2)/25)*Calculateur!AQ141*Calculateur!AS141*VLOOKUP('Données projet'!$B$10,Paramètres!$A$1:$I$89,3,0)*0.475*44/12</f>
        <v>23.841143526077936</v>
      </c>
      <c r="AW141" s="21">
        <f>EXP(-LN(2)/2)*AW140+(1-EXP(-LN(2)/2))/(LN(2)/2)*AQ141*AT141*VLOOKUP('Données projet'!$B$10,Paramètres!$A$1:$I$89,3,0)*0.475*44/12</f>
        <v>4.4704838623262515E-2</v>
      </c>
      <c r="AX141" s="21">
        <f t="shared" si="114"/>
        <v>70.213348860466667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437.80832160000091</v>
      </c>
      <c r="BF141" s="13">
        <f t="shared" si="145"/>
        <v>99.400968974253743</v>
      </c>
      <c r="BG141" s="20">
        <f t="shared" si="115"/>
        <v>935.63951441682673</v>
      </c>
      <c r="BH141" s="59">
        <f t="shared" si="116"/>
        <v>1220.7808416823327</v>
      </c>
      <c r="BI141" s="59">
        <f ca="1">AVERAGE(OFFSET($BH$3,0,0,'Données projet'!$E$11+1,1))-AVERAGE(OFFSET($H$3,0,0,'Données projet'!$E$11+1,1))</f>
        <v>711.91538686535682</v>
      </c>
      <c r="BJ141" s="59">
        <f t="shared" si="146"/>
        <v>313.24593837351722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43.476577388333752</v>
      </c>
      <c r="BQ141" s="21">
        <f>EXP(-LN(2)/25)*BQ140+(1-EXP(-LN(2)/25))/(LN(2)/25)*Calculateur!BL141*Calculateur!BN141*VLOOKUP('Données projet'!$B$11,Paramètres!$A$1:$I$89,3,0)*0.475*44/12</f>
        <v>22.373996232165439</v>
      </c>
      <c r="BR141" s="21">
        <f>EXP(-LN(2)/2)*BR140+(1-EXP(-LN(2)/2))/(LN(2)/2)*BL141*BO141*VLOOKUP('Données projet'!$B$11,Paramètres!$A$1:$I$89,3,0)*0.475*44/12</f>
        <v>4.1953771631061794E-2</v>
      </c>
      <c r="BS141" s="22">
        <f t="shared" si="117"/>
        <v>65.892527392130248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9.1440000000000055</v>
      </c>
      <c r="BY141" s="12">
        <f>IF('Données projet'!$A$114&gt;35,BY140+BX141-CG140,IF(A141&lt;'Données projet'!$A$114,$BV$205^A141,IF(A141='Données projet'!$A$114,'Données projet'!$B$114,BY140+BX141-CG140)))</f>
        <v>460.07600000000093</v>
      </c>
      <c r="BZ141" s="13">
        <f>BY141*VLOOKUP('Données projet'!$B$12,Paramètres!$A$1:$I$89,3,0)*VLOOKUP('Données projet'!$B$12,Paramètres!$A$1:$I$89,5,0)</f>
        <v>444.98550720000088</v>
      </c>
      <c r="CA141" s="13">
        <f t="shared" si="147"/>
        <v>100.8394510052938</v>
      </c>
      <c r="CB141" s="20">
        <f t="shared" si="118"/>
        <v>950.64513554088808</v>
      </c>
      <c r="CC141" s="59">
        <f t="shared" si="119"/>
        <v>1235.786462806394</v>
      </c>
      <c r="CD141" s="59">
        <f ca="1">AVERAGE(OFFSET($CC$3,0,0,'Données projet'!$E$12+1,1))-AVERAGE(OFFSET($H$3,0,0,'Données projet'!$E$12+1,1))</f>
        <v>722.05521609092671</v>
      </c>
      <c r="CE141" s="59">
        <f t="shared" si="148"/>
        <v>317.36319714884644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44.18930816519169</v>
      </c>
      <c r="CL141" s="21">
        <f>EXP(-LN(2)/25)*CL140+(1-EXP(-LN(2)/25))/(LN(2)/25)*Calculateur!CG141*Calculateur!CI141*VLOOKUP('Données projet'!$B$12,Paramètres!$A$1:$I$89,3,0)*0.475*44/12</f>
        <v>22.740783055643568</v>
      </c>
      <c r="CM141" s="21">
        <f>EXP(-LN(2)/2)*CM140+(1-EXP(-LN(2)/2))/(LN(2)/2)*CG141*CJ141*VLOOKUP('Données projet'!$B$12,Paramètres!$A$1:$I$89,3,0)*0.475*44/12</f>
        <v>4.2641538379111943E-2</v>
      </c>
      <c r="CN141" s="22">
        <f t="shared" si="120"/>
        <v>66.972732759214381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9.1440000000000055</v>
      </c>
      <c r="CT141" s="12">
        <f>IF('Données projet'!$A$140&gt;35,CT140+CS141-DB140,IF(A141&lt;'Données projet'!$A$140,$CQ$205^A141,IF(A141='Données projet'!$A$140,'Données projet'!$B$140,CT140+CS141-DB140)))</f>
        <v>460.07600000000093</v>
      </c>
      <c r="CU141" s="17">
        <f>CT141*VLOOKUP('Données projet'!$B$13,Paramètres!$A$1:$I$89,3,0)*VLOOKUP('Données projet'!$B$13,Paramètres!$A$1:$I$89,5,0)</f>
        <v>495.22580640000092</v>
      </c>
      <c r="CV141" s="13">
        <f t="shared" si="149"/>
        <v>110.83584390276725</v>
      </c>
      <c r="CW141" s="20">
        <f t="shared" si="121"/>
        <v>1055.5573742773213</v>
      </c>
      <c r="CX141" s="59">
        <f t="shared" si="122"/>
        <v>1340.6987015428272</v>
      </c>
      <c r="CY141" s="59">
        <f ca="1">AVERAGE(OFFSET($CX$3,0,0,'Données projet'!$E$13+1,1))-AVERAGE(OFFSET($H$3,0,0,'Données projet'!$E$13+1,1))</f>
        <v>792.94606354161886</v>
      </c>
      <c r="CZ141" s="59">
        <f t="shared" si="150"/>
        <v>346.14443498270919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49.17842360319716</v>
      </c>
      <c r="DG141" s="21">
        <f>EXP(-LN(2)/25)*DG140+(1-EXP(-LN(2)/25))/(LN(2)/25)*Calculateur!DB141*Calculateur!DD141*VLOOKUP('Données projet'!$B$13,Paramètres!$A$1:$I$89,3,0)*0.475*44/12</f>
        <v>25.308290819990422</v>
      </c>
      <c r="DH141" s="21">
        <f>EXP(-LN(2)/2)*DH140+(1-EXP(-LN(2)/2))/(LN(2)/2)*DB141*DE141*VLOOKUP('Données projet'!$B$13,Paramètres!$A$1:$I$89,3,0)*0.475*44/12</f>
        <v>4.7455905615463284E-2</v>
      </c>
      <c r="DI141" s="22">
        <f t="shared" si="123"/>
        <v>74.534170328803043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269.21114382490202</v>
      </c>
      <c r="DU141" s="59">
        <f t="shared" si="152"/>
        <v>233.07776944102309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4.1797242033410891</v>
      </c>
      <c r="EB141" s="21">
        <f>EXP(-LN(2)/25)*EB140+(1-EXP(-LN(2)/25))/(LN(2)/25)*Calculateur!DW141*Calculateur!DY141*VLOOKUP('Données projet'!$B$14,Paramètres!$A$1:$I$89,3,0)*0.475*44/12</f>
        <v>16.876068563856542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21.05579276719763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9.1440000000000055</v>
      </c>
      <c r="FE141" s="12">
        <f>IF('Données projet'!$A$218&gt;35,FE140+FD141-FM140,IF(A141&lt;'Données projet'!$A$218,$FB$205^A141,IF(A141='Données projet'!$A$218,'Données projet'!$B$218,FE140+FD141-FM140)))</f>
        <v>460.07600000000093</v>
      </c>
      <c r="FF141" s="17">
        <f>FE141*VLOOKUP('Données projet'!$B$16,Paramètres!$A$1:$I$89,3,0)*VLOOKUP('Données projet'!$B$16,Paramètres!$A$1:$I$89,5,0)</f>
        <v>523.93454880000104</v>
      </c>
      <c r="FG141" s="13">
        <f t="shared" si="155"/>
        <v>116.49445527441956</v>
      </c>
      <c r="FH141" s="20">
        <f t="shared" si="130"/>
        <v>1115.4138487629491</v>
      </c>
      <c r="FI141" s="59">
        <f t="shared" si="131"/>
        <v>1400.555176028455</v>
      </c>
      <c r="FJ141" s="59">
        <f ca="1">AVERAGE(OFFSET($FI$3,0,0,'Données projet'!$E$16+1,1))-AVERAGE(OFFSET($H$3,0,0,'Données projet'!$E$16+1,1))</f>
        <v>833.39050463936144</v>
      </c>
      <c r="FK141" s="59">
        <f t="shared" si="156"/>
        <v>362.56178526355507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52.029346710628893</v>
      </c>
      <c r="FR141" s="21">
        <f>EXP(-LN(2)/25)*FR140+(1-EXP(-LN(2)/25))/(LN(2)/25)*Calculateur!FM141*Calculateur!FO141*VLOOKUP('Données projet'!$B$16,Paramètres!$A$1:$I$89,3,0)*0.475*44/12</f>
        <v>26.775438113902922</v>
      </c>
      <c r="FS141" s="21">
        <f>EXP(-LN(2)/2)*FS140+(1-EXP(-LN(2)/2))/(LN(2)/2)*FM141*FP141*VLOOKUP('Données projet'!$B$16,Paramètres!$A$1:$I$89,3,0)*0.475*44/12</f>
        <v>5.0206972607664081E-2</v>
      </c>
      <c r="FT141" s="22">
        <f t="shared" si="132"/>
        <v>78.85499179713949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1193.1911501857351</v>
      </c>
      <c r="S142" s="59">
        <f ca="1">AVERAGE(OFFSET($R$3,0,0,'Données projet'!$E$9+1,1))-AVERAGE(OFFSET($H$3,0,0,'Données projet'!$E$9+1,1))</f>
        <v>681.47578137804555</v>
      </c>
      <c r="T142" s="59">
        <f t="shared" si="142"/>
        <v>300.88511065995885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475.78908000000098</v>
      </c>
      <c r="AK142" s="13">
        <f t="shared" si="143"/>
        <v>106.98317701049932</v>
      </c>
      <c r="AL142" s="20">
        <f t="shared" si="112"/>
        <v>1014.9950142932879</v>
      </c>
      <c r="AM142" s="59">
        <f t="shared" si="113"/>
        <v>1300.2784545494887</v>
      </c>
      <c r="AN142" s="59">
        <f ca="1">AVERAGE(OFFSET($AM$3,0,0,'Données projet'!$E$10+1,1))-AVERAGE(OFFSET($H$3,0,0,'Données projet'!$E$10+1,1))</f>
        <v>752.45542076695506</v>
      </c>
      <c r="AO142" s="59">
        <f t="shared" si="144"/>
        <v>329.70629768420724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45.419046468028668</v>
      </c>
      <c r="AV142" s="21">
        <f>EXP(-LN(2)/25)*AV141+(1-EXP(-LN(2)/25))/(LN(2)/25)*Calculateur!AQ142*Calculateur!AS142*VLOOKUP('Données projet'!$B$10,Paramètres!$A$1:$I$89,3,0)*0.475*44/12</f>
        <v>23.189206202606087</v>
      </c>
      <c r="AW142" s="21">
        <f>EXP(-LN(2)/2)*AW141+(1-EXP(-LN(2)/2))/(LN(2)/2)*AQ142*AT142*VLOOKUP('Données projet'!$B$10,Paramètres!$A$1:$I$89,3,0)*0.475*44/12</f>
        <v>3.1611094542359205E-2</v>
      </c>
      <c r="AX142" s="21">
        <f t="shared" si="114"/>
        <v>68.639863765177111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446.5097520000009</v>
      </c>
      <c r="BF142" s="13">
        <f t="shared" si="145"/>
        <v>101.14459762060724</v>
      </c>
      <c r="BG142" s="20">
        <f t="shared" si="115"/>
        <v>953.8313255892258</v>
      </c>
      <c r="BH142" s="59">
        <f t="shared" si="116"/>
        <v>1239.1147658454267</v>
      </c>
      <c r="BI142" s="59">
        <f ca="1">AVERAGE(OFFSET($BH$3,0,0,'Données projet'!$E$11+1,1))-AVERAGE(OFFSET($H$3,0,0,'Données projet'!$E$11+1,1))</f>
        <v>711.91538686535682</v>
      </c>
      <c r="BJ142" s="59">
        <f t="shared" si="146"/>
        <v>313.24593837351722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42.624028223842288</v>
      </c>
      <c r="BQ142" s="21">
        <f>EXP(-LN(2)/25)*BQ141+(1-EXP(-LN(2)/25))/(LN(2)/25)*Calculateur!BL142*Calculateur!BN142*VLOOKUP('Données projet'!$B$11,Paramètres!$A$1:$I$89,3,0)*0.475*44/12</f>
        <v>21.762178128599551</v>
      </c>
      <c r="BR142" s="21">
        <f>EXP(-LN(2)/2)*BR141+(1-EXP(-LN(2)/2))/(LN(2)/2)*BL142*BO142*VLOOKUP('Données projet'!$B$11,Paramètres!$A$1:$I$89,3,0)*0.475*44/12</f>
        <v>2.9665796416675598E-2</v>
      </c>
      <c r="BS142" s="22">
        <f t="shared" si="117"/>
        <v>64.415872148858512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9.1440000000000055</v>
      </c>
      <c r="BY142" s="12">
        <f>IF('Données projet'!$A$114&gt;35,BY141+BX142-CG141,IF(A142&lt;'Données projet'!$A$114,$BV$205^A142,IF(A142='Données projet'!$A$114,'Données projet'!$B$114,BY141+BX142-CG141)))</f>
        <v>469.22000000000094</v>
      </c>
      <c r="BZ142" s="13">
        <f>BY142*VLOOKUP('Données projet'!$B$12,Paramètres!$A$1:$I$89,3,0)*VLOOKUP('Données projet'!$B$12,Paramètres!$A$1:$I$89,5,0)</f>
        <v>453.82958400000092</v>
      </c>
      <c r="CA142" s="13">
        <f t="shared" si="147"/>
        <v>102.60831258953985</v>
      </c>
      <c r="CB142" s="20">
        <f t="shared" si="118"/>
        <v>969.12933656011683</v>
      </c>
      <c r="CC142" s="59">
        <f t="shared" si="119"/>
        <v>1254.4127768163178</v>
      </c>
      <c r="CD142" s="59">
        <f ca="1">AVERAGE(OFFSET($CC$3,0,0,'Données projet'!$E$12+1,1))-AVERAGE(OFFSET($H$3,0,0,'Données projet'!$E$12+1,1))</f>
        <v>722.05521609092671</v>
      </c>
      <c r="CE142" s="59">
        <f t="shared" si="148"/>
        <v>317.36319714884644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43.322782784888894</v>
      </c>
      <c r="CL142" s="21">
        <f>EXP(-LN(2)/25)*CL141+(1-EXP(-LN(2)/25))/(LN(2)/25)*Calculateur!CG142*Calculateur!CI142*VLOOKUP('Données projet'!$B$12,Paramètres!$A$1:$I$89,3,0)*0.475*44/12</f>
        <v>22.11893514710119</v>
      </c>
      <c r="CM142" s="21">
        <f>EXP(-LN(2)/2)*CM141+(1-EXP(-LN(2)/2))/(LN(2)/2)*CG142*CJ142*VLOOKUP('Données projet'!$B$12,Paramètres!$A$1:$I$89,3,0)*0.475*44/12</f>
        <v>3.0152120948096477E-2</v>
      </c>
      <c r="CN142" s="22">
        <f t="shared" si="120"/>
        <v>65.471870052938186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9.1440000000000055</v>
      </c>
      <c r="CT142" s="12">
        <f>IF('Données projet'!$A$140&gt;35,CT141+CS142-DB141,IF(A142&lt;'Données projet'!$A$140,$CQ$205^A142,IF(A142='Données projet'!$A$140,'Données projet'!$B$140,CT141+CS142-DB141)))</f>
        <v>469.22000000000094</v>
      </c>
      <c r="CU142" s="17">
        <f>CT142*VLOOKUP('Données projet'!$B$13,Paramètres!$A$1:$I$89,3,0)*VLOOKUP('Données projet'!$B$13,Paramètres!$A$1:$I$89,5,0)</f>
        <v>505.068408000001</v>
      </c>
      <c r="CV142" s="13">
        <f t="shared" si="149"/>
        <v>112.78005586031574</v>
      </c>
      <c r="CW142" s="20">
        <f t="shared" si="121"/>
        <v>1076.0860745567184</v>
      </c>
      <c r="CX142" s="59">
        <f t="shared" si="122"/>
        <v>1361.3695148129193</v>
      </c>
      <c r="CY142" s="59">
        <f ca="1">AVERAGE(OFFSET($CX$3,0,0,'Données projet'!$E$13+1,1))-AVERAGE(OFFSET($H$3,0,0,'Données projet'!$E$13+1,1))</f>
        <v>792.94606354161886</v>
      </c>
      <c r="CZ142" s="59">
        <f t="shared" si="150"/>
        <v>346.14443498270919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48.214064712215013</v>
      </c>
      <c r="DG142" s="21">
        <f>EXP(-LN(2)/25)*DG141+(1-EXP(-LN(2)/25))/(LN(2)/25)*Calculateur!DB142*Calculateur!DD142*VLOOKUP('Données projet'!$B$13,Paramètres!$A$1:$I$89,3,0)*0.475*44/12</f>
        <v>24.616234276612612</v>
      </c>
      <c r="DH142" s="21">
        <f>EXP(-LN(2)/2)*DH141+(1-EXP(-LN(2)/2))/(LN(2)/2)*DB142*DE142*VLOOKUP('Données projet'!$B$13,Paramètres!$A$1:$I$89,3,0)*0.475*44/12</f>
        <v>3.3556392668042848E-2</v>
      </c>
      <c r="DI142" s="22">
        <f t="shared" si="123"/>
        <v>72.863855381495668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269.21114382490202</v>
      </c>
      <c r="DU142" s="59">
        <f t="shared" si="152"/>
        <v>233.07776944102309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4.0977623610936043</v>
      </c>
      <c r="EB142" s="21">
        <f>EXP(-LN(2)/25)*EB141+(1-EXP(-LN(2)/25))/(LN(2)/25)*Calculateur!DW142*Calculateur!DY142*VLOOKUP('Données projet'!$B$14,Paramètres!$A$1:$I$89,3,0)*0.475*44/12</f>
        <v>16.414591581504009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20.512353942597613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9.1440000000000055</v>
      </c>
      <c r="FE142" s="12">
        <f>IF('Données projet'!$A$218&gt;35,FE141+FD142-FM141,IF(A142&lt;'Données projet'!$A$218,$FB$205^A142,IF(A142='Données projet'!$A$218,'Données projet'!$B$218,FE141+FD142-FM141)))</f>
        <v>469.22000000000094</v>
      </c>
      <c r="FF142" s="17">
        <f>FE142*VLOOKUP('Données projet'!$B$16,Paramètres!$A$1:$I$89,3,0)*VLOOKUP('Données projet'!$B$16,Paramètres!$A$1:$I$89,5,0)</f>
        <v>534.34773600000108</v>
      </c>
      <c r="FG142" s="13">
        <f t="shared" si="155"/>
        <v>118.53792699762226</v>
      </c>
      <c r="FH142" s="20">
        <f t="shared" si="130"/>
        <v>1137.1091963875272</v>
      </c>
      <c r="FI142" s="59">
        <f t="shared" si="131"/>
        <v>1422.3926366437281</v>
      </c>
      <c r="FJ142" s="59">
        <f ca="1">AVERAGE(OFFSET($FI$3,0,0,'Données projet'!$E$16+1,1))-AVERAGE(OFFSET($H$3,0,0,'Données projet'!$E$16+1,1))</f>
        <v>833.39050463936144</v>
      </c>
      <c r="FK142" s="59">
        <f t="shared" si="156"/>
        <v>362.56178526355507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51.009082956401407</v>
      </c>
      <c r="FR142" s="21">
        <f>EXP(-LN(2)/25)*FR141+(1-EXP(-LN(2)/25))/(LN(2)/25)*Calculateur!FM142*Calculateur!FO142*VLOOKUP('Données projet'!$B$16,Paramètres!$A$1:$I$89,3,0)*0.475*44/12</f>
        <v>26.043262350619152</v>
      </c>
      <c r="FS142" s="21">
        <f>EXP(-LN(2)/2)*FS141+(1-EXP(-LN(2)/2))/(LN(2)/2)*FM142*FP142*VLOOKUP('Données projet'!$B$16,Paramètres!$A$1:$I$89,3,0)*0.475*44/12</f>
        <v>3.5501690793726511E-2</v>
      </c>
      <c r="FT142" s="22">
        <f t="shared" si="132"/>
        <v>77.087846997814282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1210.6383481267587</v>
      </c>
      <c r="S143" s="59">
        <f ca="1">AVERAGE(OFFSET($R$3,0,0,'Données projet'!$E$9+1,1))-AVERAGE(OFFSET($H$3,0,0,'Données projet'!$E$9+1,1))</f>
        <v>681.47578137804555</v>
      </c>
      <c r="T143" s="59">
        <f t="shared" si="142"/>
        <v>300.88511065995885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485.06109600000099</v>
      </c>
      <c r="AK143" s="13">
        <f t="shared" si="143"/>
        <v>108.82327771411607</v>
      </c>
      <c r="AL143" s="20">
        <f t="shared" si="112"/>
        <v>1034.348617552087</v>
      </c>
      <c r="AM143" s="59">
        <f t="shared" si="113"/>
        <v>1319.7717054563113</v>
      </c>
      <c r="AN143" s="59">
        <f ca="1">AVERAGE(OFFSET($AM$3,0,0,'Données projet'!$E$10+1,1))-AVERAGE(OFFSET($H$3,0,0,'Données projet'!$E$10+1,1))</f>
        <v>752.45542076695506</v>
      </c>
      <c r="AO143" s="59">
        <f t="shared" si="144"/>
        <v>329.70629768420724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44.528406669673537</v>
      </c>
      <c r="AV143" s="21">
        <f>EXP(-LN(2)/25)*AV142+(1-EXP(-LN(2)/25))/(LN(2)/25)*Calculateur!AQ143*Calculateur!AS143*VLOOKUP('Données projet'!$B$10,Paramètres!$A$1:$I$89,3,0)*0.475*44/12</f>
        <v>22.555096139528469</v>
      </c>
      <c r="AW143" s="21">
        <f>EXP(-LN(2)/2)*AW142+(1-EXP(-LN(2)/2))/(LN(2)/2)*AQ143*AT143*VLOOKUP('Données projet'!$B$10,Paramètres!$A$1:$I$89,3,0)*0.475*44/12</f>
        <v>2.2352419311631257E-2</v>
      </c>
      <c r="AX143" s="21">
        <f t="shared" si="114"/>
        <v>67.105855228513633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455.21118240000089</v>
      </c>
      <c r="BF143" s="13">
        <f t="shared" si="145"/>
        <v>102.88427530124351</v>
      </c>
      <c r="BG143" s="20">
        <f t="shared" si="115"/>
        <v>972.016255496334</v>
      </c>
      <c r="BH143" s="59">
        <f t="shared" si="116"/>
        <v>1257.4393434005583</v>
      </c>
      <c r="BI143" s="59">
        <f ca="1">AVERAGE(OFFSET($BH$3,0,0,'Données projet'!$E$11+1,1))-AVERAGE(OFFSET($H$3,0,0,'Données projet'!$E$11+1,1))</f>
        <v>711.91538686535682</v>
      </c>
      <c r="BJ143" s="59">
        <f t="shared" si="146"/>
        <v>313.24593837351722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41.788197028462861</v>
      </c>
      <c r="BQ143" s="21">
        <f>EXP(-LN(2)/25)*BQ142+(1-EXP(-LN(2)/25))/(LN(2)/25)*Calculateur!BL143*Calculateur!BN143*VLOOKUP('Données projet'!$B$11,Paramètres!$A$1:$I$89,3,0)*0.475*44/12</f>
        <v>21.167090223249787</v>
      </c>
      <c r="BR143" s="21">
        <f>EXP(-LN(2)/2)*BR142+(1-EXP(-LN(2)/2))/(LN(2)/2)*BL143*BO143*VLOOKUP('Données projet'!$B$11,Paramètres!$A$1:$I$89,3,0)*0.475*44/12</f>
        <v>2.09768858155309E-2</v>
      </c>
      <c r="BS143" s="22">
        <f t="shared" si="117"/>
        <v>62.976264137528176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9.1440000000000055</v>
      </c>
      <c r="BY143" s="12">
        <f>IF('Données projet'!$A$114&gt;35,BY142+BX143-CG142,IF(A143&lt;'Données projet'!$A$114,$BV$205^A143,IF(A143='Données projet'!$A$114,'Données projet'!$B$114,BY142+BX143-CG142)))</f>
        <v>478.36400000000094</v>
      </c>
      <c r="BZ143" s="13">
        <f>BY143*VLOOKUP('Données projet'!$B$12,Paramètres!$A$1:$I$89,3,0)*VLOOKUP('Données projet'!$B$12,Paramètres!$A$1:$I$89,5,0)</f>
        <v>462.67366080000096</v>
      </c>
      <c r="CA143" s="13">
        <f t="shared" si="147"/>
        <v>104.37316603163215</v>
      </c>
      <c r="CB143" s="20">
        <f t="shared" si="118"/>
        <v>987.60655673176097</v>
      </c>
      <c r="CC143" s="59">
        <f t="shared" si="119"/>
        <v>1273.0296446359853</v>
      </c>
      <c r="CD143" s="59">
        <f ca="1">AVERAGE(OFFSET($CC$3,0,0,'Données projet'!$E$12+1,1))-AVERAGE(OFFSET($H$3,0,0,'Données projet'!$E$12+1,1))</f>
        <v>722.05521609092671</v>
      </c>
      <c r="CE143" s="59">
        <f t="shared" si="148"/>
        <v>317.36319714884644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42.473249438765542</v>
      </c>
      <c r="CL143" s="21">
        <f>EXP(-LN(2)/25)*CL142+(1-EXP(-LN(2)/25))/(LN(2)/25)*Calculateur!CG143*Calculateur!CI143*VLOOKUP('Données projet'!$B$12,Paramètres!$A$1:$I$89,3,0)*0.475*44/12</f>
        <v>21.514091702319462</v>
      </c>
      <c r="CM143" s="21">
        <f>EXP(-LN(2)/2)*CM142+(1-EXP(-LN(2)/2))/(LN(2)/2)*CG143*CJ143*VLOOKUP('Données projet'!$B$12,Paramètres!$A$1:$I$89,3,0)*0.475*44/12</f>
        <v>2.1320769189555971E-2</v>
      </c>
      <c r="CN143" s="22">
        <f t="shared" si="120"/>
        <v>64.008661910274554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9.1440000000000055</v>
      </c>
      <c r="CT143" s="12">
        <f>IF('Données projet'!$A$140&gt;35,CT142+CS143-DB142,IF(A143&lt;'Données projet'!$A$140,$CQ$205^A143,IF(A143='Données projet'!$A$140,'Données projet'!$B$140,CT142+CS143-DB142)))</f>
        <v>478.36400000000094</v>
      </c>
      <c r="CU143" s="17">
        <f>CT143*VLOOKUP('Données projet'!$B$13,Paramètres!$A$1:$I$89,3,0)*VLOOKUP('Données projet'!$B$13,Paramètres!$A$1:$I$89,5,0)</f>
        <v>514.91100960000108</v>
      </c>
      <c r="CV143" s="13">
        <f t="shared" si="149"/>
        <v>114.71986234149864</v>
      </c>
      <c r="CW143" s="20">
        <f t="shared" si="121"/>
        <v>1096.6071019647786</v>
      </c>
      <c r="CX143" s="59">
        <f t="shared" si="122"/>
        <v>1382.0301898690029</v>
      </c>
      <c r="CY143" s="59">
        <f ca="1">AVERAGE(OFFSET($CX$3,0,0,'Données projet'!$E$13+1,1))-AVERAGE(OFFSET($H$3,0,0,'Données projet'!$E$13+1,1))</f>
        <v>792.94606354161886</v>
      </c>
      <c r="CZ143" s="59">
        <f t="shared" si="150"/>
        <v>346.14443498270919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47.268616310884184</v>
      </c>
      <c r="DG143" s="21">
        <f>EXP(-LN(2)/25)*DG142+(1-EXP(-LN(2)/25))/(LN(2)/25)*Calculateur!DB143*Calculateur!DD143*VLOOKUP('Données projet'!$B$13,Paramètres!$A$1:$I$89,3,0)*0.475*44/12</f>
        <v>23.943102055807142</v>
      </c>
      <c r="DH143" s="21">
        <f>EXP(-LN(2)/2)*DH142+(1-EXP(-LN(2)/2))/(LN(2)/2)*DB143*DE143*VLOOKUP('Données projet'!$B$13,Paramètres!$A$1:$I$89,3,0)*0.475*44/12</f>
        <v>2.3727952807731642E-2</v>
      </c>
      <c r="DI143" s="22">
        <f t="shared" si="123"/>
        <v>71.235446319499061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269.21114382490202</v>
      </c>
      <c r="DU143" s="59">
        <f t="shared" si="152"/>
        <v>233.07776944102309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4.0174077405808051</v>
      </c>
      <c r="EB143" s="21">
        <f>EXP(-LN(2)/25)*EB142+(1-EXP(-LN(2)/25))/(LN(2)/25)*Calculateur!DW143*Calculateur!DY143*VLOOKUP('Données projet'!$B$14,Paramètres!$A$1:$I$89,3,0)*0.475*44/12</f>
        <v>15.965733711501926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19.98314145208273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9.1440000000000055</v>
      </c>
      <c r="FE143" s="12">
        <f>IF('Données projet'!$A$218&gt;35,FE142+FD143-FM142,IF(A143&lt;'Données projet'!$A$218,$FB$205^A143,IF(A143='Données projet'!$A$218,'Données projet'!$B$218,FE142+FD143-FM142)))</f>
        <v>478.36400000000094</v>
      </c>
      <c r="FF143" s="17">
        <f>FE143*VLOOKUP('Données projet'!$B$16,Paramètres!$A$1:$I$89,3,0)*VLOOKUP('Données projet'!$B$16,Paramètres!$A$1:$I$89,5,0)</f>
        <v>544.76092320000112</v>
      </c>
      <c r="FG143" s="13">
        <f t="shared" si="155"/>
        <v>120.57676832734076</v>
      </c>
      <c r="FH143" s="20">
        <f t="shared" si="130"/>
        <v>1158.7964794101204</v>
      </c>
      <c r="FI143" s="59">
        <f t="shared" si="131"/>
        <v>1444.2195673143447</v>
      </c>
      <c r="FJ143" s="59">
        <f ca="1">AVERAGE(OFFSET($FI$3,0,0,'Données projet'!$E$16+1,1))-AVERAGE(OFFSET($H$3,0,0,'Données projet'!$E$16+1,1))</f>
        <v>833.39050463936144</v>
      </c>
      <c r="FK143" s="59">
        <f t="shared" si="156"/>
        <v>362.56178526355507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50.008825952094881</v>
      </c>
      <c r="FR143" s="21">
        <f>EXP(-LN(2)/25)*FR142+(1-EXP(-LN(2)/25))/(LN(2)/25)*Calculateur!FM143*Calculateur!FO143*VLOOKUP('Données projet'!$B$16,Paramètres!$A$1:$I$89,3,0)*0.475*44/12</f>
        <v>25.331107972085828</v>
      </c>
      <c r="FS143" s="21">
        <f>EXP(-LN(2)/2)*FS142+(1-EXP(-LN(2)/2))/(LN(2)/2)*FM143*FP143*VLOOKUP('Données projet'!$B$16,Paramètres!$A$1:$I$89,3,0)*0.475*44/12</f>
        <v>2.5103486303832041E-2</v>
      </c>
      <c r="FT143" s="22">
        <f t="shared" si="132"/>
        <v>75.365037410484547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1228.0766824388661</v>
      </c>
      <c r="S144" s="59">
        <f ca="1">AVERAGE(OFFSET($R$3,0,0,'Données projet'!$E$9+1,1))-AVERAGE(OFFSET($H$3,0,0,'Données projet'!$E$9+1,1))</f>
        <v>681.47578137804555</v>
      </c>
      <c r="T144" s="59">
        <f t="shared" si="142"/>
        <v>300.88511065995885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494.33311200000099</v>
      </c>
      <c r="AK144" s="13">
        <f t="shared" si="143"/>
        <v>110.65928847529446</v>
      </c>
      <c r="AL144" s="20">
        <f t="shared" si="112"/>
        <v>1053.6950974944727</v>
      </c>
      <c r="AM144" s="59">
        <f t="shared" si="113"/>
        <v>1339.2554104722328</v>
      </c>
      <c r="AN144" s="59">
        <f ca="1">AVERAGE(OFFSET($AM$3,0,0,'Données projet'!$E$10+1,1))-AVERAGE(OFFSET($H$3,0,0,'Données projet'!$E$10+1,1))</f>
        <v>752.45542076695506</v>
      </c>
      <c r="AO144" s="59">
        <f t="shared" si="144"/>
        <v>329.70629768420724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43.655231774527515</v>
      </c>
      <c r="AV144" s="21">
        <f>EXP(-LN(2)/25)*AV143+(1-EXP(-LN(2)/25))/(LN(2)/25)*Calculateur!AQ144*Calculateur!AS144*VLOOKUP('Données projet'!$B$10,Paramètres!$A$1:$I$89,3,0)*0.475*44/12</f>
        <v>21.938325849472108</v>
      </c>
      <c r="AW144" s="21">
        <f>EXP(-LN(2)/2)*AW143+(1-EXP(-LN(2)/2))/(LN(2)/2)*AQ144*AT144*VLOOKUP('Données projet'!$B$10,Paramètres!$A$1:$I$89,3,0)*0.475*44/12</f>
        <v>1.5805547271179603E-2</v>
      </c>
      <c r="AX144" s="21">
        <f t="shared" si="114"/>
        <v>65.609363171270815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463.91261280000094</v>
      </c>
      <c r="BF144" s="13">
        <f t="shared" si="145"/>
        <v>104.62008624699871</v>
      </c>
      <c r="BG144" s="20">
        <f t="shared" si="115"/>
        <v>990.19445084019083</v>
      </c>
      <c r="BH144" s="59">
        <f t="shared" si="116"/>
        <v>1275.7547638179508</v>
      </c>
      <c r="BI144" s="59">
        <f ca="1">AVERAGE(OFFSET($BH$3,0,0,'Données projet'!$E$11+1,1))-AVERAGE(OFFSET($H$3,0,0,'Données projet'!$E$11+1,1))</f>
        <v>711.91538686535682</v>
      </c>
      <c r="BJ144" s="59">
        <f t="shared" si="146"/>
        <v>313.24593837351722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40.968755973018133</v>
      </c>
      <c r="BQ144" s="21">
        <f>EXP(-LN(2)/25)*BQ143+(1-EXP(-LN(2)/25))/(LN(2)/25)*Calculateur!BL144*Calculateur!BN144*VLOOKUP('Données projet'!$B$11,Paramètres!$A$1:$I$89,3,0)*0.475*44/12</f>
        <v>20.588275027966123</v>
      </c>
      <c r="BR144" s="21">
        <f>EXP(-LN(2)/2)*BR143+(1-EXP(-LN(2)/2))/(LN(2)/2)*BL144*BO144*VLOOKUP('Données projet'!$B$11,Paramètres!$A$1:$I$89,3,0)*0.475*44/12</f>
        <v>1.4832898208337802E-2</v>
      </c>
      <c r="BS144" s="22">
        <f t="shared" si="117"/>
        <v>61.571863899192593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9.1440000000000055</v>
      </c>
      <c r="BY144" s="12">
        <f>IF('Données projet'!$A$114&gt;35,BY143+BX144-CG143,IF(A144&lt;'Données projet'!$A$114,$BV$205^A144,IF(A144='Données projet'!$A$114,'Données projet'!$B$114,BY143+BX144-CG143)))</f>
        <v>487.50800000000095</v>
      </c>
      <c r="BZ144" s="13">
        <f>BY144*VLOOKUP('Données projet'!$B$12,Paramètres!$A$1:$I$89,3,0)*VLOOKUP('Données projet'!$B$12,Paramètres!$A$1:$I$89,5,0)</f>
        <v>471.51773760000094</v>
      </c>
      <c r="CA144" s="13">
        <f t="shared" si="147"/>
        <v>106.13409678135424</v>
      </c>
      <c r="CB144" s="20">
        <f t="shared" si="118"/>
        <v>1006.0769448808602</v>
      </c>
      <c r="CC144" s="59">
        <f t="shared" si="119"/>
        <v>1291.6372578586202</v>
      </c>
      <c r="CD144" s="59">
        <f ca="1">AVERAGE(OFFSET($CC$3,0,0,'Données projet'!$E$12+1,1))-AVERAGE(OFFSET($H$3,0,0,'Données projet'!$E$12+1,1))</f>
        <v>722.05521609092671</v>
      </c>
      <c r="CE144" s="59">
        <f t="shared" si="148"/>
        <v>317.36319714884644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41.640374923395491</v>
      </c>
      <c r="CL144" s="21">
        <f>EXP(-LN(2)/25)*CL143+(1-EXP(-LN(2)/25))/(LN(2)/25)*Calculateur!CG144*Calculateur!CI144*VLOOKUP('Données projet'!$B$12,Paramètres!$A$1:$I$89,3,0)*0.475*44/12</f>
        <v>20.925787733342624</v>
      </c>
      <c r="CM144" s="21">
        <f>EXP(-LN(2)/2)*CM143+(1-EXP(-LN(2)/2))/(LN(2)/2)*CG144*CJ144*VLOOKUP('Données projet'!$B$12,Paramètres!$A$1:$I$89,3,0)*0.475*44/12</f>
        <v>1.5076060474048239E-2</v>
      </c>
      <c r="CN144" s="22">
        <f t="shared" si="120"/>
        <v>62.581238717212166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9.1440000000000055</v>
      </c>
      <c r="CT144" s="12">
        <f>IF('Données projet'!$A$140&gt;35,CT143+CS144-DB143,IF(A144&lt;'Données projet'!$A$140,$CQ$205^A144,IF(A144='Données projet'!$A$140,'Données projet'!$B$140,CT143+CS144-DB143)))</f>
        <v>487.50800000000095</v>
      </c>
      <c r="CU144" s="17">
        <f>CT144*VLOOKUP('Données projet'!$B$13,Paramètres!$A$1:$I$89,3,0)*VLOOKUP('Données projet'!$B$13,Paramètres!$A$1:$I$89,5,0)</f>
        <v>524.75361120000093</v>
      </c>
      <c r="CV144" s="13">
        <f t="shared" si="149"/>
        <v>116.65535726688786</v>
      </c>
      <c r="CW144" s="20">
        <f t="shared" si="121"/>
        <v>1117.1206200798313</v>
      </c>
      <c r="CX144" s="59">
        <f t="shared" si="122"/>
        <v>1402.6809330575913</v>
      </c>
      <c r="CY144" s="59">
        <f ca="1">AVERAGE(OFFSET($CX$3,0,0,'Données projet'!$E$13+1,1))-AVERAGE(OFFSET($H$3,0,0,'Données projet'!$E$13+1,1))</f>
        <v>792.94606354161886</v>
      </c>
      <c r="CZ144" s="59">
        <f t="shared" si="150"/>
        <v>346.14443498270919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46.341707576036868</v>
      </c>
      <c r="DG144" s="21">
        <f>EXP(-LN(2)/25)*DG143+(1-EXP(-LN(2)/25))/(LN(2)/25)*Calculateur!DB144*Calculateur!DD144*VLOOKUP('Données projet'!$B$13,Paramètres!$A$1:$I$89,3,0)*0.475*44/12</f>
        <v>23.288376670978082</v>
      </c>
      <c r="DH144" s="21">
        <f>EXP(-LN(2)/2)*DH143+(1-EXP(-LN(2)/2))/(LN(2)/2)*DB144*DE144*VLOOKUP('Données projet'!$B$13,Paramètres!$A$1:$I$89,3,0)*0.475*44/12</f>
        <v>1.6778196334021424E-2</v>
      </c>
      <c r="DI144" s="22">
        <f t="shared" si="123"/>
        <v>69.646862443348965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269.21114382490202</v>
      </c>
      <c r="DU144" s="59">
        <f t="shared" si="152"/>
        <v>233.07776944102309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3.9386288251647827</v>
      </c>
      <c r="EB144" s="21">
        <f>EXP(-LN(2)/25)*EB143+(1-EXP(-LN(2)/25))/(LN(2)/25)*Calculateur!DW144*Calculateur!DY144*VLOOKUP('Données projet'!$B$14,Paramètres!$A$1:$I$89,3,0)*0.475*44/12</f>
        <v>15.529149883559461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19.467778708724243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9.1440000000000055</v>
      </c>
      <c r="FE144" s="12">
        <f>IF('Données projet'!$A$218&gt;35,FE143+FD144-FM143,IF(A144&lt;'Données projet'!$A$218,$FB$205^A144,IF(A144='Données projet'!$A$218,'Données projet'!$B$218,FE143+FD144-FM143)))</f>
        <v>487.50800000000095</v>
      </c>
      <c r="FF144" s="17">
        <f>FE144*VLOOKUP('Données projet'!$B$16,Paramètres!$A$1:$I$89,3,0)*VLOOKUP('Données projet'!$B$16,Paramètres!$A$1:$I$89,5,0)</f>
        <v>555.17411040000104</v>
      </c>
      <c r="FG144" s="13">
        <f t="shared" si="155"/>
        <v>122.61107797916624</v>
      </c>
      <c r="FH144" s="20">
        <f t="shared" si="130"/>
        <v>1180.4758697603829</v>
      </c>
      <c r="FI144" s="59">
        <f t="shared" si="131"/>
        <v>1466.036182738143</v>
      </c>
      <c r="FJ144" s="59">
        <f ca="1">AVERAGE(OFFSET($FI$3,0,0,'Données projet'!$E$16+1,1))-AVERAGE(OFFSET($H$3,0,0,'Données projet'!$E$16+1,1))</f>
        <v>833.39050463936144</v>
      </c>
      <c r="FK144" s="59">
        <f t="shared" si="156"/>
        <v>362.56178526355507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49.02818337754627</v>
      </c>
      <c r="FR144" s="21">
        <f>EXP(-LN(2)/25)*FR143+(1-EXP(-LN(2)/25))/(LN(2)/25)*Calculateur!FM144*Calculateur!FO144*VLOOKUP('Données projet'!$B$16,Paramètres!$A$1:$I$89,3,0)*0.475*44/12</f>
        <v>24.63842749248407</v>
      </c>
      <c r="FS144" s="21">
        <f>EXP(-LN(2)/2)*FS143+(1-EXP(-LN(2)/2))/(LN(2)/2)*FM144*FP144*VLOOKUP('Données projet'!$B$16,Paramètres!$A$1:$I$89,3,0)*0.475*44/12</f>
        <v>1.7750845396863255E-2</v>
      </c>
      <c r="FT144" s="22">
        <f t="shared" si="132"/>
        <v>73.684361715427201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1245.5063298920588</v>
      </c>
      <c r="S145" s="59">
        <f ca="1">AVERAGE(OFFSET($R$3,0,0,'Données projet'!$E$9+1,1))-AVERAGE(OFFSET($H$3,0,0,'Données projet'!$E$9+1,1))</f>
        <v>681.47578137804555</v>
      </c>
      <c r="T145" s="59">
        <f t="shared" si="142"/>
        <v>300.88511065995885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503.605128000001</v>
      </c>
      <c r="AK145" s="13">
        <f t="shared" si="143"/>
        <v>112.49129485365643</v>
      </c>
      <c r="AL145" s="20">
        <f t="shared" si="112"/>
        <v>1073.0346031367867</v>
      </c>
      <c r="AM145" s="59">
        <f t="shared" si="113"/>
        <v>1358.7297606398458</v>
      </c>
      <c r="AN145" s="59">
        <f ca="1">AVERAGE(OFFSET($AM$3,0,0,'Données projet'!$E$10+1,1))-AVERAGE(OFFSET($H$3,0,0,'Données projet'!$E$10+1,1))</f>
        <v>752.45542076695506</v>
      </c>
      <c r="AO145" s="59">
        <f t="shared" si="144"/>
        <v>329.70629768420724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42.799179306491212</v>
      </c>
      <c r="AV145" s="21">
        <f>EXP(-LN(2)/25)*AV144+(1-EXP(-LN(2)/25))/(LN(2)/25)*Calculateur!AQ145*Calculateur!AS145*VLOOKUP('Données projet'!$B$10,Paramètres!$A$1:$I$89,3,0)*0.475*44/12</f>
        <v>21.338421175431876</v>
      </c>
      <c r="AW145" s="21">
        <f>EXP(-LN(2)/2)*AW144+(1-EXP(-LN(2)/2))/(LN(2)/2)*AQ145*AT145*VLOOKUP('Données projet'!$B$10,Paramètres!$A$1:$I$89,3,0)*0.475*44/12</f>
        <v>1.1176209655815629E-2</v>
      </c>
      <c r="AX145" s="21">
        <f t="shared" si="114"/>
        <v>64.148776691578902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472.61404320000088</v>
      </c>
      <c r="BF145" s="13">
        <f t="shared" si="145"/>
        <v>106.35211134810046</v>
      </c>
      <c r="BG145" s="20">
        <f t="shared" si="115"/>
        <v>1008.3660525046098</v>
      </c>
      <c r="BH145" s="59">
        <f t="shared" si="116"/>
        <v>1294.0612100076689</v>
      </c>
      <c r="BI145" s="59">
        <f ca="1">AVERAGE(OFFSET($BH$3,0,0,'Données projet'!$E$11+1,1))-AVERAGE(OFFSET($H$3,0,0,'Données projet'!$E$11+1,1))</f>
        <v>711.91538686535682</v>
      </c>
      <c r="BJ145" s="59">
        <f t="shared" si="146"/>
        <v>313.24593837351722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40.165383656860982</v>
      </c>
      <c r="BQ145" s="21">
        <f>EXP(-LN(2)/25)*BQ144+(1-EXP(-LN(2)/25))/(LN(2)/25)*Calculateur!BL145*Calculateur!BN145*VLOOKUP('Données projet'!$B$11,Paramètres!$A$1:$I$89,3,0)*0.475*44/12</f>
        <v>20.025287564636059</v>
      </c>
      <c r="BR145" s="21">
        <f>EXP(-LN(2)/2)*BR144+(1-EXP(-LN(2)/2))/(LN(2)/2)*BL145*BO145*VLOOKUP('Données projet'!$B$11,Paramètres!$A$1:$I$89,3,0)*0.475*44/12</f>
        <v>1.0488442907765452E-2</v>
      </c>
      <c r="BS145" s="22">
        <f t="shared" si="117"/>
        <v>60.201159664404805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9.1440000000000055</v>
      </c>
      <c r="BY145" s="12">
        <f>IF('Données projet'!$A$114&gt;35,BY144+BX145-CG144,IF(A145&lt;'Données projet'!$A$114,$BV$205^A145,IF(A145='Données projet'!$A$114,'Données projet'!$B$114,BY144+BX145-CG144)))</f>
        <v>496.65200000000095</v>
      </c>
      <c r="BZ145" s="13">
        <f>BY145*VLOOKUP('Données projet'!$B$12,Paramètres!$A$1:$I$89,3,0)*VLOOKUP('Données projet'!$B$12,Paramètres!$A$1:$I$89,5,0)</f>
        <v>480.36181440000092</v>
      </c>
      <c r="CA145" s="13">
        <f t="shared" si="147"/>
        <v>107.89118689953737</v>
      </c>
      <c r="CB145" s="20">
        <f t="shared" si="118"/>
        <v>1024.5406439300291</v>
      </c>
      <c r="CC145" s="59">
        <f t="shared" si="119"/>
        <v>1310.2358014330882</v>
      </c>
      <c r="CD145" s="59">
        <f ca="1">AVERAGE(OFFSET($CC$3,0,0,'Données projet'!$E$12+1,1))-AVERAGE(OFFSET($H$3,0,0,'Données projet'!$E$12+1,1))</f>
        <v>722.05521609092671</v>
      </c>
      <c r="CE145" s="59">
        <f t="shared" si="148"/>
        <v>317.36319714884644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40.823832569268554</v>
      </c>
      <c r="CL145" s="21">
        <f>EXP(-LN(2)/25)*CL144+(1-EXP(-LN(2)/25))/(LN(2)/25)*Calculateur!CG145*Calculateur!CI145*VLOOKUP('Données projet'!$B$12,Paramètres!$A$1:$I$89,3,0)*0.475*44/12</f>
        <v>20.35357096733502</v>
      </c>
      <c r="CM145" s="21">
        <f>EXP(-LN(2)/2)*CM144+(1-EXP(-LN(2)/2))/(LN(2)/2)*CG145*CJ145*VLOOKUP('Données projet'!$B$12,Paramètres!$A$1:$I$89,3,0)*0.475*44/12</f>
        <v>1.0660384594777986E-2</v>
      </c>
      <c r="CN145" s="22">
        <f t="shared" si="120"/>
        <v>61.188063921198356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9.1440000000000055</v>
      </c>
      <c r="CT145" s="12">
        <f>IF('Données projet'!$A$140&gt;35,CT144+CS145-DB144,IF(A145&lt;'Données projet'!$A$140,$CQ$205^A145,IF(A145='Données projet'!$A$140,'Données projet'!$B$140,CT144+CS145-DB144)))</f>
        <v>496.65200000000095</v>
      </c>
      <c r="CU145" s="17">
        <f>CT145*VLOOKUP('Données projet'!$B$13,Paramètres!$A$1:$I$89,3,0)*VLOOKUP('Données projet'!$B$13,Paramètres!$A$1:$I$89,5,0)</f>
        <v>534.59621280000101</v>
      </c>
      <c r="CV145" s="13">
        <f t="shared" si="149"/>
        <v>118.58663083214981</v>
      </c>
      <c r="CW145" s="20">
        <f t="shared" si="121"/>
        <v>1137.6267859926627</v>
      </c>
      <c r="CX145" s="59">
        <f t="shared" si="122"/>
        <v>1423.3219434957218</v>
      </c>
      <c r="CY145" s="59">
        <f ca="1">AVERAGE(OFFSET($CX$3,0,0,'Données projet'!$E$13+1,1))-AVERAGE(OFFSET($H$3,0,0,'Données projet'!$E$13+1,1))</f>
        <v>792.94606354161886</v>
      </c>
      <c r="CZ145" s="59">
        <f t="shared" si="150"/>
        <v>346.14443498270919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45.432974956121406</v>
      </c>
      <c r="DG145" s="21">
        <f>EXP(-LN(2)/25)*DG144+(1-EXP(-LN(2)/25))/(LN(2)/25)*Calculateur!DB145*Calculateur!DD145*VLOOKUP('Données projet'!$B$13,Paramètres!$A$1:$I$89,3,0)*0.475*44/12</f>
        <v>22.651554786227685</v>
      </c>
      <c r="DH145" s="21">
        <f>EXP(-LN(2)/2)*DH144+(1-EXP(-LN(2)/2))/(LN(2)/2)*DB145*DE145*VLOOKUP('Données projet'!$B$13,Paramètres!$A$1:$I$89,3,0)*0.475*44/12</f>
        <v>1.1863976403865821E-2</v>
      </c>
      <c r="DI145" s="22">
        <f t="shared" si="123"/>
        <v>68.09639371875295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269.21114382490202</v>
      </c>
      <c r="DU145" s="59">
        <f t="shared" si="152"/>
        <v>233.07776944102309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3.8613947162296749</v>
      </c>
      <c r="EB145" s="21">
        <f>EXP(-LN(2)/25)*EB144+(1-EXP(-LN(2)/25))/(LN(2)/25)*Calculateur!DW145*Calculateur!DY145*VLOOKUP('Données projet'!$B$14,Paramètres!$A$1:$I$89,3,0)*0.475*44/12</f>
        <v>15.104504463351027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18.965899179580703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9.1440000000000055</v>
      </c>
      <c r="FE145" s="12">
        <f>IF('Données projet'!$A$218&gt;35,FE144+FD145-FM144,IF(A145&lt;'Données projet'!$A$218,$FB$205^A145,IF(A145='Données projet'!$A$218,'Données projet'!$B$218,FE144+FD145-FM144)))</f>
        <v>496.65200000000095</v>
      </c>
      <c r="FF145" s="17">
        <f>FE145*VLOOKUP('Données projet'!$B$16,Paramètres!$A$1:$I$89,3,0)*VLOOKUP('Données projet'!$B$16,Paramètres!$A$1:$I$89,5,0)</f>
        <v>565.58729760000108</v>
      </c>
      <c r="FG145" s="13">
        <f t="shared" si="155"/>
        <v>124.64095075361317</v>
      </c>
      <c r="FH145" s="20">
        <f t="shared" si="130"/>
        <v>1202.1475325492115</v>
      </c>
      <c r="FI145" s="59">
        <f t="shared" si="131"/>
        <v>1487.8426900522707</v>
      </c>
      <c r="FJ145" s="59">
        <f ca="1">AVERAGE(OFFSET($FI$3,0,0,'Données projet'!$E$16+1,1))-AVERAGE(OFFSET($H$3,0,0,'Données projet'!$E$16+1,1))</f>
        <v>833.39050463936144</v>
      </c>
      <c r="FK145" s="59">
        <f t="shared" si="156"/>
        <v>362.56178526355507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48.06677060575165</v>
      </c>
      <c r="FR145" s="21">
        <f>EXP(-LN(2)/25)*FR144+(1-EXP(-LN(2)/25))/(LN(2)/25)*Calculateur!FM145*Calculateur!FO145*VLOOKUP('Données projet'!$B$16,Paramètres!$A$1:$I$89,3,0)*0.475*44/12</f>
        <v>23.964688397023505</v>
      </c>
      <c r="FS145" s="21">
        <f>EXP(-LN(2)/2)*FS144+(1-EXP(-LN(2)/2))/(LN(2)/2)*FM145*FP145*VLOOKUP('Données projet'!$B$16,Paramètres!$A$1:$I$89,3,0)*0.475*44/12</f>
        <v>1.255174315191602E-2</v>
      </c>
      <c r="FT145" s="22">
        <f t="shared" si="132"/>
        <v>72.044010745927068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1262.9274612816348</v>
      </c>
      <c r="S146" s="59">
        <f ca="1">AVERAGE(OFFSET($R$3,0,0,'Données projet'!$E$9+1,1))-AVERAGE(OFFSET($H$3,0,0,'Données projet'!$E$9+1,1))</f>
        <v>681.47578137804555</v>
      </c>
      <c r="T146" s="59">
        <f t="shared" si="142"/>
        <v>300.88511065995885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512.87714400000095</v>
      </c>
      <c r="AK146" s="13">
        <f t="shared" si="143"/>
        <v>114.31937907794493</v>
      </c>
      <c r="AL146" s="20">
        <f t="shared" si="112"/>
        <v>1092.3672776940891</v>
      </c>
      <c r="AM146" s="59">
        <f t="shared" si="113"/>
        <v>1378.1949404714005</v>
      </c>
      <c r="AN146" s="59">
        <f ca="1">AVERAGE(OFFSET($AM$3,0,0,'Données projet'!$E$10+1,1))-AVERAGE(OFFSET($H$3,0,0,'Données projet'!$E$10+1,1))</f>
        <v>752.45542076695506</v>
      </c>
      <c r="AO146" s="59">
        <f t="shared" si="144"/>
        <v>329.70629768420724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41.959913505212647</v>
      </c>
      <c r="AV146" s="21">
        <f>EXP(-LN(2)/25)*AV145+(1-EXP(-LN(2)/25))/(LN(2)/25)*Calculateur!AQ146*Calculateur!AS146*VLOOKUP('Données projet'!$B$10,Paramètres!$A$1:$I$89,3,0)*0.475*44/12</f>
        <v>20.75492092625089</v>
      </c>
      <c r="AW146" s="21">
        <f>EXP(-LN(2)/2)*AW145+(1-EXP(-LN(2)/2))/(LN(2)/2)*AQ146*AT146*VLOOKUP('Données projet'!$B$10,Paramètres!$A$1:$I$89,3,0)*0.475*44/12</f>
        <v>7.9027736355898014E-3</v>
      </c>
      <c r="AX146" s="21">
        <f t="shared" si="114"/>
        <v>62.722737205099129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481.31547360000093</v>
      </c>
      <c r="BF146" s="13">
        <f t="shared" si="145"/>
        <v>108.08042834567949</v>
      </c>
      <c r="BG146" s="20">
        <f t="shared" si="115"/>
        <v>1026.5311958887266</v>
      </c>
      <c r="BH146" s="59">
        <f t="shared" si="116"/>
        <v>1312.358858666038</v>
      </c>
      <c r="BI146" s="59">
        <f ca="1">AVERAGE(OFFSET($BH$3,0,0,'Données projet'!$E$11+1,1))-AVERAGE(OFFSET($H$3,0,0,'Données projet'!$E$11+1,1))</f>
        <v>711.91538686535682</v>
      </c>
      <c r="BJ146" s="59">
        <f t="shared" si="146"/>
        <v>313.24593837351722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39.377764981814948</v>
      </c>
      <c r="BQ146" s="21">
        <f>EXP(-LN(2)/25)*BQ145+(1-EXP(-LN(2)/25))/(LN(2)/25)*Calculateur!BL146*Calculateur!BN146*VLOOKUP('Données projet'!$B$11,Paramètres!$A$1:$I$89,3,0)*0.475*44/12</f>
        <v>19.477695023096981</v>
      </c>
      <c r="BR146" s="21">
        <f>EXP(-LN(2)/2)*BR145+(1-EXP(-LN(2)/2))/(LN(2)/2)*BL146*BO146*VLOOKUP('Données projet'!$B$11,Paramètres!$A$1:$I$89,3,0)*0.475*44/12</f>
        <v>7.4164491041689021E-3</v>
      </c>
      <c r="BS146" s="22">
        <f t="shared" si="117"/>
        <v>58.862876454016103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9.1440000000000055</v>
      </c>
      <c r="BY146" s="12">
        <f>IF('Données projet'!$A$114&gt;35,BY145+BX146-CG145,IF(A146&lt;'Données projet'!$A$114,$BV$205^A146,IF(A146='Données projet'!$A$114,'Données projet'!$B$114,BY145+BX146-CG145)))</f>
        <v>505.79600000000096</v>
      </c>
      <c r="BZ146" s="13">
        <f>BY146*VLOOKUP('Données projet'!$B$12,Paramètres!$A$1:$I$89,3,0)*VLOOKUP('Données projet'!$B$12,Paramètres!$A$1:$I$89,5,0)</f>
        <v>489.20589120000091</v>
      </c>
      <c r="CA146" s="13">
        <f t="shared" si="147"/>
        <v>109.64451525234377</v>
      </c>
      <c r="CB146" s="20">
        <f t="shared" si="118"/>
        <v>1042.9977912378338</v>
      </c>
      <c r="CC146" s="59">
        <f t="shared" si="119"/>
        <v>1328.8254540151452</v>
      </c>
      <c r="CD146" s="59">
        <f ca="1">AVERAGE(OFFSET($CC$3,0,0,'Données projet'!$E$12+1,1))-AVERAGE(OFFSET($H$3,0,0,'Données projet'!$E$12+1,1))</f>
        <v>722.05521609092671</v>
      </c>
      <c r="CE146" s="59">
        <f t="shared" si="148"/>
        <v>317.36319714884644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40.023302112664389</v>
      </c>
      <c r="CL146" s="21">
        <f>EXP(-LN(2)/25)*CL145+(1-EXP(-LN(2)/25))/(LN(2)/25)*Calculateur!CG146*Calculateur!CI146*VLOOKUP('Données projet'!$B$12,Paramètres!$A$1:$I$89,3,0)*0.475*44/12</f>
        <v>19.797001498885464</v>
      </c>
      <c r="CM146" s="21">
        <f>EXP(-LN(2)/2)*CM145+(1-EXP(-LN(2)/2))/(LN(2)/2)*CG146*CJ146*VLOOKUP('Données projet'!$B$12,Paramètres!$A$1:$I$89,3,0)*0.475*44/12</f>
        <v>7.5380302370241193E-3</v>
      </c>
      <c r="CN146" s="22">
        <f t="shared" si="120"/>
        <v>59.827841641786875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9.1440000000000055</v>
      </c>
      <c r="CT146" s="12">
        <f>IF('Données projet'!$A$140&gt;35,CT145+CS146-DB145,IF(A146&lt;'Données projet'!$A$140,$CQ$205^A146,IF(A146='Données projet'!$A$140,'Données projet'!$B$140,CT145+CS146-DB145)))</f>
        <v>505.79600000000096</v>
      </c>
      <c r="CU146" s="17">
        <f>CT146*VLOOKUP('Données projet'!$B$13,Paramètres!$A$1:$I$89,3,0)*VLOOKUP('Données projet'!$B$13,Paramètres!$A$1:$I$89,5,0)</f>
        <v>544.43881440000098</v>
      </c>
      <c r="CV146" s="13">
        <f t="shared" si="149"/>
        <v>120.51376972158835</v>
      </c>
      <c r="CW146" s="20">
        <f t="shared" si="121"/>
        <v>1158.1257506784348</v>
      </c>
      <c r="CX146" s="59">
        <f t="shared" si="122"/>
        <v>1443.9534134557462</v>
      </c>
      <c r="CY146" s="59">
        <f ca="1">AVERAGE(OFFSET($CX$3,0,0,'Données projet'!$E$13+1,1))-AVERAGE(OFFSET($H$3,0,0,'Données projet'!$E$13+1,1))</f>
        <v>792.94606354161886</v>
      </c>
      <c r="CZ146" s="59">
        <f t="shared" si="150"/>
        <v>346.14443498270919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44.542062028610317</v>
      </c>
      <c r="DG146" s="21">
        <f>EXP(-LN(2)/25)*DG145+(1-EXP(-LN(2)/25))/(LN(2)/25)*Calculateur!DB146*Calculateur!DD146*VLOOKUP('Données projet'!$B$13,Paramètres!$A$1:$I$89,3,0)*0.475*44/12</f>
        <v>22.032146829404795</v>
      </c>
      <c r="DH146" s="21">
        <f>EXP(-LN(2)/2)*DH145+(1-EXP(-LN(2)/2))/(LN(2)/2)*DB146*DE146*VLOOKUP('Données projet'!$B$13,Paramètres!$A$1:$I$89,3,0)*0.475*44/12</f>
        <v>8.3890981670107119E-3</v>
      </c>
      <c r="DI146" s="22">
        <f t="shared" si="123"/>
        <v>66.582597956182127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269.21114382490202</v>
      </c>
      <c r="DU146" s="59">
        <f t="shared" si="152"/>
        <v>233.07776944102309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3.7856751210626296</v>
      </c>
      <c r="EB146" s="21">
        <f>EXP(-LN(2)/25)*EB145+(1-EXP(-LN(2)/25))/(LN(2)/25)*Calculateur!DW146*Calculateur!DY146*VLOOKUP('Données projet'!$B$14,Paramètres!$A$1:$I$89,3,0)*0.475*44/12</f>
        <v>14.691470994489325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18.477146115551953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9.1440000000000055</v>
      </c>
      <c r="FE146" s="12">
        <f>IF('Données projet'!$A$218&gt;35,FE145+FD146-FM145,IF(A146&lt;'Données projet'!$A$218,$FB$205^A146,IF(A146='Données projet'!$A$218,'Données projet'!$B$218,FE145+FD146-FM145)))</f>
        <v>505.79600000000096</v>
      </c>
      <c r="FF146" s="17">
        <f>FE146*VLOOKUP('Données projet'!$B$16,Paramètres!$A$1:$I$89,3,0)*VLOOKUP('Données projet'!$B$16,Paramètres!$A$1:$I$89,5,0)</f>
        <v>576.00048480000112</v>
      </c>
      <c r="FG146" s="13">
        <f t="shared" si="155"/>
        <v>126.66647776056456</v>
      </c>
      <c r="FH146" s="20">
        <f t="shared" si="130"/>
        <v>1223.811626459652</v>
      </c>
      <c r="FI146" s="59">
        <f t="shared" si="131"/>
        <v>1509.6392892369634</v>
      </c>
      <c r="FJ146" s="59">
        <f ca="1">AVERAGE(OFFSET($FI$3,0,0,'Données projet'!$E$16+1,1))-AVERAGE(OFFSET($H$3,0,0,'Données projet'!$E$16+1,1))</f>
        <v>833.39050463936144</v>
      </c>
      <c r="FK146" s="59">
        <f t="shared" si="156"/>
        <v>362.56178526355507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47.12421055200803</v>
      </c>
      <c r="FR146" s="21">
        <f>EXP(-LN(2)/25)*FR145+(1-EXP(-LN(2)/25))/(LN(2)/25)*Calculateur!FM146*Calculateur!FO146*VLOOKUP('Données projet'!$B$16,Paramètres!$A$1:$I$89,3,0)*0.475*44/12</f>
        <v>23.309372732558707</v>
      </c>
      <c r="FS146" s="21">
        <f>EXP(-LN(2)/2)*FS145+(1-EXP(-LN(2)/2))/(LN(2)/2)*FM146*FP146*VLOOKUP('Données projet'!$B$16,Paramètres!$A$1:$I$89,3,0)*0.475*44/12</f>
        <v>8.8754226984316276E-3</v>
      </c>
      <c r="FT146" s="22">
        <f t="shared" si="132"/>
        <v>70.442458707265175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1280.3402417361278</v>
      </c>
      <c r="S147" s="59">
        <f ca="1">AVERAGE(OFFSET($R$3,0,0,'Données projet'!$E$9+1,1))-AVERAGE(OFFSET($H$3,0,0,'Données projet'!$E$9+1,1))</f>
        <v>681.47578137804555</v>
      </c>
      <c r="T147" s="59">
        <f t="shared" si="142"/>
        <v>300.88511065995885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522.14916000000096</v>
      </c>
      <c r="AK147" s="13">
        <f t="shared" si="143"/>
        <v>116.14362023352821</v>
      </c>
      <c r="AL147" s="20">
        <f t="shared" si="112"/>
        <v>1111.6932589067299</v>
      </c>
      <c r="AM147" s="59">
        <f t="shared" si="113"/>
        <v>1397.6511282880228</v>
      </c>
      <c r="AN147" s="59">
        <f ca="1">AVERAGE(OFFSET($AM$3,0,0,'Données projet'!$E$10+1,1))-AVERAGE(OFFSET($H$3,0,0,'Données projet'!$E$10+1,1))</f>
        <v>752.45542076695506</v>
      </c>
      <c r="AO147" s="59">
        <f t="shared" si="144"/>
        <v>329.70629768420724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56.031127516309859</v>
      </c>
      <c r="AV147" s="21">
        <f>EXP(-LN(2)/25)*AV146+(1-EXP(-LN(2)/25))/(LN(2)/25)*Calculateur!AQ147*Calculateur!AS147*VLOOKUP('Données projet'!$B$10,Paramètres!$A$1:$I$89,3,0)*0.475*44/12</f>
        <v>26.121528074454901</v>
      </c>
      <c r="AW147" s="21">
        <f>EXP(-LN(2)/2)*AW146+(1-EXP(-LN(2)/2))/(LN(2)/2)*AQ147*AT147*VLOOKUP('Données projet'!$B$10,Paramètres!$A$1:$I$89,3,0)*0.475*44/12</f>
        <v>5.5881048279078143E-3</v>
      </c>
      <c r="AX147" s="21">
        <f t="shared" si="114"/>
        <v>82.158243695592674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490.01690400000092</v>
      </c>
      <c r="BF147" s="13">
        <f t="shared" si="145"/>
        <v>109.80511200904009</v>
      </c>
      <c r="BG147" s="20">
        <f t="shared" si="115"/>
        <v>1044.6900112157464</v>
      </c>
      <c r="BH147" s="59">
        <f t="shared" si="116"/>
        <v>1330.6478805970391</v>
      </c>
      <c r="BI147" s="59">
        <f ca="1">AVERAGE(OFFSET($BH$3,0,0,'Données projet'!$E$11+1,1))-AVERAGE(OFFSET($H$3,0,0,'Données projet'!$E$11+1,1))</f>
        <v>711.91538686535682</v>
      </c>
      <c r="BJ147" s="59">
        <f t="shared" si="146"/>
        <v>313.24593837351722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52.583058130690787</v>
      </c>
      <c r="BQ147" s="21">
        <f>EXP(-LN(2)/25)*BQ146+(1-EXP(-LN(2)/25))/(LN(2)/25)*Calculateur!BL147*Calculateur!BN147*VLOOKUP('Données projet'!$B$11,Paramètres!$A$1:$I$89,3,0)*0.475*44/12</f>
        <v>24.514049423719207</v>
      </c>
      <c r="BR147" s="21">
        <f>EXP(-LN(2)/2)*BR146+(1-EXP(-LN(2)/2))/(LN(2)/2)*BL147*BO147*VLOOKUP('Données projet'!$B$11,Paramètres!$A$1:$I$89,3,0)*0.475*44/12</f>
        <v>5.2442214538827268E-3</v>
      </c>
      <c r="BS147" s="22">
        <f t="shared" si="117"/>
        <v>77.10235177586388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9.1440000000000055</v>
      </c>
      <c r="BX147" s="12">
        <f t="array" ref="BX147">INDEX(BW:BW,MIN(IF(ISNUMBER(BW147:BW343),ROW(BW147:BW343),"")))</f>
        <v>9.1440000000000055</v>
      </c>
      <c r="BY147" s="12">
        <f>IF('Données projet'!$A$114&gt;35,BY146+BX147-CG146,IF(A147&lt;'Données projet'!$A$114,$BV$205^A147,IF(A147='Données projet'!$A$114,'Données projet'!$B$114,BY146+BX147-CG146)))</f>
        <v>514.94000000000096</v>
      </c>
      <c r="BZ147" s="13">
        <f>BY147*VLOOKUP('Données projet'!$B$12,Paramètres!$A$1:$I$89,3,0)*VLOOKUP('Données projet'!$B$12,Paramètres!$A$1:$I$89,5,0)</f>
        <v>498.04996800000094</v>
      </c>
      <c r="CA147" s="13">
        <f t="shared" si="147"/>
        <v>111.39415769110236</v>
      </c>
      <c r="CB147" s="20">
        <f t="shared" si="118"/>
        <v>1061.4485189120048</v>
      </c>
      <c r="CC147" s="59">
        <f t="shared" si="119"/>
        <v>1347.4063882932978</v>
      </c>
      <c r="CD147" s="59">
        <f ca="1">AVERAGE(OFFSET($CC$3,0,0,'Données projet'!$E$12+1,1))-AVERAGE(OFFSET($H$3,0,0,'Données projet'!$E$12+1,1))</f>
        <v>722.05521609092671</v>
      </c>
      <c r="CE147" s="59">
        <f t="shared" si="148"/>
        <v>317.36319714884644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61.800000000000068</v>
      </c>
      <c r="CH147" s="16">
        <f>IF(ISNA(VLOOKUP(A147,'Données projet'!$A$113:$I$133,5,0)),0%,VLOOKUP(A147,'Données projet'!$A$113:$I$133,5,0)*VLOOKUP('Données projet'!$B$12,Paramètres!$A$1:$I$89,7,0))</f>
        <v>0.215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53.445075477095571</v>
      </c>
      <c r="CL147" s="21">
        <f>EXP(-LN(2)/25)*CL146+(1-EXP(-LN(2)/25))/(LN(2)/25)*Calculateur!CG147*Calculateur!CI147*VLOOKUP('Données projet'!$B$12,Paramètres!$A$1:$I$89,3,0)*0.475*44/12</f>
        <v>24.915919086403132</v>
      </c>
      <c r="CM147" s="21">
        <f>EXP(-LN(2)/2)*CM146+(1-EXP(-LN(2)/2))/(LN(2)/2)*CG147*CJ147*VLOOKUP('Données projet'!$B$12,Paramètres!$A$1:$I$89,3,0)*0.475*44/12</f>
        <v>5.3301922973889929E-3</v>
      </c>
      <c r="CN147" s="22">
        <f t="shared" si="120"/>
        <v>78.3663247557961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514.94000000000005</v>
      </c>
      <c r="CR147" s="12">
        <f>VLOOKUP(A147,'Données projet'!$A$139:$I$159,9,0)</f>
        <v>9.1440000000000055</v>
      </c>
      <c r="CS147" s="12">
        <f t="array" ref="CS147">INDEX(CR:CR,MIN(IF(ISNUMBER(CR147:CR343),ROW(CR147:CR343),"")))</f>
        <v>9.1440000000000055</v>
      </c>
      <c r="CT147" s="12">
        <f>IF('Données projet'!$A$140&gt;35,CT146+CS147-DB146,IF(A147&lt;'Données projet'!$A$140,$CQ$205^A147,IF(A147='Données projet'!$A$140,'Données projet'!$B$140,CT146+CS147-DB146)))</f>
        <v>514.94000000000096</v>
      </c>
      <c r="CU147" s="17">
        <f>CT147*VLOOKUP('Données projet'!$B$13,Paramètres!$A$1:$I$89,3,0)*VLOOKUP('Données projet'!$B$13,Paramètres!$A$1:$I$89,5,0)</f>
        <v>554.28141600000106</v>
      </c>
      <c r="CV147" s="13">
        <f t="shared" si="149"/>
        <v>122.43685730580899</v>
      </c>
      <c r="CW147" s="20">
        <f t="shared" si="121"/>
        <v>1178.6176593409525</v>
      </c>
      <c r="CX147" s="59">
        <f t="shared" si="122"/>
        <v>1464.5755287222455</v>
      </c>
      <c r="CY147" s="59">
        <f ca="1">AVERAGE(OFFSET($CX$3,0,0,'Données projet'!$E$13+1,1))-AVERAGE(OFFSET($H$3,0,0,'Données projet'!$E$13+1,1))</f>
        <v>792.94606354161886</v>
      </c>
      <c r="CZ147" s="59">
        <f t="shared" si="150"/>
        <v>346.14443498270919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61.800000000000068</v>
      </c>
      <c r="DC147" s="16">
        <f>IF(ISNA(VLOOKUP(A147,'Données projet'!$A$139:$I$159,5,0)),0%,VLOOKUP(A147,'Données projet'!$A$139:$I$159,5,0)*VLOOKUP('Données projet'!$B$13,Paramètres!$A$1:$I$89,7,0))</f>
        <v>0.215</v>
      </c>
      <c r="DD147" s="16">
        <f>IF(ISNA(VLOOKUP(A147,'Données projet'!$A$139:$I$159,6,0)),0%,VLOOKUP(A147,'Données projet'!$A$139:$I$159,6,0)*VLOOKUP('Données projet'!$B$13,Paramètres!$A$1:$I$89,7,0))</f>
        <v>8.6000000000000007E-2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59.479196901928894</v>
      </c>
      <c r="DG147" s="21">
        <f>EXP(-LN(2)/25)*DG146+(1-EXP(-LN(2)/25))/(LN(2)/25)*Calculateur!DB147*Calculateur!DD147*VLOOKUP('Données projet'!$B$13,Paramètres!$A$1:$I$89,3,0)*0.475*44/12</f>
        <v>27.72900672519059</v>
      </c>
      <c r="DH147" s="21">
        <f>EXP(-LN(2)/2)*DH146+(1-EXP(-LN(2)/2))/(LN(2)/2)*DB147*DE147*VLOOKUP('Données projet'!$B$13,Paramètres!$A$1:$I$89,3,0)*0.475*44/12</f>
        <v>5.9319882019329105E-3</v>
      </c>
      <c r="DI147" s="22">
        <f t="shared" si="123"/>
        <v>87.214135615321425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269.21114382490202</v>
      </c>
      <c r="DU147" s="59">
        <f t="shared" si="152"/>
        <v>233.07776944102309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3.711440340972417</v>
      </c>
      <c r="EB147" s="21">
        <f>EXP(-LN(2)/25)*EB146+(1-EXP(-LN(2)/25))/(LN(2)/25)*Calculateur!DW147*Calculateur!DY147*VLOOKUP('Données projet'!$B$14,Paramètres!$A$1:$I$89,3,0)*0.475*44/12</f>
        <v>14.289731947554133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18.001172288526551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>
        <f>VLOOKUP(A147,'Données projet'!$A$217:$I$237,2,0)</f>
        <v>514.94000000000005</v>
      </c>
      <c r="FC147" s="12">
        <f>VLOOKUP(A147,'Données projet'!$A$217:$I$237,9,0)</f>
        <v>9.1440000000000055</v>
      </c>
      <c r="FD147" s="12">
        <f t="array" ref="FD147">INDEX(FC:FC,MIN(IF(ISNUMBER(FC147:FC343),ROW(FC147:FC343),"")))</f>
        <v>9.1440000000000055</v>
      </c>
      <c r="FE147" s="12">
        <f>IF('Données projet'!$A$218&gt;35,FE146+FD147-FM146,IF(A147&lt;'Données projet'!$A$218,$FB$205^A147,IF(A147='Données projet'!$A$218,'Données projet'!$B$218,FE146+FD147-FM146)))</f>
        <v>514.94000000000096</v>
      </c>
      <c r="FF147" s="17">
        <f>FE147*VLOOKUP('Données projet'!$B$16,Paramètres!$A$1:$I$89,3,0)*VLOOKUP('Données projet'!$B$16,Paramètres!$A$1:$I$89,5,0)</f>
        <v>586.41367200000116</v>
      </c>
      <c r="FG147" s="13">
        <f t="shared" si="155"/>
        <v>128.68774662702725</v>
      </c>
      <c r="FH147" s="20">
        <f t="shared" si="130"/>
        <v>1245.4683041087408</v>
      </c>
      <c r="FI147" s="59">
        <f t="shared" si="131"/>
        <v>1531.4261734900338</v>
      </c>
      <c r="FJ147" s="59">
        <f ca="1">AVERAGE(OFFSET($FI$3,0,0,'Données projet'!$E$16+1,1))-AVERAGE(OFFSET($H$3,0,0,'Données projet'!$E$16+1,1))</f>
        <v>833.39050463936144</v>
      </c>
      <c r="FK147" s="59">
        <f t="shared" si="156"/>
        <v>362.56178526355507</v>
      </c>
      <c r="FL147" s="15">
        <f>IF(ISNA(VLOOKUP(A147,'Données projet'!$A$217:$I$237,3,0)),0,VLOOKUP(A147,'Données projet'!$A$217:$I$237,3,0))</f>
        <v>12</v>
      </c>
      <c r="FM147" s="15">
        <f>IF(ISNA(VLOOKUP(A147,'Données projet'!$A$217:$I$237,4,0)),0,VLOOKUP(A147,'Données projet'!$A$217:$I$237,4,0))</f>
        <v>61.800000000000068</v>
      </c>
      <c r="FN147" s="16">
        <f>IF(ISNA(VLOOKUP(A147,'Données projet'!$A$217:$I$237,5,0)),0%,VLOOKUP(A147,'Données projet'!$A$217:$I$237,5,0)*VLOOKUP('Données projet'!$B$16,Paramètres!$A$1:$I$89,7,0))</f>
        <v>0.215</v>
      </c>
      <c r="FO147" s="16">
        <f>IF(ISNA(VLOOKUP(A147,'Données projet'!$A$217:$I$237,6,0)),0%,VLOOKUP(A147,'Données projet'!$A$217:$I$237,6,0)*VLOOKUP('Données projet'!$B$16,Paramètres!$A$1:$I$89,7,0))</f>
        <v>8.6000000000000007E-2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62.927266287547965</v>
      </c>
      <c r="FR147" s="21">
        <f>EXP(-LN(2)/25)*FR146+(1-EXP(-LN(2)/25))/(LN(2)/25)*Calculateur!FM147*Calculateur!FO147*VLOOKUP('Données projet'!$B$16,Paramètres!$A$1:$I$89,3,0)*0.475*44/12</f>
        <v>29.336485375926287</v>
      </c>
      <c r="FS147" s="21">
        <f>EXP(-LN(2)/2)*FS146+(1-EXP(-LN(2)/2))/(LN(2)/2)*FM147*FP147*VLOOKUP('Données projet'!$B$16,Paramètres!$A$1:$I$89,3,0)*0.475*44/12</f>
        <v>6.2758715759580102E-3</v>
      </c>
      <c r="FT147" s="22">
        <f t="shared" si="132"/>
        <v>92.270027535050204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1181.2225383998002</v>
      </c>
      <c r="S148" s="59">
        <f ca="1">AVERAGE(OFFSET($R$3,0,0,'Données projet'!$E$9+1,1))-AVERAGE(OFFSET($H$3,0,0,'Données projet'!$E$9+1,1))</f>
        <v>681.47578137804555</v>
      </c>
      <c r="T148" s="59">
        <f t="shared" si="142"/>
        <v>300.88511065995885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468.94965000000099</v>
      </c>
      <c r="AK148" s="13">
        <f t="shared" si="143"/>
        <v>105.62316801364989</v>
      </c>
      <c r="AL148" s="20">
        <f t="shared" si="112"/>
        <v>1000.7143247071086</v>
      </c>
      <c r="AM148" s="59">
        <f t="shared" si="113"/>
        <v>1286.8001418989022</v>
      </c>
      <c r="AN148" s="59">
        <f ca="1">AVERAGE(OFFSET($AM$3,0,0,'Données projet'!$E$10+1,1))-AVERAGE(OFFSET($H$3,0,0,'Données projet'!$E$10+1,1))</f>
        <v>752.45542076695506</v>
      </c>
      <c r="AO148" s="59">
        <f t="shared" si="144"/>
        <v>329.70629768420724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54.932391281328243</v>
      </c>
      <c r="AV148" s="21">
        <f>EXP(-LN(2)/25)*AV147+(1-EXP(-LN(2)/25))/(LN(2)/25)*Calculateur!AQ148*Calculateur!AS148*VLOOKUP('Données projet'!$B$10,Paramètres!$A$1:$I$89,3,0)*0.475*44/12</f>
        <v>25.407233515587471</v>
      </c>
      <c r="AW148" s="21">
        <f>EXP(-LN(2)/2)*AW147+(1-EXP(-LN(2)/2))/(LN(2)/2)*AQ148*AT148*VLOOKUP('Données projet'!$B$10,Paramètres!$A$1:$I$89,3,0)*0.475*44/12</f>
        <v>3.9513868177949007E-3</v>
      </c>
      <c r="AX148" s="21">
        <f t="shared" si="114"/>
        <v>80.343576183733504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440.09121000000096</v>
      </c>
      <c r="BF148" s="13">
        <f t="shared" si="145"/>
        <v>99.858810765228739</v>
      </c>
      <c r="BG148" s="20">
        <f t="shared" si="115"/>
        <v>940.4129528327752</v>
      </c>
      <c r="BH148" s="59">
        <f t="shared" si="116"/>
        <v>1226.4987700245688</v>
      </c>
      <c r="BI148" s="59">
        <f ca="1">AVERAGE(OFFSET($BH$3,0,0,'Données projet'!$E$11+1,1))-AVERAGE(OFFSET($H$3,0,0,'Données projet'!$E$11+1,1))</f>
        <v>711.91538686535682</v>
      </c>
      <c r="BJ148" s="59">
        <f t="shared" si="146"/>
        <v>313.24593837351722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51.551936433246503</v>
      </c>
      <c r="BQ148" s="21">
        <f>EXP(-LN(2)/25)*BQ147+(1-EXP(-LN(2)/25))/(LN(2)/25)*Calculateur!BL148*Calculateur!BN148*VLOOKUP('Données projet'!$B$11,Paramètres!$A$1:$I$89,3,0)*0.475*44/12</f>
        <v>23.843711453089774</v>
      </c>
      <c r="BR148" s="21">
        <f>EXP(-LN(2)/2)*BR147+(1-EXP(-LN(2)/2))/(LN(2)/2)*BL148*BO148*VLOOKUP('Données projet'!$B$11,Paramètres!$A$1:$I$89,3,0)*0.475*44/12</f>
        <v>3.7082245520844519E-3</v>
      </c>
      <c r="BS148" s="22">
        <f t="shared" si="117"/>
        <v>75.399356110888363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9.3350000000000026</v>
      </c>
      <c r="BY148" s="12">
        <f>IF('Données projet'!$A$114&gt;35,BY147+BX148-CG147,IF(A148&lt;'Données projet'!$A$114,$BV$205^A148,IF(A148='Données projet'!$A$114,'Données projet'!$B$114,BY147+BX148-CG147)))</f>
        <v>462.47500000000093</v>
      </c>
      <c r="BZ148" s="13">
        <f>BY148*VLOOKUP('Données projet'!$B$12,Paramètres!$A$1:$I$89,3,0)*VLOOKUP('Données projet'!$B$12,Paramètres!$A$1:$I$89,5,0)</f>
        <v>447.30582000000095</v>
      </c>
      <c r="CA148" s="13">
        <f t="shared" si="147"/>
        <v>101.30391845793157</v>
      </c>
      <c r="CB148" s="20">
        <f t="shared" si="118"/>
        <v>955.49529448089913</v>
      </c>
      <c r="CC148" s="59">
        <f t="shared" si="119"/>
        <v>1241.5811116726927</v>
      </c>
      <c r="CD148" s="59">
        <f ca="1">AVERAGE(OFFSET($CC$3,0,0,'Données projet'!$E$12+1,1))-AVERAGE(OFFSET($H$3,0,0,'Données projet'!$E$12+1,1))</f>
        <v>722.05521609092671</v>
      </c>
      <c r="CE148" s="59">
        <f t="shared" si="148"/>
        <v>317.36319714884644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52.397050145266952</v>
      </c>
      <c r="CL148" s="21">
        <f>EXP(-LN(2)/25)*CL147+(1-EXP(-LN(2)/25))/(LN(2)/25)*Calculateur!CG148*Calculateur!CI148*VLOOKUP('Données projet'!$B$12,Paramètres!$A$1:$I$89,3,0)*0.475*44/12</f>
        <v>24.234591968714199</v>
      </c>
      <c r="CM148" s="21">
        <f>EXP(-LN(2)/2)*CM147+(1-EXP(-LN(2)/2))/(LN(2)/2)*CG148*CJ148*VLOOKUP('Données projet'!$B$12,Paramètres!$A$1:$I$89,3,0)*0.475*44/12</f>
        <v>3.7690151185120597E-3</v>
      </c>
      <c r="CN148" s="22">
        <f t="shared" si="120"/>
        <v>76.635411129099651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9.3350000000000026</v>
      </c>
      <c r="CT148" s="12">
        <f>IF('Données projet'!$A$140&gt;35,CT147+CS148-DB147,IF(A148&lt;'Données projet'!$A$140,$CQ$205^A148,IF(A148='Données projet'!$A$140,'Données projet'!$B$140,CT147+CS148-DB147)))</f>
        <v>462.47500000000093</v>
      </c>
      <c r="CU148" s="17">
        <f>CT148*VLOOKUP('Données projet'!$B$13,Paramètres!$A$1:$I$89,3,0)*VLOOKUP('Données projet'!$B$13,Paramètres!$A$1:$I$89,5,0)</f>
        <v>497.80809000000102</v>
      </c>
      <c r="CV148" s="13">
        <f t="shared" si="149"/>
        <v>111.34635483440437</v>
      </c>
      <c r="CW148" s="20">
        <f t="shared" si="121"/>
        <v>1060.9439914199227</v>
      </c>
      <c r="CX148" s="59">
        <f t="shared" si="122"/>
        <v>1347.0298086117164</v>
      </c>
      <c r="CY148" s="59">
        <f ca="1">AVERAGE(OFFSET($CX$3,0,0,'Données projet'!$E$13+1,1))-AVERAGE(OFFSET($H$3,0,0,'Données projet'!$E$13+1,1))</f>
        <v>792.94606354161886</v>
      </c>
      <c r="CZ148" s="59">
        <f t="shared" si="150"/>
        <v>346.14443498270919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58.312846129409955</v>
      </c>
      <c r="DG148" s="21">
        <f>EXP(-LN(2)/25)*DG147+(1-EXP(-LN(2)/25))/(LN(2)/25)*Calculateur!DB148*Calculateur!DD148*VLOOKUP('Données projet'!$B$13,Paramètres!$A$1:$I$89,3,0)*0.475*44/12</f>
        <v>26.970755578085164</v>
      </c>
      <c r="DH148" s="21">
        <f>EXP(-LN(2)/2)*DH147+(1-EXP(-LN(2)/2))/(LN(2)/2)*DB148*DE148*VLOOKUP('Données projet'!$B$13,Paramètres!$A$1:$I$89,3,0)*0.475*44/12</f>
        <v>4.1945490835053559E-3</v>
      </c>
      <c r="DI148" s="22">
        <f t="shared" si="123"/>
        <v>85.287796256578631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269.21114382490202</v>
      </c>
      <c r="DU148" s="59">
        <f t="shared" si="152"/>
        <v>233.07776944102309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3.6386612596410286</v>
      </c>
      <c r="EB148" s="21">
        <f>EXP(-LN(2)/25)*EB147+(1-EXP(-LN(2)/25))/(LN(2)/25)*Calculateur!DW148*Calculateur!DY148*VLOOKUP('Données projet'!$B$14,Paramètres!$A$1:$I$89,3,0)*0.475*44/12</f>
        <v>13.898978475983922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17.53763973562495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9.3350000000000026</v>
      </c>
      <c r="FE148" s="12">
        <f>IF('Données projet'!$A$218&gt;35,FE147+FD148-FM147,IF(A148&lt;'Données projet'!$A$218,$FB$205^A148,IF(A148='Données projet'!$A$218,'Données projet'!$B$218,FE147+FD148-FM147)))</f>
        <v>462.47500000000093</v>
      </c>
      <c r="FF148" s="17">
        <f>FE148*VLOOKUP('Données projet'!$B$16,Paramètres!$A$1:$I$89,3,0)*VLOOKUP('Données projet'!$B$16,Paramètres!$A$1:$I$89,5,0)</f>
        <v>526.66653000000099</v>
      </c>
      <c r="FG148" s="13">
        <f t="shared" si="155"/>
        <v>117.03102982285583</v>
      </c>
      <c r="FH148" s="20">
        <f t="shared" si="130"/>
        <v>1121.1065833581422</v>
      </c>
      <c r="FI148" s="59">
        <f t="shared" si="131"/>
        <v>1407.1924005499359</v>
      </c>
      <c r="FJ148" s="59">
        <f ca="1">AVERAGE(OFFSET($FI$3,0,0,'Données projet'!$E$16+1,1))-AVERAGE(OFFSET($H$3,0,0,'Données projet'!$E$16+1,1))</f>
        <v>833.39050463936144</v>
      </c>
      <c r="FK148" s="59">
        <f t="shared" si="156"/>
        <v>362.56178526355507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61.693300977491695</v>
      </c>
      <c r="FR148" s="21">
        <f>EXP(-LN(2)/25)*FR147+(1-EXP(-LN(2)/25))/(LN(2)/25)*Calculateur!FM148*Calculateur!FO148*VLOOKUP('Données projet'!$B$16,Paramètres!$A$1:$I$89,3,0)*0.475*44/12</f>
        <v>28.534277640582868</v>
      </c>
      <c r="FS148" s="21">
        <f>EXP(-LN(2)/2)*FS147+(1-EXP(-LN(2)/2))/(LN(2)/2)*FM148*FP148*VLOOKUP('Données projet'!$B$16,Paramètres!$A$1:$I$89,3,0)*0.475*44/12</f>
        <v>4.4377113492158138E-3</v>
      </c>
      <c r="FT148" s="22">
        <f t="shared" si="132"/>
        <v>90.232016329423772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1199.022208885388</v>
      </c>
      <c r="S149" s="59">
        <f ca="1">AVERAGE(OFFSET($R$3,0,0,'Données projet'!$E$9+1,1))-AVERAGE(OFFSET($H$3,0,0,'Données projet'!$E$9+1,1))</f>
        <v>681.47578137804555</v>
      </c>
      <c r="T149" s="59">
        <f t="shared" si="142"/>
        <v>300.88511065995885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478.41534000000098</v>
      </c>
      <c r="AK149" s="13">
        <f t="shared" si="143"/>
        <v>107.50479816034752</v>
      </c>
      <c r="AL149" s="20">
        <f t="shared" si="112"/>
        <v>1020.4775739626069</v>
      </c>
      <c r="AM149" s="59">
        <f t="shared" si="113"/>
        <v>1306.6891193564375</v>
      </c>
      <c r="AN149" s="59">
        <f ca="1">AVERAGE(OFFSET($AM$3,0,0,'Données projet'!$E$10+1,1))-AVERAGE(OFFSET($H$3,0,0,'Données projet'!$E$10+1,1))</f>
        <v>752.45542076695506</v>
      </c>
      <c r="AO149" s="59">
        <f t="shared" si="144"/>
        <v>329.70629768420724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53.85520059375169</v>
      </c>
      <c r="AV149" s="21">
        <f>EXP(-LN(2)/25)*AV148+(1-EXP(-LN(2)/25))/(LN(2)/25)*Calculateur!AQ149*Calculateur!AS149*VLOOKUP('Données projet'!$B$10,Paramètres!$A$1:$I$89,3,0)*0.475*44/12</f>
        <v>24.712471378995389</v>
      </c>
      <c r="AW149" s="21">
        <f>EXP(-LN(2)/2)*AW148+(1-EXP(-LN(2)/2))/(LN(2)/2)*AQ149*AT149*VLOOKUP('Données projet'!$B$10,Paramètres!$A$1:$I$89,3,0)*0.475*44/12</f>
        <v>2.7940524139539072E-3</v>
      </c>
      <c r="AX149" s="21">
        <f t="shared" si="114"/>
        <v>78.570466025161039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448.97439600000092</v>
      </c>
      <c r="BF149" s="13">
        <f t="shared" si="145"/>
        <v>101.63775143026291</v>
      </c>
      <c r="BG149" s="20">
        <f t="shared" si="115"/>
        <v>958.98282344104257</v>
      </c>
      <c r="BH149" s="59">
        <f t="shared" si="116"/>
        <v>1245.1943688348733</v>
      </c>
      <c r="BI149" s="59">
        <f ca="1">AVERAGE(OFFSET($BH$3,0,0,'Données projet'!$E$11+1,1))-AVERAGE(OFFSET($H$3,0,0,'Données projet'!$E$11+1,1))</f>
        <v>711.91538686535682</v>
      </c>
      <c r="BJ149" s="59">
        <f t="shared" si="146"/>
        <v>313.24593837351722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50.541034403366972</v>
      </c>
      <c r="BQ149" s="21">
        <f>EXP(-LN(2)/25)*BQ148+(1-EXP(-LN(2)/25))/(LN(2)/25)*Calculateur!BL149*Calculateur!BN149*VLOOKUP('Données projet'!$B$11,Paramètres!$A$1:$I$89,3,0)*0.475*44/12</f>
        <v>23.191703909518743</v>
      </c>
      <c r="BR149" s="21">
        <f>EXP(-LN(2)/2)*BR148+(1-EXP(-LN(2)/2))/(LN(2)/2)*BL149*BO149*VLOOKUP('Données projet'!$B$11,Paramètres!$A$1:$I$89,3,0)*0.475*44/12</f>
        <v>2.6221107269413639E-3</v>
      </c>
      <c r="BS149" s="22">
        <f t="shared" si="117"/>
        <v>73.735360423612661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9.3350000000000026</v>
      </c>
      <c r="BY149" s="12">
        <f>IF('Données projet'!$A$114&gt;35,BY148+BX149-CG148,IF(A149&lt;'Données projet'!$A$114,$BV$205^A149,IF(A149='Données projet'!$A$114,'Données projet'!$B$114,BY148+BX149-CG148)))</f>
        <v>471.81000000000091</v>
      </c>
      <c r="BZ149" s="13">
        <f>BY149*VLOOKUP('Données projet'!$B$12,Paramètres!$A$1:$I$89,3,0)*VLOOKUP('Données projet'!$B$12,Paramètres!$A$1:$I$89,5,0)</f>
        <v>456.33463200000091</v>
      </c>
      <c r="CA149" s="13">
        <f t="shared" si="147"/>
        <v>103.10860307905939</v>
      </c>
      <c r="CB149" s="20">
        <f t="shared" si="118"/>
        <v>974.36363442936329</v>
      </c>
      <c r="CC149" s="59">
        <f t="shared" si="119"/>
        <v>1260.575179823194</v>
      </c>
      <c r="CD149" s="59">
        <f ca="1">AVERAGE(OFFSET($CC$3,0,0,'Données projet'!$E$12+1,1))-AVERAGE(OFFSET($H$3,0,0,'Données projet'!$E$12+1,1))</f>
        <v>722.05521609092671</v>
      </c>
      <c r="CE149" s="59">
        <f t="shared" si="148"/>
        <v>317.36319714884644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51.36957595096316</v>
      </c>
      <c r="CL149" s="21">
        <f>EXP(-LN(2)/25)*CL148+(1-EXP(-LN(2)/25))/(LN(2)/25)*Calculateur!CG149*Calculateur!CI149*VLOOKUP('Données projet'!$B$12,Paramètres!$A$1:$I$89,3,0)*0.475*44/12</f>
        <v>23.571895776887906</v>
      </c>
      <c r="CM149" s="21">
        <f>EXP(-LN(2)/2)*CM148+(1-EXP(-LN(2)/2))/(LN(2)/2)*CG149*CJ149*VLOOKUP('Données projet'!$B$12,Paramètres!$A$1:$I$89,3,0)*0.475*44/12</f>
        <v>2.6650961486944964E-3</v>
      </c>
      <c r="CN149" s="22">
        <f t="shared" si="120"/>
        <v>74.944136823999756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9.3350000000000026</v>
      </c>
      <c r="CT149" s="12">
        <f>IF('Données projet'!$A$140&gt;35,CT148+CS149-DB148,IF(A149&lt;'Données projet'!$A$140,$CQ$205^A149,IF(A149='Données projet'!$A$140,'Données projet'!$B$140,CT148+CS149-DB148)))</f>
        <v>471.81000000000091</v>
      </c>
      <c r="CU149" s="17">
        <f>CT149*VLOOKUP('Données projet'!$B$13,Paramètres!$A$1:$I$89,3,0)*VLOOKUP('Données projet'!$B$13,Paramètres!$A$1:$I$89,5,0)</f>
        <v>507.85628400000098</v>
      </c>
      <c r="CV149" s="13">
        <f t="shared" si="149"/>
        <v>113.32994102975717</v>
      </c>
      <c r="CW149" s="20">
        <f t="shared" si="121"/>
        <v>1081.8993419268288</v>
      </c>
      <c r="CX149" s="59">
        <f t="shared" si="122"/>
        <v>1368.1108873206595</v>
      </c>
      <c r="CY149" s="59">
        <f ca="1">AVERAGE(OFFSET($CX$3,0,0,'Données projet'!$E$13+1,1))-AVERAGE(OFFSET($H$3,0,0,'Données projet'!$E$13+1,1))</f>
        <v>792.94606354161886</v>
      </c>
      <c r="CZ149" s="59">
        <f t="shared" si="150"/>
        <v>346.14443498270919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57.169366784136386</v>
      </c>
      <c r="DG149" s="21">
        <f>EXP(-LN(2)/25)*DG148+(1-EXP(-LN(2)/25))/(LN(2)/25)*Calculateur!DB149*Calculateur!DD149*VLOOKUP('Données projet'!$B$13,Paramètres!$A$1:$I$89,3,0)*0.475*44/12</f>
        <v>26.23323884847203</v>
      </c>
      <c r="DH149" s="21">
        <f>EXP(-LN(2)/2)*DH148+(1-EXP(-LN(2)/2))/(LN(2)/2)*DB149*DE149*VLOOKUP('Données projet'!$B$13,Paramètres!$A$1:$I$89,3,0)*0.475*44/12</f>
        <v>2.9659941009664553E-3</v>
      </c>
      <c r="DI149" s="22">
        <f t="shared" si="123"/>
        <v>83.405571626709374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269.21114382490202</v>
      </c>
      <c r="DU149" s="59">
        <f t="shared" si="152"/>
        <v>233.07776944102309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3.5673093317036924</v>
      </c>
      <c r="EB149" s="21">
        <f>EXP(-LN(2)/25)*EB148+(1-EXP(-LN(2)/25))/(LN(2)/25)*Calculateur!DW149*Calculateur!DY149*VLOOKUP('Données projet'!$B$14,Paramètres!$A$1:$I$89,3,0)*0.475*44/12</f>
        <v>13.51891017864263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17.086219510346321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9.3350000000000026</v>
      </c>
      <c r="FE149" s="12">
        <f>IF('Données projet'!$A$218&gt;35,FE148+FD149-FM148,IF(A149&lt;'Données projet'!$A$218,$FB$205^A149,IF(A149='Données projet'!$A$218,'Données projet'!$B$218,FE148+FD149-FM148)))</f>
        <v>471.81000000000091</v>
      </c>
      <c r="FF149" s="17">
        <f>FE149*VLOOKUP('Données projet'!$B$16,Paramètres!$A$1:$I$89,3,0)*VLOOKUP('Données projet'!$B$16,Paramètres!$A$1:$I$89,5,0)</f>
        <v>537.29722800000104</v>
      </c>
      <c r="FG149" s="13">
        <f t="shared" si="155"/>
        <v>119.11588599555941</v>
      </c>
      <c r="FH149" s="20">
        <f t="shared" si="130"/>
        <v>1143.2528402089345</v>
      </c>
      <c r="FI149" s="59">
        <f t="shared" si="131"/>
        <v>1429.4643856027651</v>
      </c>
      <c r="FJ149" s="59">
        <f ca="1">AVERAGE(OFFSET($FI$3,0,0,'Données projet'!$E$16+1,1))-AVERAGE(OFFSET($H$3,0,0,'Données projet'!$E$16+1,1))</f>
        <v>833.39050463936144</v>
      </c>
      <c r="FK149" s="59">
        <f t="shared" si="156"/>
        <v>362.56178526355507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60.483532974521104</v>
      </c>
      <c r="FR149" s="21">
        <f>EXP(-LN(2)/25)*FR148+(1-EXP(-LN(2)/25))/(LN(2)/25)*Calculateur!FM149*Calculateur!FO149*VLOOKUP('Données projet'!$B$16,Paramètres!$A$1:$I$89,3,0)*0.475*44/12</f>
        <v>27.754006317948683</v>
      </c>
      <c r="FS149" s="21">
        <f>EXP(-LN(2)/2)*FS148+(1-EXP(-LN(2)/2))/(LN(2)/2)*FM149*FP149*VLOOKUP('Données projet'!$B$16,Paramètres!$A$1:$I$89,3,0)*0.475*44/12</f>
        <v>3.1379357879790051E-3</v>
      </c>
      <c r="FT149" s="22">
        <f t="shared" si="132"/>
        <v>88.240677228257766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1216.812881097361</v>
      </c>
      <c r="S150" s="59">
        <f ca="1">AVERAGE(OFFSET($R$3,0,0,'Données projet'!$E$9+1,1))-AVERAGE(OFFSET($H$3,0,0,'Données projet'!$E$9+1,1))</f>
        <v>681.47578137804555</v>
      </c>
      <c r="T150" s="59">
        <f t="shared" si="142"/>
        <v>300.88511065995885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487.88103000000092</v>
      </c>
      <c r="AK150" s="13">
        <f t="shared" si="143"/>
        <v>109.38209953839079</v>
      </c>
      <c r="AL150" s="20">
        <f t="shared" si="112"/>
        <v>1040.2332839460321</v>
      </c>
      <c r="AM150" s="59">
        <f t="shared" si="113"/>
        <v>1326.5683764386804</v>
      </c>
      <c r="AN150" s="59">
        <f ca="1">AVERAGE(OFFSET($AM$3,0,0,'Données projet'!$E$10+1,1))-AVERAGE(OFFSET($H$3,0,0,'Données projet'!$E$10+1,1))</f>
        <v>752.45542076695506</v>
      </c>
      <c r="AO150" s="59">
        <f t="shared" si="144"/>
        <v>329.70629768420724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52.799132958537065</v>
      </c>
      <c r="AV150" s="21">
        <f>EXP(-LN(2)/25)*AV149+(1-EXP(-LN(2)/25))/(LN(2)/25)*Calculateur!AQ150*Calculateur!AS150*VLOOKUP('Données projet'!$B$10,Paramètres!$A$1:$I$89,3,0)*0.475*44/12</f>
        <v>24.036707549564372</v>
      </c>
      <c r="AW150" s="21">
        <f>EXP(-LN(2)/2)*AW149+(1-EXP(-LN(2)/2))/(LN(2)/2)*AQ150*AT150*VLOOKUP('Données projet'!$B$10,Paramètres!$A$1:$I$89,3,0)*0.475*44/12</f>
        <v>1.9756934088974503E-3</v>
      </c>
      <c r="AX150" s="21">
        <f t="shared" si="114"/>
        <v>76.837816201510336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457.85758200000089</v>
      </c>
      <c r="BF150" s="13">
        <f t="shared" si="145"/>
        <v>103.4125995680798</v>
      </c>
      <c r="BG150" s="20">
        <f t="shared" si="115"/>
        <v>977.54556623107385</v>
      </c>
      <c r="BH150" s="59">
        <f t="shared" si="116"/>
        <v>1263.8806587237223</v>
      </c>
      <c r="BI150" s="59">
        <f ca="1">AVERAGE(OFFSET($BH$3,0,0,'Données projet'!$E$11+1,1))-AVERAGE(OFFSET($H$3,0,0,'Données projet'!$E$11+1,1))</f>
        <v>711.91538686535682</v>
      </c>
      <c r="BJ150" s="59">
        <f t="shared" si="146"/>
        <v>313.24593837351722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49.549955545704016</v>
      </c>
      <c r="BQ150" s="21">
        <f>EXP(-LN(2)/25)*BQ149+(1-EXP(-LN(2)/25))/(LN(2)/25)*Calculateur!BL150*Calculateur!BN150*VLOOKUP('Données projet'!$B$11,Paramètres!$A$1:$I$89,3,0)*0.475*44/12</f>
        <v>22.557525546514249</v>
      </c>
      <c r="BR150" s="21">
        <f>EXP(-LN(2)/2)*BR149+(1-EXP(-LN(2)/2))/(LN(2)/2)*BL150*BO150*VLOOKUP('Données projet'!$B$11,Paramètres!$A$1:$I$89,3,0)*0.475*44/12</f>
        <v>1.8541122760422262E-3</v>
      </c>
      <c r="BS150" s="22">
        <f t="shared" si="117"/>
        <v>72.1093352044943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9.3350000000000026</v>
      </c>
      <c r="BY150" s="12">
        <f>IF('Données projet'!$A$114&gt;35,BY149+BX150-CG149,IF(A150&lt;'Données projet'!$A$114,$BV$205^A150,IF(A150='Données projet'!$A$114,'Données projet'!$B$114,BY149+BX150-CG149)))</f>
        <v>481.14500000000089</v>
      </c>
      <c r="BZ150" s="13">
        <f>BY150*VLOOKUP('Données projet'!$B$12,Paramètres!$A$1:$I$89,3,0)*VLOOKUP('Données projet'!$B$12,Paramètres!$A$1:$I$89,5,0)</f>
        <v>465.36344400000087</v>
      </c>
      <c r="CA150" s="13">
        <f t="shared" si="147"/>
        <v>104.90913594792478</v>
      </c>
      <c r="CB150" s="20">
        <f t="shared" si="118"/>
        <v>993.22474340930387</v>
      </c>
      <c r="CC150" s="59">
        <f t="shared" si="119"/>
        <v>1279.5598359019523</v>
      </c>
      <c r="CD150" s="59">
        <f ca="1">AVERAGE(OFFSET($CC$3,0,0,'Données projet'!$E$12+1,1))-AVERAGE(OFFSET($H$3,0,0,'Données projet'!$E$12+1,1))</f>
        <v>722.05521609092671</v>
      </c>
      <c r="CE150" s="59">
        <f t="shared" si="148"/>
        <v>317.36319714884644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50.362249898912289</v>
      </c>
      <c r="CL150" s="21">
        <f>EXP(-LN(2)/25)*CL149+(1-EXP(-LN(2)/25))/(LN(2)/25)*Calculateur!CG150*Calculateur!CI150*VLOOKUP('Données projet'!$B$12,Paramètres!$A$1:$I$89,3,0)*0.475*44/12</f>
        <v>22.927321047276781</v>
      </c>
      <c r="CM150" s="21">
        <f>EXP(-LN(2)/2)*CM149+(1-EXP(-LN(2)/2))/(LN(2)/2)*CG150*CJ150*VLOOKUP('Données projet'!$B$12,Paramètres!$A$1:$I$89,3,0)*0.475*44/12</f>
        <v>1.8845075592560298E-3</v>
      </c>
      <c r="CN150" s="22">
        <f t="shared" si="120"/>
        <v>73.291455453748327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9.3350000000000026</v>
      </c>
      <c r="CT150" s="12">
        <f>IF('Données projet'!$A$140&gt;35,CT149+CS150-DB149,IF(A150&lt;'Données projet'!$A$140,$CQ$205^A150,IF(A150='Données projet'!$A$140,'Données projet'!$B$140,CT149+CS150-DB149)))</f>
        <v>481.14500000000089</v>
      </c>
      <c r="CU150" s="17">
        <f>CT150*VLOOKUP('Données projet'!$B$13,Paramètres!$A$1:$I$89,3,0)*VLOOKUP('Données projet'!$B$13,Paramètres!$A$1:$I$89,5,0)</f>
        <v>517.90447800000095</v>
      </c>
      <c r="CV150" s="13">
        <f t="shared" si="149"/>
        <v>115.30896390231209</v>
      </c>
      <c r="CW150" s="20">
        <f t="shared" si="121"/>
        <v>1102.8467446465284</v>
      </c>
      <c r="CX150" s="59">
        <f t="shared" si="122"/>
        <v>1389.1818371391769</v>
      </c>
      <c r="CY150" s="59">
        <f ca="1">AVERAGE(OFFSET($CX$3,0,0,'Données projet'!$E$13+1,1))-AVERAGE(OFFSET($H$3,0,0,'Données projet'!$E$13+1,1))</f>
        <v>792.94606354161886</v>
      </c>
      <c r="CZ150" s="59">
        <f t="shared" si="150"/>
        <v>346.14443498270919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56.048310371370093</v>
      </c>
      <c r="DG150" s="21">
        <f>EXP(-LN(2)/25)*DG149+(1-EXP(-LN(2)/25))/(LN(2)/25)*Calculateur!DB150*Calculateur!DD150*VLOOKUP('Données projet'!$B$13,Paramètres!$A$1:$I$89,3,0)*0.475*44/12</f>
        <v>25.515889552614489</v>
      </c>
      <c r="DH150" s="21">
        <f>EXP(-LN(2)/2)*DH149+(1-EXP(-LN(2)/2))/(LN(2)/2)*DB150*DE150*VLOOKUP('Données projet'!$B$13,Paramètres!$A$1:$I$89,3,0)*0.475*44/12</f>
        <v>2.097274541752678E-3</v>
      </c>
      <c r="DI150" s="22">
        <f t="shared" si="123"/>
        <v>81.566297198526328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269.21114382490202</v>
      </c>
      <c r="DU150" s="59">
        <f t="shared" si="152"/>
        <v>233.07776944102309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3.4973565715528285</v>
      </c>
      <c r="EB150" s="21">
        <f>EXP(-LN(2)/25)*EB149+(1-EXP(-LN(2)/25))/(LN(2)/25)*Calculateur!DW150*Calculateur!DY150*VLOOKUP('Données projet'!$B$14,Paramètres!$A$1:$I$89,3,0)*0.475*44/12</f>
        <v>13.149234868879059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16.646591440431887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9.3350000000000026</v>
      </c>
      <c r="FE150" s="12">
        <f>IF('Données projet'!$A$218&gt;35,FE149+FD150-FM149,IF(A150&lt;'Données projet'!$A$218,$FB$205^A150,IF(A150='Données projet'!$A$218,'Données projet'!$B$218,FE149+FD150-FM149)))</f>
        <v>481.14500000000089</v>
      </c>
      <c r="FF150" s="17">
        <f>FE150*VLOOKUP('Données projet'!$B$16,Paramètres!$A$1:$I$89,3,0)*VLOOKUP('Données projet'!$B$16,Paramètres!$A$1:$I$89,5,0)</f>
        <v>547.92792600000109</v>
      </c>
      <c r="FG150" s="13">
        <f t="shared" si="155"/>
        <v>121.19594586965721</v>
      </c>
      <c r="FH150" s="20">
        <f t="shared" si="130"/>
        <v>1165.3907435063215</v>
      </c>
      <c r="FI150" s="59">
        <f t="shared" si="131"/>
        <v>1451.7258359989701</v>
      </c>
      <c r="FJ150" s="59">
        <f ca="1">AVERAGE(OFFSET($FI$3,0,0,'Données projet'!$E$16+1,1))-AVERAGE(OFFSET($H$3,0,0,'Données projet'!$E$16+1,1))</f>
        <v>833.39050463936144</v>
      </c>
      <c r="FK150" s="59">
        <f t="shared" si="156"/>
        <v>362.56178526355507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59.297487784203142</v>
      </c>
      <c r="FR150" s="21">
        <f>EXP(-LN(2)/25)*FR149+(1-EXP(-LN(2)/25))/(LN(2)/25)*Calculateur!FM150*Calculateur!FO150*VLOOKUP('Données projet'!$B$16,Paramètres!$A$1:$I$89,3,0)*0.475*44/12</f>
        <v>26.995071555664616</v>
      </c>
      <c r="FS150" s="21">
        <f>EXP(-LN(2)/2)*FS149+(1-EXP(-LN(2)/2))/(LN(2)/2)*FM150*FP150*VLOOKUP('Données projet'!$B$16,Paramètres!$A$1:$I$89,3,0)*0.475*44/12</f>
        <v>2.2188556746079069E-3</v>
      </c>
      <c r="FT150" s="22">
        <f t="shared" si="132"/>
        <v>86.294778195542364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1234.5947403848643</v>
      </c>
      <c r="S151" s="59">
        <f ca="1">AVERAGE(OFFSET($R$3,0,0,'Données projet'!$E$9+1,1))-AVERAGE(OFFSET($H$3,0,0,'Données projet'!$E$9+1,1))</f>
        <v>681.47578137804555</v>
      </c>
      <c r="T151" s="59">
        <f t="shared" si="142"/>
        <v>300.88511065995885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497.34672000000091</v>
      </c>
      <c r="AK151" s="13">
        <f t="shared" si="143"/>
        <v>111.25516581491246</v>
      </c>
      <c r="AL151" s="20">
        <f t="shared" si="112"/>
        <v>1059.9816177943073</v>
      </c>
      <c r="AM151" s="59">
        <f t="shared" si="113"/>
        <v>1346.4381141198191</v>
      </c>
      <c r="AN151" s="59">
        <f ca="1">AVERAGE(OFFSET($AM$3,0,0,'Données projet'!$E$10+1,1))-AVERAGE(OFFSET($H$3,0,0,'Données projet'!$E$10+1,1))</f>
        <v>752.45542076695506</v>
      </c>
      <c r="AO151" s="59">
        <f t="shared" si="144"/>
        <v>329.70629768420724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51.76377416551135</v>
      </c>
      <c r="AV151" s="21">
        <f>EXP(-LN(2)/25)*AV150+(1-EXP(-LN(2)/25))/(LN(2)/25)*Calculateur!AQ151*Calculateur!AS151*VLOOKUP('Données projet'!$B$10,Paramètres!$A$1:$I$89,3,0)*0.475*44/12</f>
        <v>23.379422517586022</v>
      </c>
      <c r="AW151" s="21">
        <f>EXP(-LN(2)/2)*AW150+(1-EXP(-LN(2)/2))/(LN(2)/2)*AQ151*AT151*VLOOKUP('Données projet'!$B$10,Paramètres!$A$1:$I$89,3,0)*0.475*44/12</f>
        <v>1.3970262069769536E-3</v>
      </c>
      <c r="AX151" s="21">
        <f t="shared" si="114"/>
        <v>75.144593709304345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466.74076800000086</v>
      </c>
      <c r="BF151" s="13">
        <f t="shared" si="145"/>
        <v>105.18344373395189</v>
      </c>
      <c r="BG151" s="20">
        <f t="shared" si="115"/>
        <v>996.10133543663414</v>
      </c>
      <c r="BH151" s="59">
        <f t="shared" si="116"/>
        <v>1282.5578317621457</v>
      </c>
      <c r="BI151" s="59">
        <f ca="1">AVERAGE(OFFSET($BH$3,0,0,'Données projet'!$E$11+1,1))-AVERAGE(OFFSET($H$3,0,0,'Données projet'!$E$11+1,1))</f>
        <v>711.91538686535682</v>
      </c>
      <c r="BJ151" s="59">
        <f t="shared" si="146"/>
        <v>313.24593837351722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48.57831113994142</v>
      </c>
      <c r="BQ151" s="21">
        <f>EXP(-LN(2)/25)*BQ150+(1-EXP(-LN(2)/25))/(LN(2)/25)*Calculateur!BL151*Calculateur!BN151*VLOOKUP('Données projet'!$B$11,Paramètres!$A$1:$I$89,3,0)*0.475*44/12</f>
        <v>21.940688824196105</v>
      </c>
      <c r="BR151" s="21">
        <f>EXP(-LN(2)/2)*BR150+(1-EXP(-LN(2)/2))/(LN(2)/2)*BL151*BO151*VLOOKUP('Données projet'!$B$11,Paramètres!$A$1:$I$89,3,0)*0.475*44/12</f>
        <v>1.3110553634706821E-3</v>
      </c>
      <c r="BS151" s="22">
        <f t="shared" si="117"/>
        <v>70.520311019500994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9.3350000000000026</v>
      </c>
      <c r="BY151" s="12">
        <f>IF('Données projet'!$A$114&gt;35,BY150+BX151-CG150,IF(A151&lt;'Données projet'!$A$114,$BV$205^A151,IF(A151='Données projet'!$A$114,'Données projet'!$B$114,BY150+BX151-CG150)))</f>
        <v>490.48000000000087</v>
      </c>
      <c r="BZ151" s="13">
        <f>BY151*VLOOKUP('Données projet'!$B$12,Paramètres!$A$1:$I$89,3,0)*VLOOKUP('Données projet'!$B$12,Paramètres!$A$1:$I$89,5,0)</f>
        <v>474.39225600000083</v>
      </c>
      <c r="CA151" s="13">
        <f t="shared" si="147"/>
        <v>106.70560690132898</v>
      </c>
      <c r="CB151" s="20">
        <f t="shared" si="118"/>
        <v>1012.0787778864825</v>
      </c>
      <c r="CC151" s="59">
        <f t="shared" si="119"/>
        <v>1298.5352742119942</v>
      </c>
      <c r="CD151" s="59">
        <f ca="1">AVERAGE(OFFSET($CC$3,0,0,'Données projet'!$E$12+1,1))-AVERAGE(OFFSET($H$3,0,0,'Données projet'!$E$12+1,1))</f>
        <v>722.05521609092671</v>
      </c>
      <c r="CE151" s="59">
        <f t="shared" si="148"/>
        <v>317.36319714884644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49.374676896333909</v>
      </c>
      <c r="CL151" s="21">
        <f>EXP(-LN(2)/25)*CL150+(1-EXP(-LN(2)/25))/(LN(2)/25)*Calculateur!CG151*Calculateur!CI151*VLOOKUP('Données projet'!$B$12,Paramètres!$A$1:$I$89,3,0)*0.475*44/12</f>
        <v>22.300372247543585</v>
      </c>
      <c r="CM151" s="21">
        <f>EXP(-LN(2)/2)*CM150+(1-EXP(-LN(2)/2))/(LN(2)/2)*CG151*CJ151*VLOOKUP('Données projet'!$B$12,Paramètres!$A$1:$I$89,3,0)*0.475*44/12</f>
        <v>1.3325480743472482E-3</v>
      </c>
      <c r="CN151" s="22">
        <f t="shared" si="120"/>
        <v>71.676381691951832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9.3350000000000026</v>
      </c>
      <c r="CT151" s="12">
        <f>IF('Données projet'!$A$140&gt;35,CT150+CS151-DB150,IF(A151&lt;'Données projet'!$A$140,$CQ$205^A151,IF(A151='Données projet'!$A$140,'Données projet'!$B$140,CT150+CS151-DB150)))</f>
        <v>490.48000000000087</v>
      </c>
      <c r="CU151" s="17">
        <f>CT151*VLOOKUP('Données projet'!$B$13,Paramètres!$A$1:$I$89,3,0)*VLOOKUP('Données projet'!$B$13,Paramètres!$A$1:$I$89,5,0)</f>
        <v>527.95267200000092</v>
      </c>
      <c r="CV151" s="13">
        <f t="shared" si="149"/>
        <v>117.2835221945514</v>
      </c>
      <c r="CW151" s="20">
        <f t="shared" si="121"/>
        <v>1123.786371555512</v>
      </c>
      <c r="CX151" s="59">
        <f t="shared" si="122"/>
        <v>1410.2428678810238</v>
      </c>
      <c r="CY151" s="59">
        <f ca="1">AVERAGE(OFFSET($CX$3,0,0,'Données projet'!$E$13+1,1))-AVERAGE(OFFSET($H$3,0,0,'Données projet'!$E$13+1,1))</f>
        <v>792.94606354161886</v>
      </c>
      <c r="CZ151" s="59">
        <f t="shared" si="150"/>
        <v>346.14443498270919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54.949237191081252</v>
      </c>
      <c r="DG151" s="21">
        <f>EXP(-LN(2)/25)*DG150+(1-EXP(-LN(2)/25))/(LN(2)/25)*Calculateur!DB151*Calculateur!DD151*VLOOKUP('Données projet'!$B$13,Paramètres!$A$1:$I$89,3,0)*0.475*44/12</f>
        <v>24.818156210975932</v>
      </c>
      <c r="DH151" s="21">
        <f>EXP(-LN(2)/2)*DH150+(1-EXP(-LN(2)/2))/(LN(2)/2)*DB151*DE151*VLOOKUP('Données projet'!$B$13,Paramètres!$A$1:$I$89,3,0)*0.475*44/12</f>
        <v>1.4829970504832276E-3</v>
      </c>
      <c r="DI151" s="22">
        <f t="shared" si="123"/>
        <v>79.768876399107668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269.21114382490202</v>
      </c>
      <c r="DU151" s="59">
        <f t="shared" si="152"/>
        <v>233.07776944102309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3.4287755423615525</v>
      </c>
      <c r="EB151" s="21">
        <f>EXP(-LN(2)/25)*EB150+(1-EXP(-LN(2)/25))/(LN(2)/25)*Calculateur!DW151*Calculateur!DY151*VLOOKUP('Données projet'!$B$14,Paramètres!$A$1:$I$89,3,0)*0.475*44/12</f>
        <v>12.789668349901353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16.218443892262904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9.3350000000000026</v>
      </c>
      <c r="FE151" s="12">
        <f>IF('Données projet'!$A$218&gt;35,FE150+FD151-FM150,IF(A151&lt;'Données projet'!$A$218,$FB$205^A151,IF(A151='Données projet'!$A$218,'Données projet'!$B$218,FE150+FD151-FM150)))</f>
        <v>490.48000000000087</v>
      </c>
      <c r="FF151" s="17">
        <f>FE151*VLOOKUP('Données projet'!$B$16,Paramètres!$A$1:$I$89,3,0)*VLOOKUP('Données projet'!$B$16,Paramètres!$A$1:$I$89,5,0)</f>
        <v>558.55862400000103</v>
      </c>
      <c r="FG151" s="13">
        <f t="shared" si="155"/>
        <v>123.27131322882838</v>
      </c>
      <c r="FH151" s="20">
        <f t="shared" si="130"/>
        <v>1187.5204740068777</v>
      </c>
      <c r="FI151" s="59">
        <f t="shared" si="131"/>
        <v>1473.9769703323896</v>
      </c>
      <c r="FJ151" s="59">
        <f ca="1">AVERAGE(OFFSET($FI$3,0,0,'Données projet'!$E$16+1,1))-AVERAGE(OFFSET($H$3,0,0,'Données projet'!$E$16+1,1))</f>
        <v>833.39050463936144</v>
      </c>
      <c r="FK151" s="59">
        <f t="shared" si="156"/>
        <v>362.56178526355507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58.134700216651183</v>
      </c>
      <c r="FR151" s="21">
        <f>EXP(-LN(2)/25)*FR150+(1-EXP(-LN(2)/25))/(LN(2)/25)*Calculateur!FM151*Calculateur!FO151*VLOOKUP('Données projet'!$B$16,Paramètres!$A$1:$I$89,3,0)*0.475*44/12</f>
        <v>26.256889904365853</v>
      </c>
      <c r="FS151" s="21">
        <f>EXP(-LN(2)/2)*FS150+(1-EXP(-LN(2)/2))/(LN(2)/2)*FM151*FP151*VLOOKUP('Données projet'!$B$16,Paramètres!$A$1:$I$89,3,0)*0.475*44/12</f>
        <v>1.5689678939895025E-3</v>
      </c>
      <c r="FT151" s="22">
        <f t="shared" si="132"/>
        <v>84.39315908891102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1252.367965504357</v>
      </c>
      <c r="S152" s="59">
        <f ca="1">AVERAGE(OFFSET($R$3,0,0,'Données projet'!$E$9+1,1))-AVERAGE(OFFSET($H$3,0,0,'Données projet'!$E$9+1,1))</f>
        <v>681.47578137804555</v>
      </c>
      <c r="T152" s="59">
        <f t="shared" si="142"/>
        <v>300.88511065995885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506.81241000000091</v>
      </c>
      <c r="AK152" s="13">
        <f t="shared" si="143"/>
        <v>113.12408688761556</v>
      </c>
      <c r="AL152" s="20">
        <f t="shared" si="112"/>
        <v>1079.7227320792654</v>
      </c>
      <c r="AM152" s="59">
        <f t="shared" si="113"/>
        <v>1366.2985261525585</v>
      </c>
      <c r="AN152" s="59">
        <f ca="1">AVERAGE(OFFSET($AM$3,0,0,'Données projet'!$E$10+1,1))-AVERAGE(OFFSET($H$3,0,0,'Données projet'!$E$10+1,1))</f>
        <v>752.45542076695506</v>
      </c>
      <c r="AO152" s="59">
        <f t="shared" si="144"/>
        <v>329.70629768420724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50.748718126910362</v>
      </c>
      <c r="AV152" s="21">
        <f>EXP(-LN(2)/25)*AV151+(1-EXP(-LN(2)/25))/(LN(2)/25)*Calculateur!AQ152*Calculateur!AS152*VLOOKUP('Données projet'!$B$10,Paramètres!$A$1:$I$89,3,0)*0.475*44/12</f>
        <v>22.740110979372236</v>
      </c>
      <c r="AW152" s="21">
        <f>EXP(-LN(2)/2)*AW151+(1-EXP(-LN(2)/2))/(LN(2)/2)*AQ152*AT152*VLOOKUP('Données projet'!$B$10,Paramètres!$A$1:$I$89,3,0)*0.475*44/12</f>
        <v>9.8784670444872517E-4</v>
      </c>
      <c r="AX152" s="21">
        <f t="shared" si="114"/>
        <v>73.489816952987042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475.62395400000082</v>
      </c>
      <c r="BF152" s="13">
        <f t="shared" si="145"/>
        <v>106.95036891943845</v>
      </c>
      <c r="BG152" s="20">
        <f t="shared" si="115"/>
        <v>1014.6502790846899</v>
      </c>
      <c r="BH152" s="59">
        <f t="shared" si="116"/>
        <v>1301.2260731579831</v>
      </c>
      <c r="BI152" s="59">
        <f ca="1">AVERAGE(OFFSET($BH$3,0,0,'Données projet'!$E$11+1,1))-AVERAGE(OFFSET($H$3,0,0,'Données projet'!$E$11+1,1))</f>
        <v>711.91538686535682</v>
      </c>
      <c r="BJ152" s="59">
        <f t="shared" si="146"/>
        <v>313.24593837351722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47.625720088331256</v>
      </c>
      <c r="BQ152" s="21">
        <f>EXP(-LN(2)/25)*BQ151+(1-EXP(-LN(2)/25))/(LN(2)/25)*Calculateur!BL152*Calculateur!BN152*VLOOKUP('Données projet'!$B$11,Paramètres!$A$1:$I$89,3,0)*0.475*44/12</f>
        <v>21.340719534487782</v>
      </c>
      <c r="BR152" s="21">
        <f>EXP(-LN(2)/2)*BR151+(1-EXP(-LN(2)/2))/(LN(2)/2)*BL152*BO152*VLOOKUP('Données projet'!$B$11,Paramètres!$A$1:$I$89,3,0)*0.475*44/12</f>
        <v>9.270561380211132E-4</v>
      </c>
      <c r="BS152" s="22">
        <f t="shared" si="117"/>
        <v>68.967366678957063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9.3350000000000026</v>
      </c>
      <c r="BY152" s="12">
        <f>IF('Données projet'!$A$114&gt;35,BY151+BX152-CG151,IF(A152&lt;'Données projet'!$A$114,$BV$205^A152,IF(A152='Données projet'!$A$114,'Données projet'!$B$114,BY151+BX152-CG151)))</f>
        <v>499.81500000000085</v>
      </c>
      <c r="BZ152" s="13">
        <f>BY152*VLOOKUP('Données projet'!$B$12,Paramètres!$A$1:$I$89,3,0)*VLOOKUP('Données projet'!$B$12,Paramètres!$A$1:$I$89,5,0)</f>
        <v>483.42106800000084</v>
      </c>
      <c r="CA152" s="13">
        <f t="shared" si="147"/>
        <v>108.49810216078707</v>
      </c>
      <c r="CB152" s="20">
        <f t="shared" si="118"/>
        <v>1030.9258880300388</v>
      </c>
      <c r="CC152" s="59">
        <f t="shared" si="119"/>
        <v>1317.5016821033319</v>
      </c>
      <c r="CD152" s="59">
        <f ca="1">AVERAGE(OFFSET($CC$3,0,0,'Données projet'!$E$12+1,1))-AVERAGE(OFFSET($H$3,0,0,'Données projet'!$E$12+1,1))</f>
        <v>722.05521609092671</v>
      </c>
      <c r="CE152" s="59">
        <f t="shared" si="148"/>
        <v>317.36319714884644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48.406469597976042</v>
      </c>
      <c r="CL152" s="21">
        <f>EXP(-LN(2)/25)*CL151+(1-EXP(-LN(2)/25))/(LN(2)/25)*Calculateur!CG152*Calculateur!CI152*VLOOKUP('Données projet'!$B$12,Paramètres!$A$1:$I$89,3,0)*0.475*44/12</f>
        <v>21.690567395708896</v>
      </c>
      <c r="CM152" s="21">
        <f>EXP(-LN(2)/2)*CM151+(1-EXP(-LN(2)/2))/(LN(2)/2)*CG152*CJ152*VLOOKUP('Données projet'!$B$12,Paramètres!$A$1:$I$89,3,0)*0.475*44/12</f>
        <v>9.4225377962801492E-4</v>
      </c>
      <c r="CN152" s="22">
        <f t="shared" si="120"/>
        <v>70.097979247464565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9.3350000000000026</v>
      </c>
      <c r="CT152" s="12">
        <f>IF('Données projet'!$A$140&gt;35,CT151+CS152-DB151,IF(A152&lt;'Données projet'!$A$140,$CQ$205^A152,IF(A152='Données projet'!$A$140,'Données projet'!$B$140,CT151+CS152-DB151)))</f>
        <v>499.81500000000085</v>
      </c>
      <c r="CU152" s="17">
        <f>CT152*VLOOKUP('Données projet'!$B$13,Paramètres!$A$1:$I$89,3,0)*VLOOKUP('Données projet'!$B$13,Paramètres!$A$1:$I$89,5,0)</f>
        <v>538.00086600000088</v>
      </c>
      <c r="CV152" s="13">
        <f t="shared" si="149"/>
        <v>119.25371067528131</v>
      </c>
      <c r="CW152" s="20">
        <f t="shared" si="121"/>
        <v>1144.7183877094499</v>
      </c>
      <c r="CX152" s="59">
        <f t="shared" si="122"/>
        <v>1431.294181782743</v>
      </c>
      <c r="CY152" s="59">
        <f ca="1">AVERAGE(OFFSET($CX$3,0,0,'Données projet'!$E$13+1,1))-AVERAGE(OFFSET($H$3,0,0,'Données projet'!$E$13+1,1))</f>
        <v>792.94606354161886</v>
      </c>
      <c r="CZ152" s="59">
        <f t="shared" si="150"/>
        <v>346.14443498270919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53.871716165489431</v>
      </c>
      <c r="DG152" s="21">
        <f>EXP(-LN(2)/25)*DG151+(1-EXP(-LN(2)/25))/(LN(2)/25)*Calculateur!DB152*Calculateur!DD152*VLOOKUP('Données projet'!$B$13,Paramètres!$A$1:$I$89,3,0)*0.475*44/12</f>
        <v>24.139502424256683</v>
      </c>
      <c r="DH152" s="21">
        <f>EXP(-LN(2)/2)*DH151+(1-EXP(-LN(2)/2))/(LN(2)/2)*DB152*DE152*VLOOKUP('Données projet'!$B$13,Paramètres!$A$1:$I$89,3,0)*0.475*44/12</f>
        <v>1.048637270876339E-3</v>
      </c>
      <c r="DI152" s="22">
        <f t="shared" si="123"/>
        <v>78.012267227016977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269.21114382490202</v>
      </c>
      <c r="DU152" s="59">
        <f t="shared" si="152"/>
        <v>233.07776944102309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3.36153934532242</v>
      </c>
      <c r="EB152" s="21">
        <f>EXP(-LN(2)/25)*EB151+(1-EXP(-LN(2)/25))/(LN(2)/25)*Calculateur!DW152*Calculateur!DY152*VLOOKUP('Données projet'!$B$14,Paramètres!$A$1:$I$89,3,0)*0.475*44/12</f>
        <v>12.439934196293873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15.801473541616293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9.3350000000000026</v>
      </c>
      <c r="FE152" s="12">
        <f>IF('Données projet'!$A$218&gt;35,FE151+FD152-FM151,IF(A152&lt;'Données projet'!$A$218,$FB$205^A152,IF(A152='Données projet'!$A$218,'Données projet'!$B$218,FE151+FD152-FM151)))</f>
        <v>499.81500000000085</v>
      </c>
      <c r="FF152" s="17">
        <f>FE152*VLOOKUP('Données projet'!$B$16,Paramètres!$A$1:$I$89,3,0)*VLOOKUP('Données projet'!$B$16,Paramètres!$A$1:$I$89,5,0)</f>
        <v>569.18932200000097</v>
      </c>
      <c r="FG152" s="13">
        <f t="shared" si="155"/>
        <v>125.34208768020456</v>
      </c>
      <c r="FH152" s="20">
        <f t="shared" si="130"/>
        <v>1209.6422051930247</v>
      </c>
      <c r="FI152" s="59">
        <f t="shared" si="131"/>
        <v>1496.2179992663177</v>
      </c>
      <c r="FJ152" s="59">
        <f ca="1">AVERAGE(OFFSET($FI$3,0,0,'Données projet'!$E$16+1,1))-AVERAGE(OFFSET($H$3,0,0,'Données projet'!$E$16+1,1))</f>
        <v>833.39050463936144</v>
      </c>
      <c r="FK152" s="59">
        <f t="shared" si="156"/>
        <v>362.56178526355507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56.994714204068529</v>
      </c>
      <c r="FR152" s="21">
        <f>EXP(-LN(2)/25)*FR151+(1-EXP(-LN(2)/25))/(LN(2)/25)*Calculateur!FM152*Calculateur!FO152*VLOOKUP('Données projet'!$B$16,Paramètres!$A$1:$I$89,3,0)*0.475*44/12</f>
        <v>25.538893869141138</v>
      </c>
      <c r="FS152" s="21">
        <f>EXP(-LN(2)/2)*FS151+(1-EXP(-LN(2)/2))/(LN(2)/2)*FM152*FP152*VLOOKUP('Données projet'!$B$16,Paramètres!$A$1:$I$89,3,0)*0.475*44/12</f>
        <v>1.1094278373039535E-3</v>
      </c>
      <c r="FT152" s="22">
        <f t="shared" si="132"/>
        <v>82.53471750104697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1270.1327289762246</v>
      </c>
      <c r="S153" s="59">
        <f ca="1">AVERAGE(OFFSET($R$3,0,0,'Données projet'!$E$9+1,1))-AVERAGE(OFFSET($H$3,0,0,'Données projet'!$E$9+1,1))</f>
        <v>681.47578137804555</v>
      </c>
      <c r="T153" s="59">
        <f t="shared" si="142"/>
        <v>300.88511065995885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516.2781000000009</v>
      </c>
      <c r="AK153" s="13">
        <f t="shared" si="143"/>
        <v>114.98894910398533</v>
      </c>
      <c r="AL153" s="20">
        <f t="shared" si="112"/>
        <v>1099.4567771894424</v>
      </c>
      <c r="AM153" s="59">
        <f t="shared" si="113"/>
        <v>1386.1497994613028</v>
      </c>
      <c r="AN153" s="59">
        <f ca="1">AVERAGE(OFFSET($AM$3,0,0,'Données projet'!$E$10+1,1))-AVERAGE(OFFSET($H$3,0,0,'Données projet'!$E$10+1,1))</f>
        <v>752.45542076695506</v>
      </c>
      <c r="AO153" s="59">
        <f t="shared" si="144"/>
        <v>329.70629768420724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49.753566718103286</v>
      </c>
      <c r="AV153" s="21">
        <f>EXP(-LN(2)/25)*AV152+(1-EXP(-LN(2)/25))/(LN(2)/25)*Calculateur!AQ153*Calculateur!AS153*VLOOKUP('Données projet'!$B$10,Paramètres!$A$1:$I$89,3,0)*0.475*44/12</f>
        <v>22.118281448790839</v>
      </c>
      <c r="AW153" s="21">
        <f>EXP(-LN(2)/2)*AW152+(1-EXP(-LN(2)/2))/(LN(2)/2)*AQ153*AT153*VLOOKUP('Données projet'!$B$10,Paramètres!$A$1:$I$89,3,0)*0.475*44/12</f>
        <v>6.9851310348847679E-4</v>
      </c>
      <c r="AX153" s="21">
        <f t="shared" si="114"/>
        <v>71.872546679997612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484.50714000000085</v>
      </c>
      <c r="BF153" s="13">
        <f t="shared" si="145"/>
        <v>108.71345675963302</v>
      </c>
      <c r="BG153" s="20">
        <f t="shared" si="115"/>
        <v>1033.1925393563622</v>
      </c>
      <c r="BH153" s="59">
        <f t="shared" si="116"/>
        <v>1319.8855616282226</v>
      </c>
      <c r="BI153" s="59">
        <f ca="1">AVERAGE(OFFSET($BH$3,0,0,'Données projet'!$E$11+1,1))-AVERAGE(OFFSET($H$3,0,0,'Données projet'!$E$11+1,1))</f>
        <v>711.91538686535682</v>
      </c>
      <c r="BJ153" s="59">
        <f t="shared" si="146"/>
        <v>313.24593837351722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46.691808766219999</v>
      </c>
      <c r="BQ153" s="21">
        <f>EXP(-LN(2)/25)*BQ152+(1-EXP(-LN(2)/25))/(LN(2)/25)*Calculateur!BL153*Calculateur!BN153*VLOOKUP('Données projet'!$B$11,Paramètres!$A$1:$I$89,3,0)*0.475*44/12</f>
        <v>20.757156436557548</v>
      </c>
      <c r="BR153" s="21">
        <f>EXP(-LN(2)/2)*BR152+(1-EXP(-LN(2)/2))/(LN(2)/2)*BL153*BO153*VLOOKUP('Données projet'!$B$11,Paramètres!$A$1:$I$89,3,0)*0.475*44/12</f>
        <v>6.5552768173534118E-4</v>
      </c>
      <c r="BS153" s="22">
        <f t="shared" si="117"/>
        <v>67.449620730459273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9.3350000000000026</v>
      </c>
      <c r="BY153" s="12">
        <f>IF('Données projet'!$A$114&gt;35,BY152+BX153-CG152,IF(A153&lt;'Données projet'!$A$114,$BV$205^A153,IF(A153='Données projet'!$A$114,'Données projet'!$B$114,BY152+BX153-CG152)))</f>
        <v>509.15000000000083</v>
      </c>
      <c r="BZ153" s="13">
        <f>BY153*VLOOKUP('Données projet'!$B$12,Paramètres!$A$1:$I$89,3,0)*VLOOKUP('Données projet'!$B$12,Paramètres!$A$1:$I$89,5,0)</f>
        <v>492.4498800000008</v>
      </c>
      <c r="CA153" s="13">
        <f t="shared" si="147"/>
        <v>110.28670454277572</v>
      </c>
      <c r="CB153" s="20">
        <f t="shared" si="118"/>
        <v>1049.766218078669</v>
      </c>
      <c r="CC153" s="59">
        <f t="shared" si="119"/>
        <v>1336.4592403505294</v>
      </c>
      <c r="CD153" s="59">
        <f ca="1">AVERAGE(OFFSET($CC$3,0,0,'Données projet'!$E$12+1,1))-AVERAGE(OFFSET($H$3,0,0,'Données projet'!$E$12+1,1))</f>
        <v>722.05521609092671</v>
      </c>
      <c r="CE153" s="59">
        <f t="shared" si="148"/>
        <v>317.36319714884644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47.45724825419083</v>
      </c>
      <c r="CL153" s="21">
        <f>EXP(-LN(2)/25)*CL152+(1-EXP(-LN(2)/25))/(LN(2)/25)*Calculateur!CG153*Calculateur!CI153*VLOOKUP('Données projet'!$B$12,Paramètres!$A$1:$I$89,3,0)*0.475*44/12</f>
        <v>21.097437689615873</v>
      </c>
      <c r="CM153" s="21">
        <f>EXP(-LN(2)/2)*CM152+(1-EXP(-LN(2)/2))/(LN(2)/2)*CG153*CJ153*VLOOKUP('Données projet'!$B$12,Paramètres!$A$1:$I$89,3,0)*0.475*44/12</f>
        <v>6.6627403717362411E-4</v>
      </c>
      <c r="CN153" s="22">
        <f t="shared" si="120"/>
        <v>68.555352217843875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9.3350000000000026</v>
      </c>
      <c r="CT153" s="12">
        <f>IF('Données projet'!$A$140&gt;35,CT152+CS153-DB152,IF(A153&lt;'Données projet'!$A$140,$CQ$205^A153,IF(A153='Données projet'!$A$140,'Données projet'!$B$140,CT152+CS153-DB152)))</f>
        <v>509.15000000000083</v>
      </c>
      <c r="CU153" s="17">
        <f>CT153*VLOOKUP('Données projet'!$B$13,Paramètres!$A$1:$I$89,3,0)*VLOOKUP('Données projet'!$B$13,Paramètres!$A$1:$I$89,5,0)</f>
        <v>548.04906000000085</v>
      </c>
      <c r="CV153" s="13">
        <f t="shared" si="149"/>
        <v>121.21962037072178</v>
      </c>
      <c r="CW153" s="20">
        <f t="shared" si="121"/>
        <v>1165.6429516456753</v>
      </c>
      <c r="CX153" s="59">
        <f t="shared" si="122"/>
        <v>1452.3359739175357</v>
      </c>
      <c r="CY153" s="59">
        <f ca="1">AVERAGE(OFFSET($CX$3,0,0,'Données projet'!$E$13+1,1))-AVERAGE(OFFSET($H$3,0,0,'Données projet'!$E$13+1,1))</f>
        <v>792.94606354161886</v>
      </c>
      <c r="CZ153" s="59">
        <f t="shared" si="150"/>
        <v>346.14443498270919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52.815324669986538</v>
      </c>
      <c r="DG153" s="21">
        <f>EXP(-LN(2)/25)*DG152+(1-EXP(-LN(2)/25))/(LN(2)/25)*Calculateur!DB153*Calculateur!DD153*VLOOKUP('Données projet'!$B$13,Paramètres!$A$1:$I$89,3,0)*0.475*44/12</f>
        <v>23.479406461024123</v>
      </c>
      <c r="DH153" s="21">
        <f>EXP(-LN(2)/2)*DH152+(1-EXP(-LN(2)/2))/(LN(2)/2)*DB153*DE153*VLOOKUP('Données projet'!$B$13,Paramètres!$A$1:$I$89,3,0)*0.475*44/12</f>
        <v>7.4149852524161381E-4</v>
      </c>
      <c r="DI153" s="22">
        <f t="shared" si="123"/>
        <v>76.295472629535908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269.21114382490202</v>
      </c>
      <c r="DU153" s="59">
        <f t="shared" si="152"/>
        <v>233.07776944102309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3.2956216090971941</v>
      </c>
      <c r="EB153" s="21">
        <f>EXP(-LN(2)/25)*EB152+(1-EXP(-LN(2)/25))/(LN(2)/25)*Calculateur!DW153*Calculateur!DY153*VLOOKUP('Données projet'!$B$14,Paramètres!$A$1:$I$89,3,0)*0.475*44/12</f>
        <v>12.099763541508509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15.395385150605703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9.3350000000000026</v>
      </c>
      <c r="FE153" s="12">
        <f>IF('Données projet'!$A$218&gt;35,FE152+FD153-FM152,IF(A153&lt;'Données projet'!$A$218,$FB$205^A153,IF(A153='Données projet'!$A$218,'Données projet'!$B$218,FE152+FD153-FM152)))</f>
        <v>509.15000000000083</v>
      </c>
      <c r="FF153" s="17">
        <f>FE153*VLOOKUP('Données projet'!$B$16,Paramètres!$A$1:$I$89,3,0)*VLOOKUP('Données projet'!$B$16,Paramètres!$A$1:$I$89,5,0)</f>
        <v>579.82002000000091</v>
      </c>
      <c r="FG153" s="13">
        <f t="shared" si="155"/>
        <v>127.40836489725672</v>
      </c>
      <c r="FH153" s="20">
        <f t="shared" si="130"/>
        <v>1231.7561036960572</v>
      </c>
      <c r="FI153" s="59">
        <f t="shared" si="131"/>
        <v>1518.4491259679176</v>
      </c>
      <c r="FJ153" s="59">
        <f ca="1">AVERAGE(OFFSET($FI$3,0,0,'Données projet'!$E$16+1,1))-AVERAGE(OFFSET($H$3,0,0,'Données projet'!$E$16+1,1))</f>
        <v>833.39050463936144</v>
      </c>
      <c r="FK153" s="59">
        <f t="shared" si="156"/>
        <v>362.56178526355507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55.877082621869818</v>
      </c>
      <c r="FR153" s="21">
        <f>EXP(-LN(2)/25)*FR152+(1-EXP(-LN(2)/25))/(LN(2)/25)*Calculateur!FM153*Calculateur!FO153*VLOOKUP('Données projet'!$B$16,Paramètres!$A$1:$I$89,3,0)*0.475*44/12</f>
        <v>24.840531473257414</v>
      </c>
      <c r="FS153" s="21">
        <f>EXP(-LN(2)/2)*FS152+(1-EXP(-LN(2)/2))/(LN(2)/2)*FM153*FP153*VLOOKUP('Données projet'!$B$16,Paramètres!$A$1:$I$89,3,0)*0.475*44/12</f>
        <v>7.8448394699475127E-4</v>
      </c>
      <c r="FT153" s="22">
        <f t="shared" si="132"/>
        <v>80.718398579074233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1287.8891974151597</v>
      </c>
      <c r="S154" s="59">
        <f ca="1">AVERAGE(OFFSET($R$3,0,0,'Données projet'!$E$9+1,1))-AVERAGE(OFFSET($H$3,0,0,'Données projet'!$E$9+1,1))</f>
        <v>681.47578137804555</v>
      </c>
      <c r="T154" s="59">
        <f t="shared" si="142"/>
        <v>300.88511065995885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525.7437900000009</v>
      </c>
      <c r="AK154" s="13">
        <f t="shared" ref="AK154:AK203" si="164">EXP(-1.0587+0.8836*LN(AJ154)+0.284)</f>
        <v>116.84983546396843</v>
      </c>
      <c r="AL154" s="20">
        <f t="shared" ref="AL154:AL203" si="165">(AJ154+AK154)*0.475*44/12</f>
        <v>1119.18389768308</v>
      </c>
      <c r="AM154" s="59">
        <f t="shared" si="113"/>
        <v>1405.9921145063454</v>
      </c>
      <c r="AN154" s="59">
        <f ca="1">AVERAGE(OFFSET($AM$3,0,0,'Données projet'!$E$10+1,1))-AVERAGE(OFFSET($H$3,0,0,'Données projet'!$E$10+1,1))</f>
        <v>752.45542076695506</v>
      </c>
      <c r="AO154" s="59">
        <f t="shared" si="144"/>
        <v>329.70629768420724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48.777929621440492</v>
      </c>
      <c r="AV154" s="21">
        <f>EXP(-LN(2)/25)*AV153+(1-EXP(-LN(2)/25))/(LN(2)/25)*Calculateur!AQ154*Calculateur!AS154*VLOOKUP('Données projet'!$B$10,Paramètres!$A$1:$I$89,3,0)*0.475*44/12</f>
        <v>21.513455879423784</v>
      </c>
      <c r="AW154" s="21">
        <f>EXP(-LN(2)/2)*AW153+(1-EXP(-LN(2)/2))/(LN(2)/2)*AQ154*AT154*VLOOKUP('Données projet'!$B$10,Paramètres!$A$1:$I$89,3,0)*0.475*44/12</f>
        <v>4.9392335222436259E-4</v>
      </c>
      <c r="AX154" s="21">
        <f t="shared" ref="AX154:AX203" si="166">SUM(AU154:AW154)</f>
        <v>70.291879424216503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493.39032600000081</v>
      </c>
      <c r="BF154" s="13">
        <f t="shared" ref="BF154:BF203" si="167">EXP(-1.0587+0.8836*LN(BE154)+0.284)</f>
        <v>110.47278572478149</v>
      </c>
      <c r="BG154" s="20">
        <f t="shared" ref="BG154:BG203" si="168">(BE154+BF154)*0.475*44/12</f>
        <v>1051.7282529206625</v>
      </c>
      <c r="BH154" s="59">
        <f t="shared" si="116"/>
        <v>1338.5364697439279</v>
      </c>
      <c r="BI154" s="59">
        <f ca="1">AVERAGE(OFFSET($BH$3,0,0,'Données projet'!$E$11+1,1))-AVERAGE(OFFSET($H$3,0,0,'Données projet'!$E$11+1,1))</f>
        <v>711.91538686535682</v>
      </c>
      <c r="BJ154" s="59">
        <f t="shared" si="146"/>
        <v>313.24593837351722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45.776210875505683</v>
      </c>
      <c r="BQ154" s="21">
        <f>EXP(-LN(2)/25)*BQ153+(1-EXP(-LN(2)/25))/(LN(2)/25)*Calculateur!BL154*Calculateur!BN154*VLOOKUP('Données projet'!$B$11,Paramètres!$A$1:$I$89,3,0)*0.475*44/12</f>
        <v>20.189550902228465</v>
      </c>
      <c r="BR154" s="21">
        <f>EXP(-LN(2)/2)*BR153+(1-EXP(-LN(2)/2))/(LN(2)/2)*BL154*BO154*VLOOKUP('Données projet'!$B$11,Paramètres!$A$1:$I$89,3,0)*0.475*44/12</f>
        <v>4.6352806901055671E-4</v>
      </c>
      <c r="BS154" s="22">
        <f t="shared" ref="BS154:BS203" si="169">SUM(BP154:BR154)</f>
        <v>65.96622530580315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9.3350000000000026</v>
      </c>
      <c r="BY154" s="12">
        <f>IF('Données projet'!$A$114&gt;35,BY153+BX154-CG153,IF(A154&lt;'Données projet'!$A$114,$BV$205^A154,IF(A154='Données projet'!$A$114,'Données projet'!$B$114,BY153+BX154-CG153)))</f>
        <v>518.48500000000081</v>
      </c>
      <c r="BZ154" s="13">
        <f>BY154*VLOOKUP('Données projet'!$B$12,Paramètres!$A$1:$I$89,3,0)*VLOOKUP('Données projet'!$B$12,Paramètres!$A$1:$I$89,5,0)</f>
        <v>501.47869200000076</v>
      </c>
      <c r="CA154" s="13">
        <f t="shared" ref="CA154:CA203" si="170">EXP(-1.0587+0.8836*LN(BZ154)+0.284)</f>
        <v>112.07149365312368</v>
      </c>
      <c r="CB154" s="20">
        <f t="shared" ref="CB154:CB203" si="171">(BZ154+CA154)*0.475*44/12</f>
        <v>1068.5999066791917</v>
      </c>
      <c r="CC154" s="59">
        <f t="shared" si="119"/>
        <v>1355.4081235024571</v>
      </c>
      <c r="CD154" s="59">
        <f ca="1">AVERAGE(OFFSET($CC$3,0,0,'Données projet'!$E$12+1,1))-AVERAGE(OFFSET($H$3,0,0,'Données projet'!$E$12+1,1))</f>
        <v>722.05521609092671</v>
      </c>
      <c r="CE154" s="59">
        <f t="shared" si="148"/>
        <v>317.36319714884644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46.526640561989396</v>
      </c>
      <c r="CL154" s="21">
        <f>EXP(-LN(2)/25)*CL153+(1-EXP(-LN(2)/25))/(LN(2)/25)*Calculateur!CG154*Calculateur!CI154*VLOOKUP('Données projet'!$B$12,Paramètres!$A$1:$I$89,3,0)*0.475*44/12</f>
        <v>20.520527146527296</v>
      </c>
      <c r="CM154" s="21">
        <f>EXP(-LN(2)/2)*CM153+(1-EXP(-LN(2)/2))/(LN(2)/2)*CG154*CJ154*VLOOKUP('Données projet'!$B$12,Paramètres!$A$1:$I$89,3,0)*0.475*44/12</f>
        <v>4.7112688981400746E-4</v>
      </c>
      <c r="CN154" s="22">
        <f t="shared" ref="CN154:CN203" si="172">SUM(CK154:CM154)</f>
        <v>67.047638835406516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9.3350000000000026</v>
      </c>
      <c r="CT154" s="12">
        <f>IF('Données projet'!$A$140&gt;35,CT153+CS154-DB153,IF(A154&lt;'Données projet'!$A$140,$CQ$205^A154,IF(A154='Données projet'!$A$140,'Données projet'!$B$140,CT153+CS154-DB153)))</f>
        <v>518.48500000000081</v>
      </c>
      <c r="CU154" s="17">
        <f>CT154*VLOOKUP('Données projet'!$B$13,Paramètres!$A$1:$I$89,3,0)*VLOOKUP('Données projet'!$B$13,Paramètres!$A$1:$I$89,5,0)</f>
        <v>558.09725400000082</v>
      </c>
      <c r="CV154" s="13">
        <f t="shared" ref="CV154:CV203" si="173">EXP(-1.0587+0.8836*LN(CU154)+0.284)</f>
        <v>123.18133877816828</v>
      </c>
      <c r="CW154" s="20">
        <f t="shared" ref="CW154:CW203" si="174">(CU154+CV154)*0.475*44/12</f>
        <v>1186.5602157553112</v>
      </c>
      <c r="CX154" s="59">
        <f t="shared" si="122"/>
        <v>1473.3684325785766</v>
      </c>
      <c r="CY154" s="59">
        <f ca="1">AVERAGE(OFFSET($CX$3,0,0,'Données projet'!$E$13+1,1))-AVERAGE(OFFSET($H$3,0,0,'Données projet'!$E$13+1,1))</f>
        <v>792.94606354161886</v>
      </c>
      <c r="CZ154" s="59">
        <f t="shared" si="150"/>
        <v>346.14443498270919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51.779648367375266</v>
      </c>
      <c r="DG154" s="21">
        <f>EXP(-LN(2)/25)*DG153+(1-EXP(-LN(2)/25))/(LN(2)/25)*Calculateur!DB154*Calculateur!DD154*VLOOKUP('Données projet'!$B$13,Paramètres!$A$1:$I$89,3,0)*0.475*44/12</f>
        <v>22.837360856619096</v>
      </c>
      <c r="DH154" s="21">
        <f>EXP(-LN(2)/2)*DH153+(1-EXP(-LN(2)/2))/(LN(2)/2)*DB154*DE154*VLOOKUP('Données projet'!$B$13,Paramètres!$A$1:$I$89,3,0)*0.475*44/12</f>
        <v>5.2431863543816949E-4</v>
      </c>
      <c r="DI154" s="22">
        <f t="shared" ref="DI154:DI203" si="175">SUM(DF154:DH154)</f>
        <v>74.617533542629801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269.21114382490202</v>
      </c>
      <c r="DU154" s="59">
        <f t="shared" si="152"/>
        <v>233.07776944102309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3.2309964794734958</v>
      </c>
      <c r="EB154" s="21">
        <f>EXP(-LN(2)/25)*EB153+(1-EXP(-LN(2)/25))/(LN(2)/25)*Calculateur!DW154*Calculateur!DY154*VLOOKUP('Données projet'!$B$14,Paramètres!$A$1:$I$89,3,0)*0.475*44/12</f>
        <v>11.768894871167047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14.999891350640542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9.3350000000000026</v>
      </c>
      <c r="FE154" s="12">
        <f>IF('Données projet'!$A$218&gt;35,FE153+FD154-FM153,IF(A154&lt;'Données projet'!$A$218,$FB$205^A154,IF(A154='Données projet'!$A$218,'Données projet'!$B$218,FE153+FD154-FM153)))</f>
        <v>518.48500000000081</v>
      </c>
      <c r="FF154" s="17">
        <f>FE154*VLOOKUP('Données projet'!$B$16,Paramètres!$A$1:$I$89,3,0)*VLOOKUP('Données projet'!$B$16,Paramètres!$A$1:$I$89,5,0)</f>
        <v>590.45071800000096</v>
      </c>
      <c r="FG154" s="13">
        <f t="shared" ref="FG154:FG203" si="182">EXP(-1.0587+0.8836*LN(FF154)+0.284)</f>
        <v>129.47023684436584</v>
      </c>
      <c r="FH154" s="20">
        <f t="shared" ref="FH154:FH203" si="183">(FF154+FG154)*0.475*44/12</f>
        <v>1253.8623296872722</v>
      </c>
      <c r="FI154" s="59">
        <f t="shared" si="131"/>
        <v>1540.6705465105376</v>
      </c>
      <c r="FJ154" s="59">
        <f ca="1">AVERAGE(OFFSET($FI$3,0,0,'Données projet'!$E$16+1,1))-AVERAGE(OFFSET($H$3,0,0,'Données projet'!$E$16+1,1))</f>
        <v>833.39050463936144</v>
      </c>
      <c r="FK154" s="59">
        <f t="shared" si="156"/>
        <v>362.56178526355507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54.781367113310068</v>
      </c>
      <c r="FR154" s="21">
        <f>EXP(-LN(2)/25)*FR153+(1-EXP(-LN(2)/25))/(LN(2)/25)*Calculateur!FM154*Calculateur!FO154*VLOOKUP('Données projet'!$B$16,Paramètres!$A$1:$I$89,3,0)*0.475*44/12</f>
        <v>24.161265833814415</v>
      </c>
      <c r="FS154" s="21">
        <f>EXP(-LN(2)/2)*FS153+(1-EXP(-LN(2)/2))/(LN(2)/2)*FM154*FP154*VLOOKUP('Données projet'!$B$16,Paramètres!$A$1:$I$89,3,0)*0.475*44/12</f>
        <v>5.5471391865197673E-4</v>
      </c>
      <c r="FT154" s="22">
        <f t="shared" ref="FT154:FT203" si="184">SUM(FQ154:FS154)</f>
        <v>78.943187661043126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1305.63753183671</v>
      </c>
      <c r="S155" s="59">
        <f ca="1">AVERAGE(OFFSET($R$3,0,0,'Données projet'!$E$9+1,1))-AVERAGE(OFFSET($H$3,0,0,'Données projet'!$E$9+1,1))</f>
        <v>681.47578137804555</v>
      </c>
      <c r="T155" s="59">
        <f t="shared" si="142"/>
        <v>300.88511065995885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535.20948000000089</v>
      </c>
      <c r="AK155" s="13">
        <f t="shared" si="164"/>
        <v>118.70682580764394</v>
      </c>
      <c r="AL155" s="20">
        <f t="shared" si="165"/>
        <v>1138.9042326149813</v>
      </c>
      <c r="AM155" s="59">
        <f t="shared" si="113"/>
        <v>1425.8256456217212</v>
      </c>
      <c r="AN155" s="59">
        <f ca="1">AVERAGE(OFFSET($AM$3,0,0,'Données projet'!$E$10+1,1))-AVERAGE(OFFSET($H$3,0,0,'Données projet'!$E$10+1,1))</f>
        <v>752.45542076695506</v>
      </c>
      <c r="AO155" s="59">
        <f t="shared" si="144"/>
        <v>329.70629768420724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47.821424173163386</v>
      </c>
      <c r="AV155" s="21">
        <f>EXP(-LN(2)/25)*AV154+(1-EXP(-LN(2)/25))/(LN(2)/25)*Calculateur!AQ155*Calculateur!AS155*VLOOKUP('Données projet'!$B$10,Paramètres!$A$1:$I$89,3,0)*0.475*44/12</f>
        <v>20.925169297057465</v>
      </c>
      <c r="AW155" s="21">
        <f>EXP(-LN(2)/2)*AW154+(1-EXP(-LN(2)/2))/(LN(2)/2)*AQ155*AT155*VLOOKUP('Données projet'!$B$10,Paramètres!$A$1:$I$89,3,0)*0.475*44/12</f>
        <v>3.492565517442384E-4</v>
      </c>
      <c r="AX155" s="21">
        <f t="shared" si="166"/>
        <v>68.746942726772602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502.27351200000078</v>
      </c>
      <c r="BF155" s="13">
        <f t="shared" si="167"/>
        <v>112.22843129771096</v>
      </c>
      <c r="BG155" s="20">
        <f t="shared" si="168"/>
        <v>1070.2575512435144</v>
      </c>
      <c r="BH155" s="59">
        <f t="shared" si="116"/>
        <v>1357.1789642502542</v>
      </c>
      <c r="BI155" s="59">
        <f ca="1">AVERAGE(OFFSET($BH$3,0,0,'Données projet'!$E$11+1,1))-AVERAGE(OFFSET($H$3,0,0,'Données projet'!$E$11+1,1))</f>
        <v>711.91538686535682</v>
      </c>
      <c r="BJ155" s="59">
        <f t="shared" si="146"/>
        <v>313.24593837351722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44.878567300968705</v>
      </c>
      <c r="BQ155" s="21">
        <f>EXP(-LN(2)/25)*BQ154+(1-EXP(-LN(2)/25))/(LN(2)/25)*Calculateur!BL155*Calculateur!BN155*VLOOKUP('Données projet'!$B$11,Paramètres!$A$1:$I$89,3,0)*0.475*44/12</f>
        <v>19.637466571084691</v>
      </c>
      <c r="BR155" s="21">
        <f>EXP(-LN(2)/2)*BR154+(1-EXP(-LN(2)/2))/(LN(2)/2)*BL155*BO155*VLOOKUP('Données projet'!$B$11,Paramètres!$A$1:$I$89,3,0)*0.475*44/12</f>
        <v>3.2776384086767064E-4</v>
      </c>
      <c r="BS155" s="22">
        <f t="shared" si="169"/>
        <v>64.51636163589427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9.3350000000000026</v>
      </c>
      <c r="BY155" s="12">
        <f>IF('Données projet'!$A$114&gt;35,BY154+BX155-CG154,IF(A155&lt;'Données projet'!$A$114,$BV$205^A155,IF(A155='Données projet'!$A$114,'Données projet'!$B$114,BY154+BX155-CG154)))</f>
        <v>527.82000000000085</v>
      </c>
      <c r="BZ155" s="13">
        <f>BY155*VLOOKUP('Données projet'!$B$12,Paramètres!$A$1:$I$89,3,0)*VLOOKUP('Données projet'!$B$12,Paramètres!$A$1:$I$89,5,0)</f>
        <v>510.50750400000084</v>
      </c>
      <c r="CA155" s="13">
        <f t="shared" si="170"/>
        <v>113.85254606700846</v>
      </c>
      <c r="CB155" s="20">
        <f t="shared" si="171"/>
        <v>1087.4270872000411</v>
      </c>
      <c r="CC155" s="59">
        <f t="shared" si="119"/>
        <v>1374.348500206781</v>
      </c>
      <c r="CD155" s="59">
        <f ca="1">AVERAGE(OFFSET($CC$3,0,0,'Données projet'!$E$12+1,1))-AVERAGE(OFFSET($H$3,0,0,'Données projet'!$E$12+1,1))</f>
        <v>722.05521609092671</v>
      </c>
      <c r="CE155" s="59">
        <f t="shared" si="148"/>
        <v>317.36319714884644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45.614281519017389</v>
      </c>
      <c r="CL155" s="21">
        <f>EXP(-LN(2)/25)*CL154+(1-EXP(-LN(2)/25))/(LN(2)/25)*Calculateur!CG155*Calculateur!CI155*VLOOKUP('Données projet'!$B$12,Paramètres!$A$1:$I$89,3,0)*0.475*44/12</f>
        <v>19.959392252577885</v>
      </c>
      <c r="CM155" s="21">
        <f>EXP(-LN(2)/2)*CM154+(1-EXP(-LN(2)/2))/(LN(2)/2)*CG155*CJ155*VLOOKUP('Données projet'!$B$12,Paramètres!$A$1:$I$89,3,0)*0.475*44/12</f>
        <v>3.3313701858681205E-4</v>
      </c>
      <c r="CN155" s="22">
        <f t="shared" si="172"/>
        <v>65.574006908613867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9.3350000000000026</v>
      </c>
      <c r="CT155" s="12">
        <f>IF('Données projet'!$A$140&gt;35,CT154+CS155-DB154,IF(A155&lt;'Données projet'!$A$140,$CQ$205^A155,IF(A155='Données projet'!$A$140,'Données projet'!$B$140,CT154+CS155-DB154)))</f>
        <v>527.82000000000085</v>
      </c>
      <c r="CU155" s="17">
        <f>CT155*VLOOKUP('Données projet'!$B$13,Paramètres!$A$1:$I$89,3,0)*VLOOKUP('Données projet'!$B$13,Paramètres!$A$1:$I$89,5,0)</f>
        <v>568.1454480000009</v>
      </c>
      <c r="CV155" s="13">
        <f t="shared" si="173"/>
        <v>125.13895006383086</v>
      </c>
      <c r="CW155" s="20">
        <f t="shared" si="174"/>
        <v>1207.4703266278404</v>
      </c>
      <c r="CX155" s="59">
        <f t="shared" si="122"/>
        <v>1494.3917396345803</v>
      </c>
      <c r="CY155" s="59">
        <f ca="1">AVERAGE(OFFSET($CX$3,0,0,'Données projet'!$E$13+1,1))-AVERAGE(OFFSET($H$3,0,0,'Données projet'!$E$13+1,1))</f>
        <v>792.94606354161886</v>
      </c>
      <c r="CZ155" s="59">
        <f t="shared" si="150"/>
        <v>346.14443498270919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50.764281045358032</v>
      </c>
      <c r="DG155" s="21">
        <f>EXP(-LN(2)/25)*DG154+(1-EXP(-LN(2)/25))/(LN(2)/25)*Calculateur!DB155*Calculateur!DD155*VLOOKUP('Données projet'!$B$13,Paramètres!$A$1:$I$89,3,0)*0.475*44/12</f>
        <v>22.212872023030236</v>
      </c>
      <c r="DH155" s="21">
        <f>EXP(-LN(2)/2)*DH154+(1-EXP(-LN(2)/2))/(LN(2)/2)*DB155*DE155*VLOOKUP('Données projet'!$B$13,Paramètres!$A$1:$I$89,3,0)*0.475*44/12</f>
        <v>3.7074926262080691E-4</v>
      </c>
      <c r="DI155" s="22">
        <f t="shared" si="175"/>
        <v>72.977523817650891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269.21114382490202</v>
      </c>
      <c r="DU155" s="59">
        <f t="shared" si="152"/>
        <v>233.07776944102309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3.1676386092242814</v>
      </c>
      <c r="EB155" s="21">
        <f>EXP(-LN(2)/25)*EB154+(1-EXP(-LN(2)/25))/(LN(2)/25)*Calculateur!DW155*Calculateur!DY155*VLOOKUP('Données projet'!$B$14,Paramètres!$A$1:$I$89,3,0)*0.475*44/12</f>
        <v>11.447073822015701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14.614712431239983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9.3350000000000026</v>
      </c>
      <c r="FE155" s="12">
        <f>IF('Données projet'!$A$218&gt;35,FE154+FD155-FM154,IF(A155&lt;'Données projet'!$A$218,$FB$205^A155,IF(A155='Données projet'!$A$218,'Données projet'!$B$218,FE154+FD155-FM154)))</f>
        <v>527.82000000000085</v>
      </c>
      <c r="FF155" s="17">
        <f>FE155*VLOOKUP('Données projet'!$B$16,Paramètres!$A$1:$I$89,3,0)*VLOOKUP('Données projet'!$B$16,Paramètres!$A$1:$I$89,5,0)</f>
        <v>601.0814160000009</v>
      </c>
      <c r="FG155" s="13">
        <f t="shared" si="182"/>
        <v>131.5277919847623</v>
      </c>
      <c r="FH155" s="20">
        <f t="shared" si="183"/>
        <v>1275.9610372401291</v>
      </c>
      <c r="FI155" s="59">
        <f t="shared" si="131"/>
        <v>1562.882450246869</v>
      </c>
      <c r="FJ155" s="59">
        <f ca="1">AVERAGE(OFFSET($FI$3,0,0,'Données projet'!$E$16+1,1))-AVERAGE(OFFSET($H$3,0,0,'Données projet'!$E$16+1,1))</f>
        <v>833.39050463936144</v>
      </c>
      <c r="FK155" s="59">
        <f t="shared" si="156"/>
        <v>362.56178526355507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53.707137917552707</v>
      </c>
      <c r="FR155" s="21">
        <f>EXP(-LN(2)/25)*FR154+(1-EXP(-LN(2)/25))/(LN(2)/25)*Calculateur!FM155*Calculateur!FO155*VLOOKUP('Données projet'!$B$16,Paramètres!$A$1:$I$89,3,0)*0.475*44/12</f>
        <v>23.500574749003011</v>
      </c>
      <c r="FS155" s="21">
        <f>EXP(-LN(2)/2)*FS154+(1-EXP(-LN(2)/2))/(LN(2)/2)*FM155*FP155*VLOOKUP('Données projet'!$B$16,Paramètres!$A$1:$I$89,3,0)*0.475*44/12</f>
        <v>3.9224197349737563E-4</v>
      </c>
      <c r="FT155" s="22">
        <f t="shared" si="184"/>
        <v>77.208104908529222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1323.3778879421343</v>
      </c>
      <c r="S156" s="59">
        <f ca="1">AVERAGE(OFFSET($R$3,0,0,'Données projet'!$E$9+1,1))-AVERAGE(OFFSET($H$3,0,0,'Données projet'!$E$9+1,1))</f>
        <v>681.47578137804555</v>
      </c>
      <c r="T156" s="59">
        <f t="shared" si="142"/>
        <v>300.88511065995885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544.67517000000089</v>
      </c>
      <c r="AK156" s="13">
        <f t="shared" si="164"/>
        <v>120.55999698924055</v>
      </c>
      <c r="AL156" s="20">
        <f t="shared" si="165"/>
        <v>1158.6179158395955</v>
      </c>
      <c r="AM156" s="59">
        <f t="shared" si="113"/>
        <v>1445.6505613290956</v>
      </c>
      <c r="AN156" s="59">
        <f ca="1">AVERAGE(OFFSET($AM$3,0,0,'Données projet'!$E$10+1,1))-AVERAGE(OFFSET($H$3,0,0,'Données projet'!$E$10+1,1))</f>
        <v>752.45542076695506</v>
      </c>
      <c r="AO156" s="59">
        <f t="shared" si="144"/>
        <v>329.70629768420724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46.88367521331628</v>
      </c>
      <c r="AV156" s="21">
        <f>EXP(-LN(2)/25)*AV155+(1-EXP(-LN(2)/25))/(LN(2)/25)*Calculateur!AQ156*Calculateur!AS156*VLOOKUP('Données projet'!$B$10,Paramètres!$A$1:$I$89,3,0)*0.475*44/12</f>
        <v>20.352969442222602</v>
      </c>
      <c r="AW156" s="21">
        <f>EXP(-LN(2)/2)*AW155+(1-EXP(-LN(2)/2))/(LN(2)/2)*AQ156*AT156*VLOOKUP('Données projet'!$B$10,Paramètres!$A$1:$I$89,3,0)*0.475*44/12</f>
        <v>2.4696167611218129E-4</v>
      </c>
      <c r="AX156" s="21">
        <f t="shared" si="166"/>
        <v>67.236891617214994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511.15669800000086</v>
      </c>
      <c r="BF156" s="13">
        <f t="shared" si="167"/>
        <v>113.98046613835052</v>
      </c>
      <c r="BG156" s="20">
        <f t="shared" si="168"/>
        <v>1088.7805608742954</v>
      </c>
      <c r="BH156" s="59">
        <f t="shared" si="116"/>
        <v>1375.8132063637954</v>
      </c>
      <c r="BI156" s="59">
        <f ca="1">AVERAGE(OFFSET($BH$3,0,0,'Données projet'!$E$11+1,1))-AVERAGE(OFFSET($H$3,0,0,'Données projet'!$E$11+1,1))</f>
        <v>711.91538686535682</v>
      </c>
      <c r="BJ156" s="59">
        <f t="shared" si="146"/>
        <v>313.24593837351722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43.99852596941988</v>
      </c>
      <c r="BQ156" s="21">
        <f>EXP(-LN(2)/25)*BQ155+(1-EXP(-LN(2)/25))/(LN(2)/25)*Calculateur!BL156*Calculateur!BN156*VLOOKUP('Données projet'!$B$11,Paramètres!$A$1:$I$89,3,0)*0.475*44/12</f>
        <v>19.100479015008894</v>
      </c>
      <c r="BR156" s="21">
        <f>EXP(-LN(2)/2)*BR155+(1-EXP(-LN(2)/2))/(LN(2)/2)*BL156*BO156*VLOOKUP('Données projet'!$B$11,Paramètres!$A$1:$I$89,3,0)*0.475*44/12</f>
        <v>2.3176403450527838E-4</v>
      </c>
      <c r="BS156" s="22">
        <f t="shared" si="169"/>
        <v>63.099236748463277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9.3350000000000026</v>
      </c>
      <c r="BY156" s="12">
        <f>IF('Données projet'!$A$114&gt;35,BY155+BX156-CG155,IF(A156&lt;'Données projet'!$A$114,$BV$205^A156,IF(A156='Données projet'!$A$114,'Données projet'!$B$114,BY155+BX156-CG155)))</f>
        <v>537.15500000000088</v>
      </c>
      <c r="BZ156" s="13">
        <f>BY156*VLOOKUP('Données projet'!$B$12,Paramètres!$A$1:$I$89,3,0)*VLOOKUP('Données projet'!$B$12,Paramètres!$A$1:$I$89,5,0)</f>
        <v>519.53631600000085</v>
      </c>
      <c r="CA156" s="13">
        <f t="shared" si="170"/>
        <v>115.62993549585802</v>
      </c>
      <c r="CB156" s="20">
        <f t="shared" si="171"/>
        <v>1106.2478880219542</v>
      </c>
      <c r="CC156" s="59">
        <f t="shared" si="119"/>
        <v>1393.2805335114542</v>
      </c>
      <c r="CD156" s="59">
        <f ca="1">AVERAGE(OFFSET($CC$3,0,0,'Données projet'!$E$12+1,1))-AVERAGE(OFFSET($H$3,0,0,'Données projet'!$E$12+1,1))</f>
        <v>722.05521609092671</v>
      </c>
      <c r="CE156" s="59">
        <f t="shared" si="148"/>
        <v>317.36319714884644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44.719813280393993</v>
      </c>
      <c r="CL156" s="21">
        <f>EXP(-LN(2)/25)*CL155+(1-EXP(-LN(2)/25))/(LN(2)/25)*Calculateur!CG156*Calculateur!CI156*VLOOKUP('Données projet'!$B$12,Paramètres!$A$1:$I$89,3,0)*0.475*44/12</f>
        <v>19.413601621812322</v>
      </c>
      <c r="CM156" s="21">
        <f>EXP(-LN(2)/2)*CM155+(1-EXP(-LN(2)/2))/(LN(2)/2)*CG156*CJ156*VLOOKUP('Données projet'!$B$12,Paramètres!$A$1:$I$89,3,0)*0.475*44/12</f>
        <v>2.3556344490700373E-4</v>
      </c>
      <c r="CN156" s="22">
        <f t="shared" si="172"/>
        <v>64.133650465651215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9.3350000000000026</v>
      </c>
      <c r="CT156" s="12">
        <f>IF('Données projet'!$A$140&gt;35,CT155+CS156-DB155,IF(A156&lt;'Données projet'!$A$140,$CQ$205^A156,IF(A156='Données projet'!$A$140,'Données projet'!$B$140,CT155+CS156-DB155)))</f>
        <v>537.15500000000088</v>
      </c>
      <c r="CU156" s="17">
        <f>CT156*VLOOKUP('Données projet'!$B$13,Paramètres!$A$1:$I$89,3,0)*VLOOKUP('Données projet'!$B$13,Paramètres!$A$1:$I$89,5,0)</f>
        <v>578.19364200000098</v>
      </c>
      <c r="CV156" s="13">
        <f t="shared" si="173"/>
        <v>127.0925352462815</v>
      </c>
      <c r="CW156" s="20">
        <f t="shared" si="174"/>
        <v>1228.3734253706086</v>
      </c>
      <c r="CX156" s="59">
        <f t="shared" si="122"/>
        <v>1515.4060708601087</v>
      </c>
      <c r="CY156" s="59">
        <f ca="1">AVERAGE(OFFSET($CX$3,0,0,'Données projet'!$E$13+1,1))-AVERAGE(OFFSET($H$3,0,0,'Données projet'!$E$13+1,1))</f>
        <v>792.94606354161886</v>
      </c>
      <c r="CZ156" s="59">
        <f t="shared" si="150"/>
        <v>346.14443498270919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49.768824457212645</v>
      </c>
      <c r="DG156" s="21">
        <f>EXP(-LN(2)/25)*DG155+(1-EXP(-LN(2)/25))/(LN(2)/25)*Calculateur!DB156*Calculateur!DD156*VLOOKUP('Données projet'!$B$13,Paramètres!$A$1:$I$89,3,0)*0.475*44/12</f>
        <v>21.605459869436302</v>
      </c>
      <c r="DH156" s="21">
        <f>EXP(-LN(2)/2)*DH155+(1-EXP(-LN(2)/2))/(LN(2)/2)*DB156*DE156*VLOOKUP('Données projet'!$B$13,Paramètres!$A$1:$I$89,3,0)*0.475*44/12</f>
        <v>2.6215931771908475E-4</v>
      </c>
      <c r="DI156" s="22">
        <f t="shared" si="175"/>
        <v>71.374546485966661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269.21114382490202</v>
      </c>
      <c r="DU156" s="59">
        <f t="shared" si="152"/>
        <v>233.07776944102309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3.1055231481661689</v>
      </c>
      <c r="EB156" s="21">
        <f>EXP(-LN(2)/25)*EB155+(1-EXP(-LN(2)/25))/(LN(2)/25)*Calculateur!DW156*Calculateur!DY156*VLOOKUP('Données projet'!$B$14,Paramètres!$A$1:$I$89,3,0)*0.475*44/12</f>
        <v>11.134052986377233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14.239576134543402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9.3350000000000026</v>
      </c>
      <c r="FE156" s="12">
        <f>IF('Données projet'!$A$218&gt;35,FE155+FD156-FM155,IF(A156&lt;'Données projet'!$A$218,$FB$205^A156,IF(A156='Données projet'!$A$218,'Données projet'!$B$218,FE155+FD156-FM155)))</f>
        <v>537.15500000000088</v>
      </c>
      <c r="FF156" s="17">
        <f>FE156*VLOOKUP('Données projet'!$B$16,Paramètres!$A$1:$I$89,3,0)*VLOOKUP('Données projet'!$B$16,Paramètres!$A$1:$I$89,5,0)</f>
        <v>611.71211400000107</v>
      </c>
      <c r="FG156" s="13">
        <f t="shared" si="182"/>
        <v>133.5811154733388</v>
      </c>
      <c r="FH156" s="20">
        <f t="shared" si="183"/>
        <v>1298.0523746660667</v>
      </c>
      <c r="FI156" s="59">
        <f t="shared" si="131"/>
        <v>1585.0850201555668</v>
      </c>
      <c r="FJ156" s="59">
        <f ca="1">AVERAGE(OFFSET($FI$3,0,0,'Données projet'!$E$16+1,1))-AVERAGE(OFFSET($H$3,0,0,'Données projet'!$E$16+1,1))</f>
        <v>833.39050463936144</v>
      </c>
      <c r="FK156" s="59">
        <f t="shared" si="156"/>
        <v>362.56178526355507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52.653973701109031</v>
      </c>
      <c r="FR156" s="21">
        <f>EXP(-LN(2)/25)*FR155+(1-EXP(-LN(2)/25))/(LN(2)/25)*Calculateur!FM156*Calculateur!FO156*VLOOKUP('Données projet'!$B$16,Paramètres!$A$1:$I$89,3,0)*0.475*44/12</f>
        <v>22.85795029665001</v>
      </c>
      <c r="FS156" s="21">
        <f>EXP(-LN(2)/2)*FS155+(1-EXP(-LN(2)/2))/(LN(2)/2)*FM156*FP156*VLOOKUP('Données projet'!$B$16,Paramètres!$A$1:$I$89,3,0)*0.475*44/12</f>
        <v>2.7735695932598836E-4</v>
      </c>
      <c r="FT156" s="22">
        <f t="shared" si="184"/>
        <v>75.512201354718371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1341.1104163834841</v>
      </c>
      <c r="S157" s="59">
        <f ca="1">AVERAGE(OFFSET($R$3,0,0,'Données projet'!$E$9+1,1))-AVERAGE(OFFSET($H$3,0,0,'Données projet'!$E$9+1,1))</f>
        <v>681.47578137804555</v>
      </c>
      <c r="T157" s="59">
        <f t="shared" si="142"/>
        <v>300.88511065995885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554.140860000001</v>
      </c>
      <c r="AK157" s="13">
        <f t="shared" si="164"/>
        <v>122.40942303871579</v>
      </c>
      <c r="AL157" s="20">
        <f t="shared" si="165"/>
        <v>1178.3250762924317</v>
      </c>
      <c r="AM157" s="59">
        <f t="shared" si="113"/>
        <v>1465.4670246297944</v>
      </c>
      <c r="AN157" s="59">
        <f ca="1">AVERAGE(OFFSET($AM$3,0,0,'Données projet'!$E$10+1,1))-AVERAGE(OFFSET($H$3,0,0,'Données projet'!$E$10+1,1))</f>
        <v>752.45542076695506</v>
      </c>
      <c r="AO157" s="59">
        <f t="shared" si="144"/>
        <v>329.70629768420724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60.67758456243417</v>
      </c>
      <c r="AV157" s="21">
        <f>EXP(-LN(2)/25)*AV156+(1-EXP(-LN(2)/25))/(LN(2)/25)*Calculateur!AQ157*Calculateur!AS157*VLOOKUP('Données projet'!$B$10,Paramètres!$A$1:$I$89,3,0)*0.475*44/12</f>
        <v>25.658551572560288</v>
      </c>
      <c r="AW157" s="21">
        <f>EXP(-LN(2)/2)*AW156+(1-EXP(-LN(2)/2))/(LN(2)/2)*AQ157*AT157*VLOOKUP('Données projet'!$B$10,Paramètres!$A$1:$I$89,3,0)*0.475*44/12</f>
        <v>1.746282758721192E-4</v>
      </c>
      <c r="AX157" s="21">
        <f t="shared" si="166"/>
        <v>86.336310763270333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520.03988400000094</v>
      </c>
      <c r="BF157" s="13">
        <f t="shared" si="167"/>
        <v>115.72896023649152</v>
      </c>
      <c r="BG157" s="20">
        <f t="shared" si="168"/>
        <v>1107.2974037118909</v>
      </c>
      <c r="BH157" s="59">
        <f t="shared" si="116"/>
        <v>1394.4393520492536</v>
      </c>
      <c r="BI157" s="59">
        <f ca="1">AVERAGE(OFFSET($BH$3,0,0,'Données projet'!$E$11+1,1))-AVERAGE(OFFSET($H$3,0,0,'Données projet'!$E$11+1,1))</f>
        <v>711.91538686535682</v>
      </c>
      <c r="BJ157" s="59">
        <f t="shared" si="146"/>
        <v>313.24593837351722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56.943579358592061</v>
      </c>
      <c r="BQ157" s="21">
        <f>EXP(-LN(2)/25)*BQ156+(1-EXP(-LN(2)/25))/(LN(2)/25)*Calculateur!BL157*Calculateur!BN157*VLOOKUP('Données projet'!$B$11,Paramètres!$A$1:$I$89,3,0)*0.475*44/12</f>
        <v>24.079563783479642</v>
      </c>
      <c r="BR157" s="21">
        <f>EXP(-LN(2)/2)*BR156+(1-EXP(-LN(2)/2))/(LN(2)/2)*BL157*BO157*VLOOKUP('Données projet'!$B$11,Paramètres!$A$1:$I$89,3,0)*0.475*44/12</f>
        <v>1.6388192043383535E-4</v>
      </c>
      <c r="BS157" s="22">
        <f t="shared" si="169"/>
        <v>81.023307023992132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9.3350000000000026</v>
      </c>
      <c r="BX157" s="12">
        <f t="array" ref="BX157">INDEX(BW:BW,MIN(IF(ISNUMBER(BW157:BW353),ROW(BW157:BW353),"")))</f>
        <v>9.3350000000000026</v>
      </c>
      <c r="BY157" s="12">
        <f>IF('Données projet'!$A$114&gt;35,BY156+BX157-CG156,IF(A157&lt;'Données projet'!$A$114,$BV$205^A157,IF(A157='Données projet'!$A$114,'Données projet'!$B$114,BY156+BX157-CG156)))</f>
        <v>546.49000000000092</v>
      </c>
      <c r="BZ157" s="13">
        <f>BY157*VLOOKUP('Données projet'!$B$12,Paramètres!$A$1:$I$89,3,0)*VLOOKUP('Données projet'!$B$12,Paramètres!$A$1:$I$89,5,0)</f>
        <v>528.56512800000087</v>
      </c>
      <c r="CA157" s="13">
        <f t="shared" si="170"/>
        <v>117.40373294232158</v>
      </c>
      <c r="CB157" s="20">
        <f t="shared" si="171"/>
        <v>1125.0624328078782</v>
      </c>
      <c r="CC157" s="59">
        <f t="shared" si="119"/>
        <v>1412.2043811452409</v>
      </c>
      <c r="CD157" s="59">
        <f ca="1">AVERAGE(OFFSET($CC$3,0,0,'Données projet'!$E$12+1,1))-AVERAGE(OFFSET($H$3,0,0,'Données projet'!$E$12+1,1))</f>
        <v>722.05521609092671</v>
      </c>
      <c r="CE157" s="59">
        <f t="shared" si="148"/>
        <v>317.36319714884644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61.050000000000011</v>
      </c>
      <c r="CH157" s="16">
        <f>IF(ISNA(VLOOKUP(A157,'Données projet'!$A$113:$I$133,5,0)),0%,VLOOKUP(A157,'Données projet'!$A$113:$I$133,5,0)*VLOOKUP('Données projet'!$B$12,Paramètres!$A$1:$I$89,7,0))</f>
        <v>0.215</v>
      </c>
      <c r="CI157" s="16">
        <f>IF(ISNA(VLOOKUP(A157,'Données projet'!$A$113:$I$133,6,0)),0%,VLOOKUP(A157,'Données projet'!$A$113:$I$133,6,0)*VLOOKUP('Données projet'!$B$12,Paramètres!$A$1:$I$89,7,0))</f>
        <v>8.6000000000000007E-2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57.877080659552597</v>
      </c>
      <c r="CL157" s="21">
        <f>EXP(-LN(2)/25)*CL156+(1-EXP(-LN(2)/25))/(LN(2)/25)*Calculateur!CG157*Calculateur!CI157*VLOOKUP('Données projet'!$B$12,Paramètres!$A$1:$I$89,3,0)*0.475*44/12</f>
        <v>24.474310730749806</v>
      </c>
      <c r="CM157" s="21">
        <f>EXP(-LN(2)/2)*CM156+(1-EXP(-LN(2)/2))/(LN(2)/2)*CG157*CJ157*VLOOKUP('Données projet'!$B$12,Paramètres!$A$1:$I$89,3,0)*0.475*44/12</f>
        <v>1.6656850929340603E-4</v>
      </c>
      <c r="CN157" s="22">
        <f t="shared" si="172"/>
        <v>82.351557958811711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546.49</v>
      </c>
      <c r="CR157" s="12">
        <f>VLOOKUP(A157,'Données projet'!$A$139:$I$159,9,0)</f>
        <v>9.3350000000000026</v>
      </c>
      <c r="CS157" s="12">
        <f t="array" ref="CS157">INDEX(CR:CR,MIN(IF(ISNUMBER(CR157:CR353),ROW(CR157:CR353),"")))</f>
        <v>9.3350000000000026</v>
      </c>
      <c r="CT157" s="12">
        <f>IF('Données projet'!$A$140&gt;35,CT156+CS157-DB156,IF(A157&lt;'Données projet'!$A$140,$CQ$205^A157,IF(A157='Données projet'!$A$140,'Données projet'!$B$140,CT156+CS157-DB156)))</f>
        <v>546.49000000000092</v>
      </c>
      <c r="CU157" s="17">
        <f>CT157*VLOOKUP('Données projet'!$B$13,Paramètres!$A$1:$I$89,3,0)*VLOOKUP('Données projet'!$B$13,Paramètres!$A$1:$I$89,5,0)</f>
        <v>588.24183600000106</v>
      </c>
      <c r="CV157" s="13">
        <f t="shared" si="173"/>
        <v>129.04217236678744</v>
      </c>
      <c r="CW157" s="20">
        <f t="shared" si="174"/>
        <v>1249.26964790549</v>
      </c>
      <c r="CX157" s="59">
        <f t="shared" si="122"/>
        <v>1536.4115962428527</v>
      </c>
      <c r="CY157" s="59">
        <f ca="1">AVERAGE(OFFSET($CX$3,0,0,'Données projet'!$E$13+1,1))-AVERAGE(OFFSET($H$3,0,0,'Données projet'!$E$13+1,1))</f>
        <v>792.94606354161886</v>
      </c>
      <c r="CZ157" s="59">
        <f t="shared" si="150"/>
        <v>346.14443498270919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61.050000000000011</v>
      </c>
      <c r="DC157" s="16">
        <f>IF(ISNA(VLOOKUP(A157,'Données projet'!$A$139:$I$159,5,0)),0%,VLOOKUP(A157,'Données projet'!$A$139:$I$159,5,0)*VLOOKUP('Données projet'!$B$13,Paramètres!$A$1:$I$89,7,0))</f>
        <v>0.215</v>
      </c>
      <c r="DD157" s="16">
        <f>IF(ISNA(VLOOKUP(A157,'Données projet'!$A$139:$I$159,6,0)),0%,VLOOKUP(A157,'Données projet'!$A$139:$I$159,6,0)*VLOOKUP('Données projet'!$B$13,Paramètres!$A$1:$I$89,7,0))</f>
        <v>8.6000000000000007E-2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64.411589766276251</v>
      </c>
      <c r="DG157" s="21">
        <f>EXP(-LN(2)/25)*DG156+(1-EXP(-LN(2)/25))/(LN(2)/25)*Calculateur!DB157*Calculateur!DD157*VLOOKUP('Données projet'!$B$13,Paramètres!$A$1:$I$89,3,0)*0.475*44/12</f>
        <v>27.237539361640916</v>
      </c>
      <c r="DH157" s="21">
        <f>EXP(-LN(2)/2)*DH156+(1-EXP(-LN(2)/2))/(LN(2)/2)*DB157*DE157*VLOOKUP('Données projet'!$B$13,Paramètres!$A$1:$I$89,3,0)*0.475*44/12</f>
        <v>1.8537463131040345E-4</v>
      </c>
      <c r="DI157" s="22">
        <f t="shared" si="175"/>
        <v>91.649314502548478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269.21114382490202</v>
      </c>
      <c r="DU157" s="59">
        <f t="shared" si="152"/>
        <v>233.07776944102309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3.0446257334127158</v>
      </c>
      <c r="EB157" s="21">
        <f>EXP(-LN(2)/25)*EB156+(1-EXP(-LN(2)/25))/(LN(2)/25)*Calculateur!DW157*Calculateur!DY157*VLOOKUP('Données projet'!$B$14,Paramètres!$A$1:$I$89,3,0)*0.475*44/12</f>
        <v>10.829591721950347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13.874217455363063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>
        <f>VLOOKUP(A157,'Données projet'!$A$217:$I$237,2,0)</f>
        <v>546.49</v>
      </c>
      <c r="FC157" s="12">
        <f>VLOOKUP(A157,'Données projet'!$A$217:$I$237,9,0)</f>
        <v>9.3350000000000026</v>
      </c>
      <c r="FD157" s="12">
        <f t="array" ref="FD157">INDEX(FC:FC,MIN(IF(ISNUMBER(FC157:FC353),ROW(FC157:FC353),"")))</f>
        <v>9.3350000000000026</v>
      </c>
      <c r="FE157" s="12">
        <f>IF('Données projet'!$A$218&gt;35,FE156+FD157-FM156,IF(A157&lt;'Données projet'!$A$218,$FB$205^A157,IF(A157='Données projet'!$A$218,'Données projet'!$B$218,FE156+FD157-FM156)))</f>
        <v>546.49000000000092</v>
      </c>
      <c r="FF157" s="17">
        <f>FE157*VLOOKUP('Données projet'!$B$16,Paramètres!$A$1:$I$89,3,0)*VLOOKUP('Données projet'!$B$16,Paramètres!$A$1:$I$89,5,0)</f>
        <v>622.34281200000112</v>
      </c>
      <c r="FG157" s="13">
        <f t="shared" si="182"/>
        <v>135.63028933568057</v>
      </c>
      <c r="FH157" s="20">
        <f t="shared" si="183"/>
        <v>1320.1364848263122</v>
      </c>
      <c r="FI157" s="59">
        <f t="shared" si="131"/>
        <v>1607.2784331636749</v>
      </c>
      <c r="FJ157" s="59">
        <f ca="1">AVERAGE(OFFSET($FI$3,0,0,'Données projet'!$E$16+1,1))-AVERAGE(OFFSET($H$3,0,0,'Données projet'!$E$16+1,1))</f>
        <v>833.39050463936144</v>
      </c>
      <c r="FK157" s="59">
        <f t="shared" si="156"/>
        <v>362.56178526355507</v>
      </c>
      <c r="FL157" s="15">
        <f>IF(ISNA(VLOOKUP(A157,'Données projet'!$A$217:$I$237,3,0)),0,VLOOKUP(A157,'Données projet'!$A$217:$I$237,3,0))</f>
        <v>13</v>
      </c>
      <c r="FM157" s="15">
        <f>IF(ISNA(VLOOKUP(A157,'Données projet'!$A$217:$I$237,4,0)),0,VLOOKUP(A157,'Données projet'!$A$217:$I$237,4,0))</f>
        <v>61.050000000000011</v>
      </c>
      <c r="FN157" s="16">
        <f>IF(ISNA(VLOOKUP(A157,'Données projet'!$A$217:$I$237,5,0)),0%,VLOOKUP(A157,'Données projet'!$A$217:$I$237,5,0)*VLOOKUP('Données projet'!$B$16,Paramètres!$A$1:$I$89,7,0))</f>
        <v>0.215</v>
      </c>
      <c r="FO157" s="16">
        <f>IF(ISNA(VLOOKUP(A157,'Données projet'!$A$217:$I$237,6,0)),0%,VLOOKUP(A157,'Données projet'!$A$217:$I$237,6,0)*VLOOKUP('Données projet'!$B$16,Paramètres!$A$1:$I$89,7,0))</f>
        <v>8.6000000000000007E-2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68.145594970118353</v>
      </c>
      <c r="FR157" s="21">
        <f>EXP(-LN(2)/25)*FR156+(1-EXP(-LN(2)/25))/(LN(2)/25)*Calculateur!FM157*Calculateur!FO157*VLOOKUP('Données projet'!$B$16,Paramètres!$A$1:$I$89,3,0)*0.475*44/12</f>
        <v>28.816527150721562</v>
      </c>
      <c r="FS157" s="21">
        <f>EXP(-LN(2)/2)*FS156+(1-EXP(-LN(2)/2))/(LN(2)/2)*FM157*FP157*VLOOKUP('Données projet'!$B$16,Paramètres!$A$1:$I$89,3,0)*0.475*44/12</f>
        <v>1.9612098674868782E-4</v>
      </c>
      <c r="FT157" s="22">
        <f t="shared" si="184"/>
        <v>96.962318241826665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1243.800260086452</v>
      </c>
      <c r="S158" s="59">
        <f ca="1">AVERAGE(OFFSET($R$3,0,0,'Données projet'!$E$9+1,1))-AVERAGE(OFFSET($H$3,0,0,'Données projet'!$E$9+1,1))</f>
        <v>681.47578137804555</v>
      </c>
      <c r="T158" s="59">
        <f t="shared" si="142"/>
        <v>300.88511065995885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501.85699200000107</v>
      </c>
      <c r="AK158" s="13">
        <f t="shared" si="164"/>
        <v>112.14619280341684</v>
      </c>
      <c r="AL158" s="20">
        <f t="shared" si="165"/>
        <v>1069.3888801992859</v>
      </c>
      <c r="AM158" s="59">
        <f t="shared" si="113"/>
        <v>1356.6382352244657</v>
      </c>
      <c r="AN158" s="59">
        <f ca="1">AVERAGE(OFFSET($AM$3,0,0,'Données projet'!$E$10+1,1))-AVERAGE(OFFSET($H$3,0,0,'Données projet'!$E$10+1,1))</f>
        <v>752.45542076695506</v>
      </c>
      <c r="AO158" s="59">
        <f t="shared" si="144"/>
        <v>329.70629768420724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59.48773413883702</v>
      </c>
      <c r="AV158" s="21">
        <f>EXP(-LN(2)/25)*AV157+(1-EXP(-LN(2)/25))/(LN(2)/25)*Calculateur!AQ158*Calculateur!AS158*VLOOKUP('Données projet'!$B$10,Paramètres!$A$1:$I$89,3,0)*0.475*44/12</f>
        <v>24.956917130484044</v>
      </c>
      <c r="AW158" s="21">
        <f>EXP(-LN(2)/2)*AW157+(1-EXP(-LN(2)/2))/(LN(2)/2)*AQ158*AT158*VLOOKUP('Données projet'!$B$10,Paramètres!$A$1:$I$89,3,0)*0.475*44/12</f>
        <v>1.2348083805609065E-4</v>
      </c>
      <c r="AX158" s="21">
        <f t="shared" si="166"/>
        <v>84.444774750159127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470.97348480000096</v>
      </c>
      <c r="BF158" s="13">
        <f t="shared" si="167"/>
        <v>106.02584315355907</v>
      </c>
      <c r="BG158" s="20">
        <f t="shared" si="168"/>
        <v>1004.9404961857837</v>
      </c>
      <c r="BH158" s="59">
        <f t="shared" si="116"/>
        <v>1292.1898512109633</v>
      </c>
      <c r="BI158" s="59">
        <f ca="1">AVERAGE(OFFSET($BH$3,0,0,'Données projet'!$E$11+1,1))-AVERAGE(OFFSET($H$3,0,0,'Données projet'!$E$11+1,1))</f>
        <v>711.91538686535682</v>
      </c>
      <c r="BJ158" s="59">
        <f t="shared" si="146"/>
        <v>313.24593837351722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55.826950499523967</v>
      </c>
      <c r="BQ158" s="21">
        <f>EXP(-LN(2)/25)*BQ157+(1-EXP(-LN(2)/25))/(LN(2)/25)*Calculateur!BL158*Calculateur!BN158*VLOOKUP('Données projet'!$B$11,Paramètres!$A$1:$I$89,3,0)*0.475*44/12</f>
        <v>23.421106845531167</v>
      </c>
      <c r="BR158" s="21">
        <f>EXP(-LN(2)/2)*BR157+(1-EXP(-LN(2)/2))/(LN(2)/2)*BL158*BO158*VLOOKUP('Données projet'!$B$11,Paramètres!$A$1:$I$89,3,0)*0.475*44/12</f>
        <v>1.1588201725263922E-4</v>
      </c>
      <c r="BS158" s="22">
        <f t="shared" si="169"/>
        <v>79.248173227072385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9.4880000000000049</v>
      </c>
      <c r="BY158" s="12">
        <f>IF('Données projet'!$A$114&gt;35,BY157+BX158-CG157,IF(A158&lt;'Données projet'!$A$114,$BV$205^A158,IF(A158='Données projet'!$A$114,'Données projet'!$B$114,BY157+BX158-CG157)))</f>
        <v>494.92800000000096</v>
      </c>
      <c r="BZ158" s="13">
        <f>BY158*VLOOKUP('Données projet'!$B$12,Paramètres!$A$1:$I$89,3,0)*VLOOKUP('Données projet'!$B$12,Paramètres!$A$1:$I$89,5,0)</f>
        <v>478.69436160000095</v>
      </c>
      <c r="CA158" s="13">
        <f t="shared" si="170"/>
        <v>107.56019711183657</v>
      </c>
      <c r="CB158" s="20">
        <f t="shared" si="171"/>
        <v>1021.0600230897836</v>
      </c>
      <c r="CC158" s="59">
        <f t="shared" si="119"/>
        <v>1308.3093781149632</v>
      </c>
      <c r="CD158" s="59">
        <f ca="1">AVERAGE(OFFSET($CC$3,0,0,'Données projet'!$E$12+1,1))-AVERAGE(OFFSET($H$3,0,0,'Données projet'!$E$12+1,1))</f>
        <v>722.05521609092671</v>
      </c>
      <c r="CE158" s="59">
        <f t="shared" si="148"/>
        <v>317.36319714884644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56.742146409352237</v>
      </c>
      <c r="CL158" s="21">
        <f>EXP(-LN(2)/25)*CL157+(1-EXP(-LN(2)/25))/(LN(2)/25)*Calculateur!CG158*Calculateur!CI158*VLOOKUP('Données projet'!$B$12,Paramètres!$A$1:$I$89,3,0)*0.475*44/12</f>
        <v>23.805059416769389</v>
      </c>
      <c r="CM158" s="21">
        <f>EXP(-LN(2)/2)*CM157+(1-EXP(-LN(2)/2))/(LN(2)/2)*CG158*CJ158*VLOOKUP('Données projet'!$B$12,Paramètres!$A$1:$I$89,3,0)*0.475*44/12</f>
        <v>1.1778172245350186E-4</v>
      </c>
      <c r="CN158" s="22">
        <f t="shared" si="172"/>
        <v>80.547323607844078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9.4880000000000049</v>
      </c>
      <c r="CT158" s="12">
        <f>IF('Données projet'!$A$140&gt;35,CT157+CS158-DB157,IF(A158&lt;'Données projet'!$A$140,$CQ$205^A158,IF(A158='Données projet'!$A$140,'Données projet'!$B$140,CT157+CS158-DB157)))</f>
        <v>494.92800000000096</v>
      </c>
      <c r="CU158" s="17">
        <f>CT158*VLOOKUP('Données projet'!$B$13,Paramètres!$A$1:$I$89,3,0)*VLOOKUP('Données projet'!$B$13,Paramètres!$A$1:$I$89,5,0)</f>
        <v>532.74049920000095</v>
      </c>
      <c r="CV158" s="13">
        <f t="shared" si="173"/>
        <v>118.2228294421452</v>
      </c>
      <c r="CW158" s="20">
        <f t="shared" si="174"/>
        <v>1133.7611307184045</v>
      </c>
      <c r="CX158" s="59">
        <f t="shared" si="122"/>
        <v>1421.0104857435842</v>
      </c>
      <c r="CY158" s="59">
        <f ca="1">AVERAGE(OFFSET($CX$3,0,0,'Données projet'!$E$13+1,1))-AVERAGE(OFFSET($H$3,0,0,'Données projet'!$E$13+1,1))</f>
        <v>792.94606354161886</v>
      </c>
      <c r="CZ158" s="59">
        <f t="shared" si="150"/>
        <v>346.14443498270919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63.148517778150044</v>
      </c>
      <c r="DG158" s="21">
        <f>EXP(-LN(2)/25)*DG157+(1-EXP(-LN(2)/25))/(LN(2)/25)*Calculateur!DB158*Calculateur!DD158*VLOOKUP('Données projet'!$B$13,Paramètres!$A$1:$I$89,3,0)*0.475*44/12</f>
        <v>26.492727415436903</v>
      </c>
      <c r="DH158" s="21">
        <f>EXP(-LN(2)/2)*DH157+(1-EXP(-LN(2)/2))/(LN(2)/2)*DB158*DE158*VLOOKUP('Données projet'!$B$13,Paramètres!$A$1:$I$89,3,0)*0.475*44/12</f>
        <v>1.3107965885954237E-4</v>
      </c>
      <c r="DI158" s="22">
        <f t="shared" si="175"/>
        <v>89.641376273245797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269.21114382490202</v>
      </c>
      <c r="DU158" s="59">
        <f t="shared" si="152"/>
        <v>233.07776944102309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2.9849224798188225</v>
      </c>
      <c r="EB158" s="21">
        <f>EXP(-LN(2)/25)*EB157+(1-EXP(-LN(2)/25))/(LN(2)/25)*Calculateur!DW158*Calculateur!DY158*VLOOKUP('Données projet'!$B$14,Paramètres!$A$1:$I$89,3,0)*0.475*44/12</f>
        <v>10.533455966810138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13.51837844662896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9.4880000000000049</v>
      </c>
      <c r="FE158" s="12">
        <f>IF('Données projet'!$A$218&gt;35,FE157+FD158-FM157,IF(A158&lt;'Données projet'!$A$218,$FB$205^A158,IF(A158='Données projet'!$A$218,'Données projet'!$B$218,FE157+FD158-FM157)))</f>
        <v>494.92800000000096</v>
      </c>
      <c r="FF158" s="17">
        <f>FE158*VLOOKUP('Données projet'!$B$16,Paramètres!$A$1:$I$89,3,0)*VLOOKUP('Données projet'!$B$16,Paramètres!$A$1:$I$89,5,0)</f>
        <v>563.62400640000112</v>
      </c>
      <c r="FG158" s="13">
        <f t="shared" si="182"/>
        <v>124.25857585336119</v>
      </c>
      <c r="FH158" s="20">
        <f t="shared" si="183"/>
        <v>1198.0621640912727</v>
      </c>
      <c r="FI158" s="59">
        <f t="shared" si="131"/>
        <v>1485.3115191164525</v>
      </c>
      <c r="FJ158" s="59">
        <f ca="1">AVERAGE(OFFSET($FI$3,0,0,'Données projet'!$E$16+1,1))-AVERAGE(OFFSET($H$3,0,0,'Données projet'!$E$16+1,1))</f>
        <v>833.39050463936144</v>
      </c>
      <c r="FK158" s="59">
        <f t="shared" si="156"/>
        <v>362.56178526355507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66.809301417463089</v>
      </c>
      <c r="FR158" s="21">
        <f>EXP(-LN(2)/25)*FR157+(1-EXP(-LN(2)/25))/(LN(2)/25)*Calculateur!FM158*Calculateur!FO158*VLOOKUP('Données projet'!$B$16,Paramètres!$A$1:$I$89,3,0)*0.475*44/12</f>
        <v>28.02853770038978</v>
      </c>
      <c r="FS158" s="21">
        <f>EXP(-LN(2)/2)*FS157+(1-EXP(-LN(2)/2))/(LN(2)/2)*FM158*FP158*VLOOKUP('Données projet'!$B$16,Paramètres!$A$1:$I$89,3,0)*0.475*44/12</f>
        <v>1.3867847966299418E-4</v>
      </c>
      <c r="FT158" s="22">
        <f t="shared" si="184"/>
        <v>94.837977796332524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1261.8459118763585</v>
      </c>
      <c r="S159" s="59">
        <f ca="1">AVERAGE(OFFSET($R$3,0,0,'Données projet'!$E$9+1,1))-AVERAGE(OFFSET($H$3,0,0,'Données projet'!$E$9+1,1))</f>
        <v>681.47578137804555</v>
      </c>
      <c r="T159" s="59">
        <f t="shared" si="142"/>
        <v>300.88511065995885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511.47782400000102</v>
      </c>
      <c r="AK159" s="13">
        <f t="shared" si="164"/>
        <v>114.04373524085221</v>
      </c>
      <c r="AL159" s="20">
        <f t="shared" si="165"/>
        <v>1089.4500490111525</v>
      </c>
      <c r="AM159" s="59">
        <f t="shared" si="113"/>
        <v>1376.8049474582408</v>
      </c>
      <c r="AN159" s="59">
        <f ca="1">AVERAGE(OFFSET($AM$3,0,0,'Données projet'!$E$10+1,1))-AVERAGE(OFFSET($H$3,0,0,'Données projet'!$E$10+1,1))</f>
        <v>752.45542076695506</v>
      </c>
      <c r="AO159" s="59">
        <f t="shared" si="144"/>
        <v>329.70629768420724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58.321215956309508</v>
      </c>
      <c r="AV159" s="21">
        <f>EXP(-LN(2)/25)*AV158+(1-EXP(-LN(2)/25))/(LN(2)/25)*Calculateur!AQ159*Calculateur!AS159*VLOOKUP('Données projet'!$B$10,Paramètres!$A$1:$I$89,3,0)*0.475*44/12</f>
        <v>24.274468919123727</v>
      </c>
      <c r="AW159" s="21">
        <f>EXP(-LN(2)/2)*AW158+(1-EXP(-LN(2)/2))/(LN(2)/2)*AQ159*AT159*VLOOKUP('Données projet'!$B$10,Paramètres!$A$1:$I$89,3,0)*0.475*44/12</f>
        <v>8.7314137936059599E-5</v>
      </c>
      <c r="AX159" s="21">
        <f t="shared" si="166"/>
        <v>82.595772189571179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480.0022656000009</v>
      </c>
      <c r="BF159" s="13">
        <f t="shared" si="167"/>
        <v>107.81982770015364</v>
      </c>
      <c r="BG159" s="20">
        <f t="shared" si="168"/>
        <v>1023.7901458311022</v>
      </c>
      <c r="BH159" s="59">
        <f t="shared" si="116"/>
        <v>1311.1450442781907</v>
      </c>
      <c r="BI159" s="59">
        <f ca="1">AVERAGE(OFFSET($BH$3,0,0,'Données projet'!$E$11+1,1))-AVERAGE(OFFSET($H$3,0,0,'Données projet'!$E$11+1,1))</f>
        <v>711.91538686535682</v>
      </c>
      <c r="BJ159" s="59">
        <f t="shared" si="146"/>
        <v>313.24593837351722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54.732218051305843</v>
      </c>
      <c r="BQ159" s="21">
        <f>EXP(-LN(2)/25)*BQ158+(1-EXP(-LN(2)/25))/(LN(2)/25)*Calculateur!BL159*Calculateur!BN159*VLOOKUP('Données projet'!$B$11,Paramètres!$A$1:$I$89,3,0)*0.475*44/12</f>
        <v>22.780655447177637</v>
      </c>
      <c r="BR159" s="21">
        <f>EXP(-LN(2)/2)*BR158+(1-EXP(-LN(2)/2))/(LN(2)/2)*BL159*BO159*VLOOKUP('Données projet'!$B$11,Paramètres!$A$1:$I$89,3,0)*0.475*44/12</f>
        <v>8.1940960216917688E-5</v>
      </c>
      <c r="BS159" s="22">
        <f t="shared" si="169"/>
        <v>77.512955439443701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9.4880000000000049</v>
      </c>
      <c r="BY159" s="12">
        <f>IF('Données projet'!$A$114&gt;35,BY158+BX159-CG158,IF(A159&lt;'Données projet'!$A$114,$BV$205^A159,IF(A159='Données projet'!$A$114,'Données projet'!$B$114,BY158+BX159-CG158)))</f>
        <v>504.41600000000096</v>
      </c>
      <c r="BZ159" s="13">
        <f>BY159*VLOOKUP('Données projet'!$B$12,Paramètres!$A$1:$I$89,3,0)*VLOOKUP('Données projet'!$B$12,Paramètres!$A$1:$I$89,5,0)</f>
        <v>487.87115520000094</v>
      </c>
      <c r="CA159" s="13">
        <f t="shared" si="170"/>
        <v>109.38014332219427</v>
      </c>
      <c r="CB159" s="20">
        <f t="shared" si="171"/>
        <v>1040.2126782594898</v>
      </c>
      <c r="CC159" s="59">
        <f t="shared" si="119"/>
        <v>1327.5675767065782</v>
      </c>
      <c r="CD159" s="59">
        <f ca="1">AVERAGE(OFFSET($CC$3,0,0,'Données projet'!$E$12+1,1))-AVERAGE(OFFSET($H$3,0,0,'Données projet'!$E$12+1,1))</f>
        <v>722.05521609092671</v>
      </c>
      <c r="CE159" s="59">
        <f t="shared" si="148"/>
        <v>317.36319714884644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55.629467527556763</v>
      </c>
      <c r="CL159" s="21">
        <f>EXP(-LN(2)/25)*CL158+(1-EXP(-LN(2)/25))/(LN(2)/25)*Calculateur!CG159*Calculateur!CI159*VLOOKUP('Données projet'!$B$12,Paramètres!$A$1:$I$89,3,0)*0.475*44/12</f>
        <v>23.154108815164161</v>
      </c>
      <c r="CM159" s="21">
        <f>EXP(-LN(2)/2)*CM158+(1-EXP(-LN(2)/2))/(LN(2)/2)*CG159*CJ159*VLOOKUP('Données projet'!$B$12,Paramètres!$A$1:$I$89,3,0)*0.475*44/12</f>
        <v>8.3284254646703013E-5</v>
      </c>
      <c r="CN159" s="22">
        <f t="shared" si="172"/>
        <v>78.783659626975563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9.4880000000000049</v>
      </c>
      <c r="CT159" s="12">
        <f>IF('Données projet'!$A$140&gt;35,CT158+CS159-DB158,IF(A159&lt;'Données projet'!$A$140,$CQ$205^A159,IF(A159='Données projet'!$A$140,'Données projet'!$B$140,CT158+CS159-DB158)))</f>
        <v>504.41600000000096</v>
      </c>
      <c r="CU159" s="17">
        <f>CT159*VLOOKUP('Données projet'!$B$13,Paramètres!$A$1:$I$89,3,0)*VLOOKUP('Données projet'!$B$13,Paramètres!$A$1:$I$89,5,0)</f>
        <v>542.95338240000103</v>
      </c>
      <c r="CV159" s="13">
        <f t="shared" si="173"/>
        <v>120.2231901350257</v>
      </c>
      <c r="CW159" s="20">
        <f t="shared" si="174"/>
        <v>1155.0325304985047</v>
      </c>
      <c r="CX159" s="59">
        <f t="shared" si="122"/>
        <v>1442.387428945593</v>
      </c>
      <c r="CY159" s="59">
        <f ca="1">AVERAGE(OFFSET($CX$3,0,0,'Données projet'!$E$13+1,1))-AVERAGE(OFFSET($H$3,0,0,'Données projet'!$E$13+1,1))</f>
        <v>792.94606354161886</v>
      </c>
      <c r="CZ159" s="59">
        <f t="shared" si="150"/>
        <v>346.14443498270919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61.910213861313146</v>
      </c>
      <c r="DG159" s="21">
        <f>EXP(-LN(2)/25)*DG158+(1-EXP(-LN(2)/25))/(LN(2)/25)*Calculateur!DB159*Calculateur!DD159*VLOOKUP('Données projet'!$B$13,Paramètres!$A$1:$I$89,3,0)*0.475*44/12</f>
        <v>25.768282391069796</v>
      </c>
      <c r="DH159" s="21">
        <f>EXP(-LN(2)/2)*DH158+(1-EXP(-LN(2)/2))/(LN(2)/2)*DB159*DE159*VLOOKUP('Données projet'!$B$13,Paramètres!$A$1:$I$89,3,0)*0.475*44/12</f>
        <v>9.2687315655201727E-5</v>
      </c>
      <c r="DI159" s="22">
        <f t="shared" si="175"/>
        <v>87.678588939698599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269.21114382490202</v>
      </c>
      <c r="DU159" s="59">
        <f t="shared" si="152"/>
        <v>233.07776944102309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2.9263899706125165</v>
      </c>
      <c r="EB159" s="21">
        <f>EXP(-LN(2)/25)*EB158+(1-EXP(-LN(2)/25))/(LN(2)/25)*Calculateur!DW159*Calculateur!DY159*VLOOKUP('Données projet'!$B$14,Paramètres!$A$1:$I$89,3,0)*0.475*44/12</f>
        <v>10.24541805946734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13.171808030079857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9.4880000000000049</v>
      </c>
      <c r="FE159" s="12">
        <f>IF('Données projet'!$A$218&gt;35,FE158+FD159-FM158,IF(A159&lt;'Données projet'!$A$218,$FB$205^A159,IF(A159='Données projet'!$A$218,'Données projet'!$B$218,FE158+FD159-FM158)))</f>
        <v>504.41600000000096</v>
      </c>
      <c r="FF159" s="17">
        <f>FE159*VLOOKUP('Données projet'!$B$16,Paramètres!$A$1:$I$89,3,0)*VLOOKUP('Données projet'!$B$16,Paramètres!$A$1:$I$89,5,0)</f>
        <v>574.4289408000011</v>
      </c>
      <c r="FG159" s="13">
        <f t="shared" si="182"/>
        <v>126.36106292851628</v>
      </c>
      <c r="FH159" s="20">
        <f t="shared" si="183"/>
        <v>1220.5425898271676</v>
      </c>
      <c r="FI159" s="59">
        <f t="shared" si="131"/>
        <v>1507.8974882742559</v>
      </c>
      <c r="FJ159" s="59">
        <f ca="1">AVERAGE(OFFSET($FI$3,0,0,'Données projet'!$E$16+1,1))-AVERAGE(OFFSET($H$3,0,0,'Données projet'!$E$16+1,1))</f>
        <v>833.39050463936144</v>
      </c>
      <c r="FK159" s="59">
        <f t="shared" si="156"/>
        <v>362.56178526355507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65.499211766316805</v>
      </c>
      <c r="FR159" s="21">
        <f>EXP(-LN(2)/25)*FR158+(1-EXP(-LN(2)/25))/(LN(2)/25)*Calculateur!FM159*Calculateur!FO159*VLOOKUP('Données projet'!$B$16,Paramètres!$A$1:$I$89,3,0)*0.475*44/12</f>
        <v>27.262095863015883</v>
      </c>
      <c r="FS159" s="21">
        <f>EXP(-LN(2)/2)*FS158+(1-EXP(-LN(2)/2))/(LN(2)/2)*FM159*FP159*VLOOKUP('Données projet'!$B$16,Paramètres!$A$1:$I$89,3,0)*0.475*44/12</f>
        <v>9.8060493374343909E-5</v>
      </c>
      <c r="FT159" s="22">
        <f t="shared" si="184"/>
        <v>92.761405689826063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1279.8831965770746</v>
      </c>
      <c r="S160" s="59">
        <f ca="1">AVERAGE(OFFSET($R$3,0,0,'Données projet'!$E$9+1,1))-AVERAGE(OFFSET($H$3,0,0,'Données projet'!$E$9+1,1))</f>
        <v>681.47578137804555</v>
      </c>
      <c r="T160" s="59">
        <f t="shared" si="142"/>
        <v>300.88511065995885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521.09865600000103</v>
      </c>
      <c r="AK160" s="13">
        <f t="shared" si="164"/>
        <v>115.93712735408282</v>
      </c>
      <c r="AL160" s="20">
        <f t="shared" si="165"/>
        <v>1109.5039893416961</v>
      </c>
      <c r="AM160" s="59">
        <f t="shared" si="113"/>
        <v>1396.9626002682826</v>
      </c>
      <c r="AN160" s="59">
        <f ca="1">AVERAGE(OFFSET($AM$3,0,0,'Données projet'!$E$10+1,1))-AVERAGE(OFFSET($H$3,0,0,'Données projet'!$E$10+1,1))</f>
        <v>752.45542076695506</v>
      </c>
      <c r="AO160" s="59">
        <f t="shared" si="144"/>
        <v>329.70629768420724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57.177572483835526</v>
      </c>
      <c r="AV160" s="21">
        <f>EXP(-LN(2)/25)*AV159+(1-EXP(-LN(2)/25))/(LN(2)/25)*Calculateur!AQ160*Calculateur!AS160*VLOOKUP('Données projet'!$B$10,Paramètres!$A$1:$I$89,3,0)*0.475*44/12</f>
        <v>23.610682289991448</v>
      </c>
      <c r="AW160" s="21">
        <f>EXP(-LN(2)/2)*AW159+(1-EXP(-LN(2)/2))/(LN(2)/2)*AQ160*AT160*VLOOKUP('Données projet'!$B$10,Paramètres!$A$1:$I$89,3,0)*0.475*44/12</f>
        <v>6.1740419028045323E-5</v>
      </c>
      <c r="AX160" s="21">
        <f t="shared" si="166"/>
        <v>80.788316514246006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489.03104640000095</v>
      </c>
      <c r="BF160" s="13">
        <f t="shared" si="167"/>
        <v>109.60988842542025</v>
      </c>
      <c r="BG160" s="20">
        <f t="shared" si="168"/>
        <v>1042.6329614876088</v>
      </c>
      <c r="BH160" s="59">
        <f t="shared" si="116"/>
        <v>1330.0915724141953</v>
      </c>
      <c r="BI160" s="59">
        <f ca="1">AVERAGE(OFFSET($BH$3,0,0,'Données projet'!$E$11+1,1))-AVERAGE(OFFSET($H$3,0,0,'Données projet'!$E$11+1,1))</f>
        <v>711.91538686535682</v>
      </c>
      <c r="BJ160" s="59">
        <f t="shared" si="146"/>
        <v>313.24593837351722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53.658952638676411</v>
      </c>
      <c r="BQ160" s="21">
        <f>EXP(-LN(2)/25)*BQ159+(1-EXP(-LN(2)/25))/(LN(2)/25)*Calculateur!BL160*Calculateur!BN160*VLOOKUP('Données projet'!$B$11,Paramètres!$A$1:$I$89,3,0)*0.475*44/12</f>
        <v>22.157717225991959</v>
      </c>
      <c r="BR160" s="21">
        <f>EXP(-LN(2)/2)*BR159+(1-EXP(-LN(2)/2))/(LN(2)/2)*BL160*BO160*VLOOKUP('Données projet'!$B$11,Paramètres!$A$1:$I$89,3,0)*0.475*44/12</f>
        <v>5.7941008626319615E-5</v>
      </c>
      <c r="BS160" s="22">
        <f t="shared" si="169"/>
        <v>75.81672780567699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9.4880000000000049</v>
      </c>
      <c r="BY160" s="12">
        <f>IF('Données projet'!$A$114&gt;35,BY159+BX160-CG159,IF(A160&lt;'Données projet'!$A$114,$BV$205^A160,IF(A160='Données projet'!$A$114,'Données projet'!$B$114,BY159+BX160-CG159)))</f>
        <v>513.90400000000102</v>
      </c>
      <c r="BZ160" s="13">
        <f>BY160*VLOOKUP('Données projet'!$B$12,Paramètres!$A$1:$I$89,3,0)*VLOOKUP('Données projet'!$B$12,Paramètres!$A$1:$I$89,5,0)</f>
        <v>497.047948800001</v>
      </c>
      <c r="CA160" s="13">
        <f t="shared" si="170"/>
        <v>111.19610892760781</v>
      </c>
      <c r="CB160" s="20">
        <f t="shared" si="171"/>
        <v>1059.358400542252</v>
      </c>
      <c r="CC160" s="59">
        <f t="shared" si="119"/>
        <v>1346.8170114688385</v>
      </c>
      <c r="CD160" s="59">
        <f ca="1">AVERAGE(OFFSET($CC$3,0,0,'Données projet'!$E$12+1,1))-AVERAGE(OFFSET($H$3,0,0,'Données projet'!$E$12+1,1))</f>
        <v>722.05521609092671</v>
      </c>
      <c r="CE160" s="59">
        <f t="shared" si="148"/>
        <v>317.36319714884644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54.538607599966198</v>
      </c>
      <c r="CL160" s="21">
        <f>EXP(-LN(2)/25)*CL159+(1-EXP(-LN(2)/25))/(LN(2)/25)*Calculateur!CG160*Calculateur!CI160*VLOOKUP('Données projet'!$B$12,Paramètres!$A$1:$I$89,3,0)*0.475*44/12</f>
        <v>22.520958491991834</v>
      </c>
      <c r="CM160" s="21">
        <f>EXP(-LN(2)/2)*CM159+(1-EXP(-LN(2)/2))/(LN(2)/2)*CG160*CJ160*VLOOKUP('Données projet'!$B$12,Paramètres!$A$1:$I$89,3,0)*0.475*44/12</f>
        <v>5.8890861226750932E-5</v>
      </c>
      <c r="CN160" s="22">
        <f t="shared" si="172"/>
        <v>77.059624982819258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9.4880000000000049</v>
      </c>
      <c r="CT160" s="12">
        <f>IF('Données projet'!$A$140&gt;35,CT159+CS160-DB159,IF(A160&lt;'Données projet'!$A$140,$CQ$205^A160,IF(A160='Données projet'!$A$140,'Données projet'!$B$140,CT159+CS160-DB159)))</f>
        <v>513.90400000000102</v>
      </c>
      <c r="CU160" s="17">
        <f>CT160*VLOOKUP('Données projet'!$B$13,Paramètres!$A$1:$I$89,3,0)*VLOOKUP('Données projet'!$B$13,Paramètres!$A$1:$I$89,5,0)</f>
        <v>553.166265600001</v>
      </c>
      <c r="CV160" s="13">
        <f t="shared" si="173"/>
        <v>122.21917561856273</v>
      </c>
      <c r="CW160" s="20">
        <f t="shared" si="174"/>
        <v>1176.296310122332</v>
      </c>
      <c r="CX160" s="59">
        <f t="shared" si="122"/>
        <v>1463.7549210489185</v>
      </c>
      <c r="CY160" s="59">
        <f ca="1">AVERAGE(OFFSET($CX$3,0,0,'Données projet'!$E$13+1,1))-AVERAGE(OFFSET($H$3,0,0,'Données projet'!$E$13+1,1))</f>
        <v>792.94606354161886</v>
      </c>
      <c r="CZ160" s="59">
        <f t="shared" si="150"/>
        <v>346.14443498270919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60.696192328994613</v>
      </c>
      <c r="DG160" s="21">
        <f>EXP(-LN(2)/25)*DG159+(1-EXP(-LN(2)/25))/(LN(2)/25)*Calculateur!DB160*Calculateur!DD160*VLOOKUP('Données projet'!$B$13,Paramètres!$A$1:$I$89,3,0)*0.475*44/12</f>
        <v>25.063647353990916</v>
      </c>
      <c r="DH160" s="21">
        <f>EXP(-LN(2)/2)*DH159+(1-EXP(-LN(2)/2))/(LN(2)/2)*DB160*DE160*VLOOKUP('Données projet'!$B$13,Paramètres!$A$1:$I$89,3,0)*0.475*44/12</f>
        <v>6.5539829429771187E-5</v>
      </c>
      <c r="DI160" s="22">
        <f t="shared" si="175"/>
        <v>85.759905222814965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269.21114382490202</v>
      </c>
      <c r="DU160" s="59">
        <f t="shared" si="152"/>
        <v>233.07776944102309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2.8690052482104407</v>
      </c>
      <c r="EB160" s="21">
        <f>EXP(-LN(2)/25)*EB159+(1-EXP(-LN(2)/25))/(LN(2)/25)*Calculateur!DW160*Calculateur!DY160*VLOOKUP('Données projet'!$B$14,Paramètres!$A$1:$I$89,3,0)*0.475*44/12</f>
        <v>9.9652565638480866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12.834261812058527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9.4880000000000049</v>
      </c>
      <c r="FE160" s="12">
        <f>IF('Données projet'!$A$218&gt;35,FE159+FD160-FM159,IF(A160&lt;'Données projet'!$A$218,$FB$205^A160,IF(A160='Données projet'!$A$218,'Données projet'!$B$218,FE159+FD160-FM159)))</f>
        <v>513.90400000000102</v>
      </c>
      <c r="FF160" s="17">
        <f>FE160*VLOOKUP('Données projet'!$B$16,Paramètres!$A$1:$I$89,3,0)*VLOOKUP('Données projet'!$B$16,Paramètres!$A$1:$I$89,5,0)</f>
        <v>585.23387520000119</v>
      </c>
      <c r="FG160" s="13">
        <f t="shared" si="182"/>
        <v>128.45895142246124</v>
      </c>
      <c r="FH160" s="20">
        <f t="shared" si="183"/>
        <v>1243.0150063674553</v>
      </c>
      <c r="FI160" s="59">
        <f t="shared" si="131"/>
        <v>1530.4736172940418</v>
      </c>
      <c r="FJ160" s="59">
        <f ca="1">AVERAGE(OFFSET($FI$3,0,0,'Données projet'!$E$16+1,1))-AVERAGE(OFFSET($H$3,0,0,'Données projet'!$E$16+1,1))</f>
        <v>833.39050463936144</v>
      </c>
      <c r="FK160" s="59">
        <f t="shared" si="156"/>
        <v>362.56178526355507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64.214812174153721</v>
      </c>
      <c r="FR160" s="21">
        <f>EXP(-LN(2)/25)*FR159+(1-EXP(-LN(2)/25))/(LN(2)/25)*Calculateur!FM160*Calculateur!FO160*VLOOKUP('Données projet'!$B$16,Paramètres!$A$1:$I$89,3,0)*0.475*44/12</f>
        <v>26.516612417990402</v>
      </c>
      <c r="FS160" s="21">
        <f>EXP(-LN(2)/2)*FS159+(1-EXP(-LN(2)/2))/(LN(2)/2)*FM160*FP160*VLOOKUP('Données projet'!$B$16,Paramètres!$A$1:$I$89,3,0)*0.475*44/12</f>
        <v>6.9339239831497091E-5</v>
      </c>
      <c r="FT160" s="22">
        <f t="shared" si="184"/>
        <v>90.731493931383952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1297.9122805428137</v>
      </c>
      <c r="S161" s="59">
        <f ca="1">AVERAGE(OFFSET($R$3,0,0,'Données projet'!$E$9+1,1))-AVERAGE(OFFSET($H$3,0,0,'Données projet'!$E$9+1,1))</f>
        <v>681.47578137804555</v>
      </c>
      <c r="T161" s="59">
        <f t="shared" si="142"/>
        <v>300.88511065995885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530.71948800000109</v>
      </c>
      <c r="AK161" s="13">
        <f t="shared" si="164"/>
        <v>117.82645460602643</v>
      </c>
      <c r="AL161" s="20">
        <f t="shared" si="165"/>
        <v>1129.5508500388312</v>
      </c>
      <c r="AM161" s="59">
        <f t="shared" si="113"/>
        <v>1417.1113742652633</v>
      </c>
      <c r="AN161" s="59">
        <f ca="1">AVERAGE(OFFSET($AM$3,0,0,'Données projet'!$E$10+1,1))-AVERAGE(OFFSET($H$3,0,0,'Données projet'!$E$10+1,1))</f>
        <v>752.45542076695506</v>
      </c>
      <c r="AO161" s="59">
        <f t="shared" si="144"/>
        <v>329.70629768420724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56.05635516230312</v>
      </c>
      <c r="AV161" s="21">
        <f>EXP(-LN(2)/25)*AV160+(1-EXP(-LN(2)/25))/(LN(2)/25)*Calculateur!AQ161*Calculateur!AS161*VLOOKUP('Données projet'!$B$10,Paramètres!$A$1:$I$89,3,0)*0.475*44/12</f>
        <v>22.965046941139814</v>
      </c>
      <c r="AW161" s="21">
        <f>EXP(-LN(2)/2)*AW160+(1-EXP(-LN(2)/2))/(LN(2)/2)*AQ161*AT161*VLOOKUP('Données projet'!$B$10,Paramètres!$A$1:$I$89,3,0)*0.475*44/12</f>
        <v>4.36570689680298E-5</v>
      </c>
      <c r="AX161" s="21">
        <f t="shared" si="166"/>
        <v>79.021445760511909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498.05982720000105</v>
      </c>
      <c r="BF161" s="13">
        <f t="shared" si="167"/>
        <v>111.39610612815991</v>
      </c>
      <c r="BG161" s="20">
        <f t="shared" si="168"/>
        <v>1061.4690838798804</v>
      </c>
      <c r="BH161" s="59">
        <f t="shared" si="116"/>
        <v>1349.0296081063125</v>
      </c>
      <c r="BI161" s="59">
        <f ca="1">AVERAGE(OFFSET($BH$3,0,0,'Données projet'!$E$11+1,1))-AVERAGE(OFFSET($H$3,0,0,'Données projet'!$E$11+1,1))</f>
        <v>711.91538686535682</v>
      </c>
      <c r="BJ161" s="59">
        <f t="shared" si="146"/>
        <v>313.24593837351722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52.606733306161381</v>
      </c>
      <c r="BQ161" s="21">
        <f>EXP(-LN(2)/25)*BQ160+(1-EXP(-LN(2)/25))/(LN(2)/25)*Calculateur!BL161*Calculateur!BN161*VLOOKUP('Données projet'!$B$11,Paramètres!$A$1:$I$89,3,0)*0.475*44/12</f>
        <v>21.551813283223503</v>
      </c>
      <c r="BR161" s="21">
        <f>EXP(-LN(2)/2)*BR160+(1-EXP(-LN(2)/2))/(LN(2)/2)*BL161*BO161*VLOOKUP('Données projet'!$B$11,Paramètres!$A$1:$I$89,3,0)*0.475*44/12</f>
        <v>4.0970480108458851E-5</v>
      </c>
      <c r="BS161" s="22">
        <f t="shared" si="169"/>
        <v>74.158587559864998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9.4880000000000049</v>
      </c>
      <c r="BY161" s="12">
        <f>IF('Données projet'!$A$114&gt;35,BY160+BX161-CG160,IF(A161&lt;'Données projet'!$A$114,$BV$205^A161,IF(A161='Données projet'!$A$114,'Données projet'!$B$114,BY160+BX161-CG160)))</f>
        <v>523.39200000000108</v>
      </c>
      <c r="BZ161" s="13">
        <f>BY161*VLOOKUP('Données projet'!$B$12,Paramètres!$A$1:$I$89,3,0)*VLOOKUP('Données projet'!$B$12,Paramètres!$A$1:$I$89,5,0)</f>
        <v>506.22474240000111</v>
      </c>
      <c r="CA161" s="13">
        <f t="shared" si="170"/>
        <v>113.00817589615879</v>
      </c>
      <c r="CB161" s="20">
        <f t="shared" si="171"/>
        <v>1078.4973326991451</v>
      </c>
      <c r="CC161" s="59">
        <f t="shared" si="119"/>
        <v>1366.0578569255772</v>
      </c>
      <c r="CD161" s="59">
        <f ca="1">AVERAGE(OFFSET($CC$3,0,0,'Données projet'!$E$12+1,1))-AVERAGE(OFFSET($H$3,0,0,'Données projet'!$E$12+1,1))</f>
        <v>722.05521609092671</v>
      </c>
      <c r="CE161" s="59">
        <f t="shared" si="148"/>
        <v>317.36319714884644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53.469138770196828</v>
      </c>
      <c r="CL161" s="21">
        <f>EXP(-LN(2)/25)*CL160+(1-EXP(-LN(2)/25))/(LN(2)/25)*Calculateur!CG161*Calculateur!CI161*VLOOKUP('Données projet'!$B$12,Paramètres!$A$1:$I$89,3,0)*0.475*44/12</f>
        <v>21.905121697702583</v>
      </c>
      <c r="CM161" s="21">
        <f>EXP(-LN(2)/2)*CM160+(1-EXP(-LN(2)/2))/(LN(2)/2)*CG161*CJ161*VLOOKUP('Données projet'!$B$12,Paramètres!$A$1:$I$89,3,0)*0.475*44/12</f>
        <v>4.1642127323351507E-5</v>
      </c>
      <c r="CN161" s="22">
        <f t="shared" si="172"/>
        <v>75.374302110026733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9.4880000000000049</v>
      </c>
      <c r="CT161" s="12">
        <f>IF('Données projet'!$A$140&gt;35,CT160+CS161-DB160,IF(A161&lt;'Données projet'!$A$140,$CQ$205^A161,IF(A161='Données projet'!$A$140,'Données projet'!$B$140,CT160+CS161-DB160)))</f>
        <v>523.39200000000108</v>
      </c>
      <c r="CU161" s="17">
        <f>CT161*VLOOKUP('Données projet'!$B$13,Paramètres!$A$1:$I$89,3,0)*VLOOKUP('Données projet'!$B$13,Paramètres!$A$1:$I$89,5,0)</f>
        <v>563.37914880000108</v>
      </c>
      <c r="CV161" s="13">
        <f t="shared" si="173"/>
        <v>124.21087598647858</v>
      </c>
      <c r="CW161" s="20">
        <f t="shared" si="174"/>
        <v>1197.5526265031187</v>
      </c>
      <c r="CX161" s="59">
        <f t="shared" si="122"/>
        <v>1485.1131507295509</v>
      </c>
      <c r="CY161" s="59">
        <f ca="1">AVERAGE(OFFSET($CX$3,0,0,'Données projet'!$E$13+1,1))-AVERAGE(OFFSET($H$3,0,0,'Données projet'!$E$13+1,1))</f>
        <v>792.94606354161886</v>
      </c>
      <c r="CZ161" s="59">
        <f t="shared" si="150"/>
        <v>346.14443498270919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59.505977018444824</v>
      </c>
      <c r="DG161" s="21">
        <f>EXP(-LN(2)/25)*DG160+(1-EXP(-LN(2)/25))/(LN(2)/25)*Calculateur!DB161*Calculateur!DD161*VLOOKUP('Données projet'!$B$13,Paramètres!$A$1:$I$89,3,0)*0.475*44/12</f>
        <v>24.378280599056104</v>
      </c>
      <c r="DH161" s="21">
        <f>EXP(-LN(2)/2)*DH160+(1-EXP(-LN(2)/2))/(LN(2)/2)*DB161*DE161*VLOOKUP('Données projet'!$B$13,Paramètres!$A$1:$I$89,3,0)*0.475*44/12</f>
        <v>4.6343657827600863E-5</v>
      </c>
      <c r="DI161" s="22">
        <f t="shared" si="175"/>
        <v>83.884303961158764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269.21114382490202</v>
      </c>
      <c r="DU161" s="59">
        <f t="shared" si="152"/>
        <v>233.07776944102309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2.8127458052134449</v>
      </c>
      <c r="EB161" s="21">
        <f>EXP(-LN(2)/25)*EB160+(1-EXP(-LN(2)/25))/(LN(2)/25)*Calculateur!DW161*Calculateur!DY161*VLOOKUP('Données projet'!$B$14,Paramètres!$A$1:$I$89,3,0)*0.475*44/12</f>
        <v>9.6927560990595936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12.505501904273039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9.4880000000000049</v>
      </c>
      <c r="FE161" s="12">
        <f>IF('Données projet'!$A$218&gt;35,FE160+FD161-FM160,IF(A161&lt;'Données projet'!$A$218,$FB$205^A161,IF(A161='Données projet'!$A$218,'Données projet'!$B$218,FE160+FD161-FM160)))</f>
        <v>523.39200000000108</v>
      </c>
      <c r="FF161" s="17">
        <f>FE161*VLOOKUP('Données projet'!$B$16,Paramètres!$A$1:$I$89,3,0)*VLOOKUP('Données projet'!$B$16,Paramètres!$A$1:$I$89,5,0)</f>
        <v>596.03880960000117</v>
      </c>
      <c r="FG161" s="13">
        <f t="shared" si="182"/>
        <v>130.55233602856191</v>
      </c>
      <c r="FH161" s="20">
        <f t="shared" si="183"/>
        <v>1265.4795786364139</v>
      </c>
      <c r="FI161" s="59">
        <f t="shared" si="131"/>
        <v>1553.0401028628457</v>
      </c>
      <c r="FJ161" s="59">
        <f ca="1">AVERAGE(OFFSET($FI$3,0,0,'Données projet'!$E$16+1,1))-AVERAGE(OFFSET($H$3,0,0,'Données projet'!$E$16+1,1))</f>
        <v>833.39050463936144</v>
      </c>
      <c r="FK161" s="59">
        <f t="shared" si="156"/>
        <v>362.56178526355507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62.955598874586556</v>
      </c>
      <c r="FR161" s="21">
        <f>EXP(-LN(2)/25)*FR160+(1-EXP(-LN(2)/25))/(LN(2)/25)*Calculateur!FM161*Calculateur!FO161*VLOOKUP('Données projet'!$B$16,Paramètres!$A$1:$I$89,3,0)*0.475*44/12</f>
        <v>25.791514256972413</v>
      </c>
      <c r="FS161" s="21">
        <f>EXP(-LN(2)/2)*FS160+(1-EXP(-LN(2)/2))/(LN(2)/2)*FM161*FP161*VLOOKUP('Données projet'!$B$16,Paramètres!$A$1:$I$89,3,0)*0.475*44/12</f>
        <v>4.9030246687171954E-5</v>
      </c>
      <c r="FT161" s="22">
        <f t="shared" si="184"/>
        <v>88.747162161805647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1315.9333244176519</v>
      </c>
      <c r="S162" s="59">
        <f ca="1">AVERAGE(OFFSET($R$3,0,0,'Données projet'!$E$9+1,1))-AVERAGE(OFFSET($H$3,0,0,'Données projet'!$E$9+1,1))</f>
        <v>681.47578137804555</v>
      </c>
      <c r="T162" s="59">
        <f t="shared" si="142"/>
        <v>300.88511065995885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540.34032000000116</v>
      </c>
      <c r="AK162" s="13">
        <f t="shared" si="164"/>
        <v>119.71179918365929</v>
      </c>
      <c r="AL162" s="20">
        <f t="shared" si="165"/>
        <v>1149.5907742448753</v>
      </c>
      <c r="AM162" s="59">
        <f t="shared" si="113"/>
        <v>1437.2514438032442</v>
      </c>
      <c r="AN162" s="59">
        <f ca="1">AVERAGE(OFFSET($AM$3,0,0,'Données projet'!$E$10+1,1))-AVERAGE(OFFSET($H$3,0,0,'Données projet'!$E$10+1,1))</f>
        <v>752.45542076695506</v>
      </c>
      <c r="AO162" s="59">
        <f t="shared" si="144"/>
        <v>329.70629768420724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54.957124228570926</v>
      </c>
      <c r="AV162" s="21">
        <f>EXP(-LN(2)/25)*AV161+(1-EXP(-LN(2)/25))/(LN(2)/25)*Calculateur!AQ162*Calculateur!AS162*VLOOKUP('Données projet'!$B$10,Paramètres!$A$1:$I$89,3,0)*0.475*44/12</f>
        <v>22.337066524855015</v>
      </c>
      <c r="AW162" s="21">
        <f>EXP(-LN(2)/2)*AW161+(1-EXP(-LN(2)/2))/(LN(2)/2)*AQ162*AT162*VLOOKUP('Données projet'!$B$10,Paramètres!$A$1:$I$89,3,0)*0.475*44/12</f>
        <v>3.0870209514022662E-5</v>
      </c>
      <c r="AX162" s="21">
        <f t="shared" si="166"/>
        <v>77.294221623635451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507.0886080000011</v>
      </c>
      <c r="BF162" s="13">
        <f t="shared" si="167"/>
        <v>113.17855851001575</v>
      </c>
      <c r="BG162" s="20">
        <f t="shared" si="168"/>
        <v>1080.2986483382792</v>
      </c>
      <c r="BH162" s="59">
        <f t="shared" si="116"/>
        <v>1367.9593178966481</v>
      </c>
      <c r="BI162" s="59">
        <f ca="1">AVERAGE(OFFSET($BH$3,0,0,'Données projet'!$E$11+1,1))-AVERAGE(OFFSET($H$3,0,0,'Données projet'!$E$11+1,1))</f>
        <v>711.91538686535682</v>
      </c>
      <c r="BJ162" s="59">
        <f t="shared" si="146"/>
        <v>313.24593837351722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51.575147352966553</v>
      </c>
      <c r="BQ162" s="21">
        <f>EXP(-LN(2)/25)*BQ161+(1-EXP(-LN(2)/25))/(LN(2)/25)*Calculateur!BL162*Calculateur!BN162*VLOOKUP('Données projet'!$B$11,Paramètres!$A$1:$I$89,3,0)*0.475*44/12</f>
        <v>20.962477815633154</v>
      </c>
      <c r="BR162" s="21">
        <f>EXP(-LN(2)/2)*BR161+(1-EXP(-LN(2)/2))/(LN(2)/2)*BL162*BO162*VLOOKUP('Données projet'!$B$11,Paramètres!$A$1:$I$89,3,0)*0.475*44/12</f>
        <v>2.8970504313159811E-5</v>
      </c>
      <c r="BS162" s="22">
        <f t="shared" si="169"/>
        <v>72.537654139104021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9.4880000000000049</v>
      </c>
      <c r="BY162" s="12">
        <f>IF('Données projet'!$A$114&gt;35,BY161+BX162-CG161,IF(A162&lt;'Données projet'!$A$114,$BV$205^A162,IF(A162='Données projet'!$A$114,'Données projet'!$B$114,BY161+BX162-CG161)))</f>
        <v>532.88000000000113</v>
      </c>
      <c r="BZ162" s="13">
        <f>BY162*VLOOKUP('Données projet'!$B$12,Paramètres!$A$1:$I$89,3,0)*VLOOKUP('Données projet'!$B$12,Paramètres!$A$1:$I$89,5,0)</f>
        <v>515.4015360000011</v>
      </c>
      <c r="CA162" s="13">
        <f t="shared" si="170"/>
        <v>114.81642305395034</v>
      </c>
      <c r="CB162" s="20">
        <f t="shared" si="171"/>
        <v>1097.6296120189652</v>
      </c>
      <c r="CC162" s="59">
        <f t="shared" si="119"/>
        <v>1385.2902815773341</v>
      </c>
      <c r="CD162" s="59">
        <f ca="1">AVERAGE(OFFSET($CC$3,0,0,'Données projet'!$E$12+1,1))-AVERAGE(OFFSET($H$3,0,0,'Données projet'!$E$12+1,1))</f>
        <v>722.05521609092671</v>
      </c>
      <c r="CE162" s="59">
        <f t="shared" si="148"/>
        <v>317.36319714884644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52.420641571867655</v>
      </c>
      <c r="CL162" s="21">
        <f>EXP(-LN(2)/25)*CL161+(1-EXP(-LN(2)/25))/(LN(2)/25)*Calculateur!CG162*Calculateur!CI162*VLOOKUP('Données projet'!$B$12,Paramètres!$A$1:$I$89,3,0)*0.475*44/12</f>
        <v>21.306124992938621</v>
      </c>
      <c r="CM162" s="21">
        <f>EXP(-LN(2)/2)*CM161+(1-EXP(-LN(2)/2))/(LN(2)/2)*CG162*CJ162*VLOOKUP('Données projet'!$B$12,Paramètres!$A$1:$I$89,3,0)*0.475*44/12</f>
        <v>2.9445430613375466E-5</v>
      </c>
      <c r="CN162" s="22">
        <f t="shared" si="172"/>
        <v>73.726796010236882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9.4880000000000049</v>
      </c>
      <c r="CT162" s="12">
        <f>IF('Données projet'!$A$140&gt;35,CT161+CS162-DB161,IF(A162&lt;'Données projet'!$A$140,$CQ$205^A162,IF(A162='Données projet'!$A$140,'Données projet'!$B$140,CT161+CS162-DB161)))</f>
        <v>532.88000000000113</v>
      </c>
      <c r="CU162" s="17">
        <f>CT162*VLOOKUP('Données projet'!$B$13,Paramètres!$A$1:$I$89,3,0)*VLOOKUP('Données projet'!$B$13,Paramètres!$A$1:$I$89,5,0)</f>
        <v>573.59203200000115</v>
      </c>
      <c r="CV162" s="13">
        <f t="shared" si="173"/>
        <v>126.19837787904737</v>
      </c>
      <c r="CW162" s="20">
        <f t="shared" si="174"/>
        <v>1218.8016305393428</v>
      </c>
      <c r="CX162" s="59">
        <f t="shared" si="122"/>
        <v>1506.4623000977117</v>
      </c>
      <c r="CY162" s="59">
        <f ca="1">AVERAGE(OFFSET($CX$3,0,0,'Données projet'!$E$13+1,1))-AVERAGE(OFFSET($H$3,0,0,'Données projet'!$E$13+1,1))</f>
        <v>792.94606354161886</v>
      </c>
      <c r="CZ162" s="59">
        <f t="shared" si="150"/>
        <v>346.14443498270919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58.339101104175263</v>
      </c>
      <c r="DG162" s="21">
        <f>EXP(-LN(2)/25)*DG161+(1-EXP(-LN(2)/25))/(LN(2)/25)*Calculateur!DB162*Calculateur!DD162*VLOOKUP('Données projet'!$B$13,Paramètres!$A$1:$I$89,3,0)*0.475*44/12</f>
        <v>23.711655234076854</v>
      </c>
      <c r="DH162" s="21">
        <f>EXP(-LN(2)/2)*DH161+(1-EXP(-LN(2)/2))/(LN(2)/2)*DB162*DE162*VLOOKUP('Données projet'!$B$13,Paramètres!$A$1:$I$89,3,0)*0.475*44/12</f>
        <v>3.2769914714885593E-5</v>
      </c>
      <c r="DI162" s="22">
        <f t="shared" si="175"/>
        <v>82.050789108166825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269.21114382490202</v>
      </c>
      <c r="DU162" s="59">
        <f t="shared" si="152"/>
        <v>233.07776944102309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2.7575895755787485</v>
      </c>
      <c r="EB162" s="21">
        <f>EXP(-LN(2)/25)*EB161+(1-EXP(-LN(2)/25))/(LN(2)/25)*Calculateur!DW162*Calculateur!DY162*VLOOKUP('Données projet'!$B$14,Paramètres!$A$1:$I$89,3,0)*0.475*44/12</f>
        <v>9.4277071738109193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12.185296749389668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9.4880000000000049</v>
      </c>
      <c r="FE162" s="12">
        <f>IF('Données projet'!$A$218&gt;35,FE161+FD162-FM161,IF(A162&lt;'Données projet'!$A$218,$FB$205^A162,IF(A162='Données projet'!$A$218,'Données projet'!$B$218,FE161+FD162-FM161)))</f>
        <v>532.88000000000113</v>
      </c>
      <c r="FF162" s="17">
        <f>FE162*VLOOKUP('Données projet'!$B$16,Paramètres!$A$1:$I$89,3,0)*VLOOKUP('Données projet'!$B$16,Paramètres!$A$1:$I$89,5,0)</f>
        <v>606.84374400000127</v>
      </c>
      <c r="FG162" s="13">
        <f t="shared" si="182"/>
        <v>132.64130781042311</v>
      </c>
      <c r="FH162" s="20">
        <f t="shared" si="183"/>
        <v>1287.9364652364891</v>
      </c>
      <c r="FI162" s="59">
        <f t="shared" si="131"/>
        <v>1575.597134794858</v>
      </c>
      <c r="FJ162" s="59">
        <f ca="1">AVERAGE(OFFSET($FI$3,0,0,'Données projet'!$E$16+1,1))-AVERAGE(OFFSET($H$3,0,0,'Données projet'!$E$16+1,1))</f>
        <v>833.39050463936144</v>
      </c>
      <c r="FK162" s="59">
        <f t="shared" si="156"/>
        <v>362.56178526355507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61.721077979779629</v>
      </c>
      <c r="FR162" s="21">
        <f>EXP(-LN(2)/25)*FR161+(1-EXP(-LN(2)/25))/(LN(2)/25)*Calculateur!FM162*Calculateur!FO162*VLOOKUP('Données projet'!$B$16,Paramètres!$A$1:$I$89,3,0)*0.475*44/12</f>
        <v>25.086243943298715</v>
      </c>
      <c r="FS162" s="21">
        <f>EXP(-LN(2)/2)*FS161+(1-EXP(-LN(2)/2))/(LN(2)/2)*FM162*FP162*VLOOKUP('Données projet'!$B$16,Paramètres!$A$1:$I$89,3,0)*0.475*44/12</f>
        <v>3.4669619915748545E-5</v>
      </c>
      <c r="FT162" s="22">
        <f t="shared" si="184"/>
        <v>86.80735659269827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1333.9464834311204</v>
      </c>
      <c r="S163" s="59">
        <f ca="1">AVERAGE(OFFSET($R$3,0,0,'Données projet'!$E$9+1,1))-AVERAGE(OFFSET($H$3,0,0,'Données projet'!$E$9+1,1))</f>
        <v>681.47578137804555</v>
      </c>
      <c r="T163" s="59">
        <f t="shared" si="142"/>
        <v>300.88511065995885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549.96115200000122</v>
      </c>
      <c r="AK163" s="13">
        <f t="shared" si="164"/>
        <v>121.59324017964097</v>
      </c>
      <c r="AL163" s="20">
        <f t="shared" si="165"/>
        <v>1169.6238997128767</v>
      </c>
      <c r="AM163" s="59">
        <f t="shared" si="113"/>
        <v>1457.382977305565</v>
      </c>
      <c r="AN163" s="59">
        <f ca="1">AVERAGE(OFFSET($AM$3,0,0,'Données projet'!$E$10+1,1))-AVERAGE(OFFSET($H$3,0,0,'Données projet'!$E$10+1,1))</f>
        <v>752.45542076695506</v>
      </c>
      <c r="AO163" s="59">
        <f t="shared" si="144"/>
        <v>329.70629768420724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53.879448542984555</v>
      </c>
      <c r="AV163" s="21">
        <f>EXP(-LN(2)/25)*AV162+(1-EXP(-LN(2)/25))/(LN(2)/25)*Calculateur!AQ163*Calculateur!AS163*VLOOKUP('Données projet'!$B$10,Paramètres!$A$1:$I$89,3,0)*0.475*44/12</f>
        <v>21.726258266077579</v>
      </c>
      <c r="AW163" s="21">
        <f>EXP(-LN(2)/2)*AW162+(1-EXP(-LN(2)/2))/(LN(2)/2)*AQ163*AT163*VLOOKUP('Données projet'!$B$10,Paramètres!$A$1:$I$89,3,0)*0.475*44/12</f>
        <v>2.18285344840149E-5</v>
      </c>
      <c r="AX163" s="21">
        <f t="shared" si="166"/>
        <v>75.605728637596613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516.11738880000109</v>
      </c>
      <c r="BF163" s="13">
        <f t="shared" si="167"/>
        <v>114.95732034718567</v>
      </c>
      <c r="BG163" s="20">
        <f t="shared" si="168"/>
        <v>1099.121785098017</v>
      </c>
      <c r="BH163" s="59">
        <f t="shared" si="116"/>
        <v>1386.8808626907053</v>
      </c>
      <c r="BI163" s="59">
        <f ca="1">AVERAGE(OFFSET($BH$3,0,0,'Données projet'!$E$11+1,1))-AVERAGE(OFFSET($H$3,0,0,'Données projet'!$E$11+1,1))</f>
        <v>711.91538686535682</v>
      </c>
      <c r="BJ163" s="59">
        <f t="shared" si="146"/>
        <v>313.24593837351722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50.563790171108572</v>
      </c>
      <c r="BQ163" s="21">
        <f>EXP(-LN(2)/25)*BQ162+(1-EXP(-LN(2)/25))/(LN(2)/25)*Calculateur!BL163*Calculateur!BN163*VLOOKUP('Données projet'!$B$11,Paramètres!$A$1:$I$89,3,0)*0.475*44/12</f>
        <v>20.389257757395868</v>
      </c>
      <c r="BR163" s="21">
        <f>EXP(-LN(2)/2)*BR162+(1-EXP(-LN(2)/2))/(LN(2)/2)*BL163*BO163*VLOOKUP('Données projet'!$B$11,Paramètres!$A$1:$I$89,3,0)*0.475*44/12</f>
        <v>2.0485240054229429E-5</v>
      </c>
      <c r="BS163" s="22">
        <f t="shared" si="169"/>
        <v>70.953068413744504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9.4880000000000049</v>
      </c>
      <c r="BY163" s="12">
        <f>IF('Données projet'!$A$114&gt;35,BY162+BX163-CG162,IF(A163&lt;'Données projet'!$A$114,$BV$205^A163,IF(A163='Données projet'!$A$114,'Données projet'!$B$114,BY162+BX163-CG162)))</f>
        <v>542.36800000000119</v>
      </c>
      <c r="BZ163" s="13">
        <f>BY163*VLOOKUP('Données projet'!$B$12,Paramètres!$A$1:$I$89,3,0)*VLOOKUP('Données projet'!$B$12,Paramètres!$A$1:$I$89,5,0)</f>
        <v>524.57832960000121</v>
      </c>
      <c r="CA163" s="13">
        <f t="shared" si="170"/>
        <v>116.62092625930494</v>
      </c>
      <c r="CB163" s="20">
        <f t="shared" si="171"/>
        <v>1116.7553706216247</v>
      </c>
      <c r="CC163" s="59">
        <f t="shared" si="119"/>
        <v>1404.514448214313</v>
      </c>
      <c r="CD163" s="59">
        <f ca="1">AVERAGE(OFFSET($CC$3,0,0,'Données projet'!$E$12+1,1))-AVERAGE(OFFSET($H$3,0,0,'Données projet'!$E$12+1,1))</f>
        <v>722.05521609092671</v>
      </c>
      <c r="CE163" s="59">
        <f t="shared" si="148"/>
        <v>317.36319714884644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51.392704764077578</v>
      </c>
      <c r="CL163" s="21">
        <f>EXP(-LN(2)/25)*CL162+(1-EXP(-LN(2)/25))/(LN(2)/25)*Calculateur!CG163*Calculateur!CI163*VLOOKUP('Données projet'!$B$12,Paramètres!$A$1:$I$89,3,0)*0.475*44/12</f>
        <v>20.723507884566295</v>
      </c>
      <c r="CM163" s="21">
        <f>EXP(-LN(2)/2)*CM162+(1-EXP(-LN(2)/2))/(LN(2)/2)*CG163*CJ163*VLOOKUP('Données projet'!$B$12,Paramètres!$A$1:$I$89,3,0)*0.475*44/12</f>
        <v>2.0821063661675753E-5</v>
      </c>
      <c r="CN163" s="22">
        <f t="shared" si="172"/>
        <v>72.116233469707538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9.4880000000000049</v>
      </c>
      <c r="CT163" s="12">
        <f>IF('Données projet'!$A$140&gt;35,CT162+CS163-DB162,IF(A163&lt;'Données projet'!$A$140,$CQ$205^A163,IF(A163='Données projet'!$A$140,'Données projet'!$B$140,CT162+CS163-DB162)))</f>
        <v>542.36800000000119</v>
      </c>
      <c r="CU163" s="17">
        <f>CT163*VLOOKUP('Données projet'!$B$13,Paramètres!$A$1:$I$89,3,0)*VLOOKUP('Données projet'!$B$13,Paramètres!$A$1:$I$89,5,0)</f>
        <v>583.80491520000123</v>
      </c>
      <c r="CV163" s="13">
        <f t="shared" si="173"/>
        <v>128.1817646745607</v>
      </c>
      <c r="CW163" s="20">
        <f t="shared" si="174"/>
        <v>1240.0434674481953</v>
      </c>
      <c r="CX163" s="59">
        <f t="shared" si="122"/>
        <v>1527.8025450408836</v>
      </c>
      <c r="CY163" s="59">
        <f ca="1">AVERAGE(OFFSET($CX$3,0,0,'Données projet'!$E$13+1,1))-AVERAGE(OFFSET($H$3,0,0,'Données projet'!$E$13+1,1))</f>
        <v>792.94606354161886</v>
      </c>
      <c r="CZ163" s="59">
        <f t="shared" si="150"/>
        <v>346.14443498270919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57.195106914860496</v>
      </c>
      <c r="DG163" s="21">
        <f>EXP(-LN(2)/25)*DG162+(1-EXP(-LN(2)/25))/(LN(2)/25)*Calculateur!DB163*Calculateur!DD163*VLOOKUP('Données projet'!$B$13,Paramètres!$A$1:$I$89,3,0)*0.475*44/12</f>
        <v>23.063258774759266</v>
      </c>
      <c r="DH163" s="21">
        <f>EXP(-LN(2)/2)*DH162+(1-EXP(-LN(2)/2))/(LN(2)/2)*DB163*DE163*VLOOKUP('Données projet'!$B$13,Paramètres!$A$1:$I$89,3,0)*0.475*44/12</f>
        <v>2.3171828913800432E-5</v>
      </c>
      <c r="DI163" s="22">
        <f t="shared" si="175"/>
        <v>80.25838886144868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269.21114382490202</v>
      </c>
      <c r="DU163" s="59">
        <f t="shared" si="152"/>
        <v>233.07776944102309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2.70351492596521</v>
      </c>
      <c r="EB163" s="21">
        <f>EXP(-LN(2)/25)*EB162+(1-EXP(-LN(2)/25))/(LN(2)/25)*Calculateur!DW163*Calculateur!DY163*VLOOKUP('Données projet'!$B$14,Paramètres!$A$1:$I$89,3,0)*0.475*44/12</f>
        <v>9.1699060253614864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11.873420951326697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9.4880000000000049</v>
      </c>
      <c r="FE163" s="12">
        <f>IF('Données projet'!$A$218&gt;35,FE162+FD163-FM162,IF(A163&lt;'Données projet'!$A$218,$FB$205^A163,IF(A163='Données projet'!$A$218,'Données projet'!$B$218,FE162+FD163-FM162)))</f>
        <v>542.36800000000119</v>
      </c>
      <c r="FF163" s="17">
        <f>FE163*VLOOKUP('Données projet'!$B$16,Paramètres!$A$1:$I$89,3,0)*VLOOKUP('Données projet'!$B$16,Paramètres!$A$1:$I$89,5,0)</f>
        <v>617.64867840000136</v>
      </c>
      <c r="FG163" s="13">
        <f t="shared" si="182"/>
        <v>134.72595440313108</v>
      </c>
      <c r="FH163" s="20">
        <f t="shared" si="183"/>
        <v>1310.3858187987892</v>
      </c>
      <c r="FI163" s="59">
        <f t="shared" si="131"/>
        <v>1598.1448963914775</v>
      </c>
      <c r="FJ163" s="59">
        <f ca="1">AVERAGE(OFFSET($FI$3,0,0,'Données projet'!$E$16+1,1))-AVERAGE(OFFSET($H$3,0,0,'Données projet'!$E$16+1,1))</f>
        <v>833.39050463936144</v>
      </c>
      <c r="FK163" s="59">
        <f t="shared" si="156"/>
        <v>362.56178526355507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60.510765286736472</v>
      </c>
      <c r="FR163" s="21">
        <f>EXP(-LN(2)/25)*FR162+(1-EXP(-LN(2)/25))/(LN(2)/25)*Calculateur!FM163*Calculateur!FO163*VLOOKUP('Données projet'!$B$16,Paramètres!$A$1:$I$89,3,0)*0.475*44/12</f>
        <v>24.400259283440977</v>
      </c>
      <c r="FS163" s="21">
        <f>EXP(-LN(2)/2)*FS162+(1-EXP(-LN(2)/2))/(LN(2)/2)*FM163*FP163*VLOOKUP('Données projet'!$B$16,Paramètres!$A$1:$I$89,3,0)*0.475*44/12</f>
        <v>2.4515123343585977E-5</v>
      </c>
      <c r="FT163" s="22">
        <f t="shared" si="184"/>
        <v>84.911049085300789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1351.9519076730503</v>
      </c>
      <c r="S164" s="59">
        <f ca="1">AVERAGE(OFFSET($R$3,0,0,'Données projet'!$E$9+1,1))-AVERAGE(OFFSET($H$3,0,0,'Données projet'!$E$9+1,1))</f>
        <v>681.47578137804555</v>
      </c>
      <c r="T164" s="59">
        <f t="shared" si="142"/>
        <v>300.88511065995885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559.58198400000128</v>
      </c>
      <c r="AK164" s="13">
        <f t="shared" si="164"/>
        <v>123.47085376087081</v>
      </c>
      <c r="AL164" s="20">
        <f t="shared" si="165"/>
        <v>1189.6503591001856</v>
      </c>
      <c r="AM164" s="59">
        <f t="shared" si="113"/>
        <v>1477.5061375678054</v>
      </c>
      <c r="AN164" s="59">
        <f ca="1">AVERAGE(OFFSET($AM$3,0,0,'Données projet'!$E$10+1,1))-AVERAGE(OFFSET($H$3,0,0,'Données projet'!$E$10+1,1))</f>
        <v>752.45542076695506</v>
      </c>
      <c r="AO164" s="59">
        <f t="shared" si="144"/>
        <v>329.70629768420724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52.822905420275269</v>
      </c>
      <c r="AV164" s="21">
        <f>EXP(-LN(2)/25)*AV163+(1-EXP(-LN(2)/25))/(LN(2)/25)*Calculateur!AQ164*Calculateur!AS164*VLOOKUP('Données projet'!$B$10,Paramètres!$A$1:$I$89,3,0)*0.475*44/12</f>
        <v>21.132152591257423</v>
      </c>
      <c r="AW164" s="21">
        <f>EXP(-LN(2)/2)*AW163+(1-EXP(-LN(2)/2))/(LN(2)/2)*AQ164*AT164*VLOOKUP('Données projet'!$B$10,Paramètres!$A$1:$I$89,3,0)*0.475*44/12</f>
        <v>1.5435104757011331E-5</v>
      </c>
      <c r="AX164" s="21">
        <f t="shared" si="166"/>
        <v>73.955073446637442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525.14616960000114</v>
      </c>
      <c r="BF164" s="13">
        <f t="shared" si="167"/>
        <v>116.73246364978037</v>
      </c>
      <c r="BG164" s="20">
        <f t="shared" si="168"/>
        <v>1117.9386195767026</v>
      </c>
      <c r="BH164" s="59">
        <f t="shared" si="116"/>
        <v>1405.7943980443224</v>
      </c>
      <c r="BI164" s="59">
        <f ca="1">AVERAGE(OFFSET($BH$3,0,0,'Données projet'!$E$11+1,1))-AVERAGE(OFFSET($H$3,0,0,'Données projet'!$E$11+1,1))</f>
        <v>711.91538686535682</v>
      </c>
      <c r="BJ164" s="59">
        <f t="shared" si="146"/>
        <v>313.24593837351722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49.572265086719852</v>
      </c>
      <c r="BQ164" s="21">
        <f>EXP(-LN(2)/25)*BQ163+(1-EXP(-LN(2)/25))/(LN(2)/25)*Calculateur!BL164*Calculateur!BN164*VLOOKUP('Données projet'!$B$11,Paramètres!$A$1:$I$89,3,0)*0.475*44/12</f>
        <v>19.831712431795413</v>
      </c>
      <c r="BR164" s="21">
        <f>EXP(-LN(2)/2)*BR163+(1-EXP(-LN(2)/2))/(LN(2)/2)*BL164*BO164*VLOOKUP('Données projet'!$B$11,Paramètres!$A$1:$I$89,3,0)*0.475*44/12</f>
        <v>1.4485252156579909E-5</v>
      </c>
      <c r="BS164" s="22">
        <f t="shared" si="169"/>
        <v>69.403992003767414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9.4880000000000049</v>
      </c>
      <c r="BY164" s="12">
        <f>IF('Données projet'!$A$114&gt;35,BY163+BX164-CG163,IF(A164&lt;'Données projet'!$A$114,$BV$205^A164,IF(A164='Données projet'!$A$114,'Données projet'!$B$114,BY163+BX164-CG163)))</f>
        <v>551.85600000000125</v>
      </c>
      <c r="BZ164" s="13">
        <f>BY164*VLOOKUP('Données projet'!$B$12,Paramètres!$A$1:$I$89,3,0)*VLOOKUP('Données projet'!$B$12,Paramètres!$A$1:$I$89,5,0)</f>
        <v>533.75512320000121</v>
      </c>
      <c r="CA164" s="13">
        <f t="shared" si="170"/>
        <v>118.4217585644279</v>
      </c>
      <c r="CB164" s="20">
        <f t="shared" si="171"/>
        <v>1135.874735739714</v>
      </c>
      <c r="CC164" s="59">
        <f t="shared" si="119"/>
        <v>1423.7305142073337</v>
      </c>
      <c r="CD164" s="59">
        <f ca="1">AVERAGE(OFFSET($CC$3,0,0,'Données projet'!$E$12+1,1))-AVERAGE(OFFSET($H$3,0,0,'Données projet'!$E$12+1,1))</f>
        <v>722.05521609092671</v>
      </c>
      <c r="CE164" s="59">
        <f t="shared" si="148"/>
        <v>317.36319714884644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50.384925170108716</v>
      </c>
      <c r="CL164" s="21">
        <f>EXP(-LN(2)/25)*CL163+(1-EXP(-LN(2)/25))/(LN(2)/25)*Calculateur!CG164*Calculateur!CI164*VLOOKUP('Données projet'!$B$12,Paramètres!$A$1:$I$89,3,0)*0.475*44/12</f>
        <v>20.156822471660913</v>
      </c>
      <c r="CM164" s="21">
        <f>EXP(-LN(2)/2)*CM163+(1-EXP(-LN(2)/2))/(LN(2)/2)*CG164*CJ164*VLOOKUP('Données projet'!$B$12,Paramètres!$A$1:$I$89,3,0)*0.475*44/12</f>
        <v>1.4722715306687733E-5</v>
      </c>
      <c r="CN164" s="22">
        <f t="shared" si="172"/>
        <v>70.541762364484939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9.4880000000000049</v>
      </c>
      <c r="CT164" s="12">
        <f>IF('Données projet'!$A$140&gt;35,CT163+CS164-DB163,IF(A164&lt;'Données projet'!$A$140,$CQ$205^A164,IF(A164='Données projet'!$A$140,'Données projet'!$B$140,CT163+CS164-DB163)))</f>
        <v>551.85600000000125</v>
      </c>
      <c r="CU164" s="17">
        <f>CT164*VLOOKUP('Données projet'!$B$13,Paramètres!$A$1:$I$89,3,0)*VLOOKUP('Données projet'!$B$13,Paramètres!$A$1:$I$89,5,0)</f>
        <v>594.01779840000131</v>
      </c>
      <c r="CV164" s="13">
        <f t="shared" si="173"/>
        <v>130.16111666701843</v>
      </c>
      <c r="CW164" s="20">
        <f t="shared" si="174"/>
        <v>1261.2782770750593</v>
      </c>
      <c r="CX164" s="59">
        <f t="shared" si="122"/>
        <v>1549.1340555426791</v>
      </c>
      <c r="CY164" s="59">
        <f ca="1">AVERAGE(OFFSET($CX$3,0,0,'Données projet'!$E$13+1,1))-AVERAGE(OFFSET($H$3,0,0,'Données projet'!$E$13+1,1))</f>
        <v>792.94606354161886</v>
      </c>
      <c r="CZ164" s="59">
        <f t="shared" si="150"/>
        <v>346.14443498270919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56.073545753830636</v>
      </c>
      <c r="DG164" s="21">
        <f>EXP(-LN(2)/25)*DG163+(1-EXP(-LN(2)/25))/(LN(2)/25)*Calculateur!DB164*Calculateur!DD164*VLOOKUP('Données projet'!$B$13,Paramètres!$A$1:$I$89,3,0)*0.475*44/12</f>
        <v>22.432592750719408</v>
      </c>
      <c r="DH164" s="21">
        <f>EXP(-LN(2)/2)*DH163+(1-EXP(-LN(2)/2))/(LN(2)/2)*DB164*DE164*VLOOKUP('Données projet'!$B$13,Paramètres!$A$1:$I$89,3,0)*0.475*44/12</f>
        <v>1.6384957357442797E-5</v>
      </c>
      <c r="DI164" s="22">
        <f t="shared" si="175"/>
        <v>78.506154889507414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269.21114382490202</v>
      </c>
      <c r="DU164" s="59">
        <f t="shared" si="152"/>
        <v>233.07776944102309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2.6505006472483137</v>
      </c>
      <c r="EB164" s="21">
        <f>EXP(-LN(2)/25)*EB163+(1-EXP(-LN(2)/25))/(LN(2)/25)*Calculateur!DW164*Calculateur!DY164*VLOOKUP('Données projet'!$B$14,Paramètres!$A$1:$I$89,3,0)*0.475*44/12</f>
        <v>8.9191544628735766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11.569655110121889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9.4880000000000049</v>
      </c>
      <c r="FE164" s="12">
        <f>IF('Données projet'!$A$218&gt;35,FE163+FD164-FM163,IF(A164&lt;'Données projet'!$A$218,$FB$205^A164,IF(A164='Données projet'!$A$218,'Données projet'!$B$218,FE163+FD164-FM163)))</f>
        <v>551.85600000000125</v>
      </c>
      <c r="FF164" s="17">
        <f>FE164*VLOOKUP('Données projet'!$B$16,Paramètres!$A$1:$I$89,3,0)*VLOOKUP('Données projet'!$B$16,Paramètres!$A$1:$I$89,5,0)</f>
        <v>628.45361280000145</v>
      </c>
      <c r="FG164" s="13">
        <f t="shared" si="182"/>
        <v>136.80636020001373</v>
      </c>
      <c r="FH164" s="20">
        <f t="shared" si="183"/>
        <v>1332.8277863083597</v>
      </c>
      <c r="FI164" s="59">
        <f t="shared" si="131"/>
        <v>1620.6835647759794</v>
      </c>
      <c r="FJ164" s="59">
        <f ca="1">AVERAGE(OFFSET($FI$3,0,0,'Données projet'!$E$16+1,1))-AVERAGE(OFFSET($H$3,0,0,'Données projet'!$E$16+1,1))</f>
        <v>833.39050463936144</v>
      </c>
      <c r="FK164" s="59">
        <f t="shared" si="156"/>
        <v>362.56178526355507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59.324186087386039</v>
      </c>
      <c r="FR164" s="21">
        <f>EXP(-LN(2)/25)*FR163+(1-EXP(-LN(2)/25))/(LN(2)/25)*Calculateur!FM164*Calculateur!FO164*VLOOKUP('Données projet'!$B$16,Paramètres!$A$1:$I$89,3,0)*0.475*44/12</f>
        <v>23.733032910181414</v>
      </c>
      <c r="FS164" s="21">
        <f>EXP(-LN(2)/2)*FS163+(1-EXP(-LN(2)/2))/(LN(2)/2)*FM164*FP164*VLOOKUP('Données projet'!$B$16,Paramètres!$A$1:$I$89,3,0)*0.475*44/12</f>
        <v>1.7334809957874273E-5</v>
      </c>
      <c r="FT164" s="22">
        <f t="shared" si="184"/>
        <v>83.0572363323774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1369.9497423494806</v>
      </c>
      <c r="S165" s="59">
        <f ca="1">AVERAGE(OFFSET($R$3,0,0,'Données projet'!$E$9+1,1))-AVERAGE(OFFSET($H$3,0,0,'Données projet'!$E$9+1,1))</f>
        <v>681.47578137804555</v>
      </c>
      <c r="T165" s="59">
        <f t="shared" si="142"/>
        <v>300.88511065995885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569.20281600000135</v>
      </c>
      <c r="AK165" s="13">
        <f t="shared" si="164"/>
        <v>125.34471332512402</v>
      </c>
      <c r="AL165" s="20">
        <f t="shared" si="165"/>
        <v>1209.6702802412601</v>
      </c>
      <c r="AM165" s="59">
        <f t="shared" si="113"/>
        <v>1497.6210820398219</v>
      </c>
      <c r="AN165" s="59">
        <f ca="1">AVERAGE(OFFSET($AM$3,0,0,'Données projet'!$E$10+1,1))-AVERAGE(OFFSET($H$3,0,0,'Données projet'!$E$10+1,1))</f>
        <v>752.45542076695506</v>
      </c>
      <c r="AO165" s="59">
        <f t="shared" si="144"/>
        <v>329.70629768420724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51.787080463774636</v>
      </c>
      <c r="AV165" s="21">
        <f>EXP(-LN(2)/25)*AV164+(1-EXP(-LN(2)/25))/(LN(2)/25)*Calculateur!AQ165*Calculateur!AS165*VLOOKUP('Données projet'!$B$10,Paramètres!$A$1:$I$89,3,0)*0.475*44/12</f>
        <v>20.554292767357882</v>
      </c>
      <c r="AW165" s="21">
        <f>EXP(-LN(2)/2)*AW164+(1-EXP(-LN(2)/2))/(LN(2)/2)*AQ165*AT165*VLOOKUP('Données projet'!$B$10,Paramètres!$A$1:$I$89,3,0)*0.475*44/12</f>
        <v>1.091426724200745E-5</v>
      </c>
      <c r="AX165" s="21">
        <f t="shared" si="166"/>
        <v>72.341384145399758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534.17495040000119</v>
      </c>
      <c r="BF165" s="13">
        <f t="shared" si="167"/>
        <v>118.50405780990992</v>
      </c>
      <c r="BG165" s="20">
        <f t="shared" si="168"/>
        <v>1136.7492726322619</v>
      </c>
      <c r="BH165" s="59">
        <f t="shared" si="116"/>
        <v>1424.7000744308236</v>
      </c>
      <c r="BI165" s="59">
        <f ca="1">AVERAGE(OFFSET($BH$3,0,0,'Données projet'!$E$11+1,1))-AVERAGE(OFFSET($H$3,0,0,'Données projet'!$E$11+1,1))</f>
        <v>711.91538686535682</v>
      </c>
      <c r="BJ165" s="59">
        <f t="shared" si="146"/>
        <v>313.24593837351722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48.600183204465409</v>
      </c>
      <c r="BQ165" s="21">
        <f>EXP(-LN(2)/25)*BQ164+(1-EXP(-LN(2)/25))/(LN(2)/25)*Calculateur!BL165*Calculateur!BN165*VLOOKUP('Données projet'!$B$11,Paramètres!$A$1:$I$89,3,0)*0.475*44/12</f>
        <v>19.289413212443538</v>
      </c>
      <c r="BR165" s="21">
        <f>EXP(-LN(2)/2)*BR164+(1-EXP(-LN(2)/2))/(LN(2)/2)*BL165*BO165*VLOOKUP('Données projet'!$B$11,Paramètres!$A$1:$I$89,3,0)*0.475*44/12</f>
        <v>1.0242620027114716E-5</v>
      </c>
      <c r="BS165" s="22">
        <f t="shared" si="169"/>
        <v>67.889606659528965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9.4880000000000049</v>
      </c>
      <c r="BY165" s="12">
        <f>IF('Données projet'!$A$114&gt;35,BY164+BX165-CG164,IF(A165&lt;'Données projet'!$A$114,$BV$205^A165,IF(A165='Données projet'!$A$114,'Données projet'!$B$114,BY164+BX165-CG164)))</f>
        <v>561.3440000000013</v>
      </c>
      <c r="BZ165" s="13">
        <f>BY165*VLOOKUP('Données projet'!$B$12,Paramètres!$A$1:$I$89,3,0)*VLOOKUP('Données projet'!$B$12,Paramètres!$A$1:$I$89,5,0)</f>
        <v>542.9319168000012</v>
      </c>
      <c r="CA165" s="13">
        <f t="shared" si="170"/>
        <v>120.21899036563822</v>
      </c>
      <c r="CB165" s="20">
        <f t="shared" si="171"/>
        <v>1154.9878299801551</v>
      </c>
      <c r="CC165" s="59">
        <f t="shared" si="119"/>
        <v>1442.9386317787169</v>
      </c>
      <c r="CD165" s="59">
        <f ca="1">AVERAGE(OFFSET($CC$3,0,0,'Données projet'!$E$12+1,1))-AVERAGE(OFFSET($H$3,0,0,'Données projet'!$E$12+1,1))</f>
        <v>722.05521609092671</v>
      </c>
      <c r="CE165" s="59">
        <f t="shared" si="148"/>
        <v>317.36319714884644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49.396907519292725</v>
      </c>
      <c r="CL165" s="21">
        <f>EXP(-LN(2)/25)*CL164+(1-EXP(-LN(2)/25))/(LN(2)/25)*Calculateur!CG165*Calculateur!CI165*VLOOKUP('Données projet'!$B$12,Paramètres!$A$1:$I$89,3,0)*0.475*44/12</f>
        <v>19.605633101172121</v>
      </c>
      <c r="CM165" s="21">
        <f>EXP(-LN(2)/2)*CM164+(1-EXP(-LN(2)/2))/(LN(2)/2)*CG165*CJ165*VLOOKUP('Données projet'!$B$12,Paramètres!$A$1:$I$89,3,0)*0.475*44/12</f>
        <v>1.0410531830837877E-5</v>
      </c>
      <c r="CN165" s="22">
        <f t="shared" si="172"/>
        <v>69.002551030996671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9.4880000000000049</v>
      </c>
      <c r="CT165" s="12">
        <f>IF('Données projet'!$A$140&gt;35,CT164+CS165-DB164,IF(A165&lt;'Données projet'!$A$140,$CQ$205^A165,IF(A165='Données projet'!$A$140,'Données projet'!$B$140,CT164+CS165-DB164)))</f>
        <v>561.3440000000013</v>
      </c>
      <c r="CU165" s="17">
        <f>CT165*VLOOKUP('Données projet'!$B$13,Paramètres!$A$1:$I$89,3,0)*VLOOKUP('Données projet'!$B$13,Paramètres!$A$1:$I$89,5,0)</f>
        <v>604.23068160000139</v>
      </c>
      <c r="CV165" s="13">
        <f t="shared" si="173"/>
        <v>132.13651123125092</v>
      </c>
      <c r="CW165" s="20">
        <f t="shared" si="174"/>
        <v>1282.5061941810975</v>
      </c>
      <c r="CX165" s="59">
        <f t="shared" si="122"/>
        <v>1570.4569959796593</v>
      </c>
      <c r="CY165" s="59">
        <f ca="1">AVERAGE(OFFSET($CX$3,0,0,'Données projet'!$E$13+1,1))-AVERAGE(OFFSET($H$3,0,0,'Données projet'!$E$13+1,1))</f>
        <v>792.94606354161886</v>
      </c>
      <c r="CZ165" s="59">
        <f t="shared" si="150"/>
        <v>346.14443498270919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54.973977723083813</v>
      </c>
      <c r="DG165" s="21">
        <f>EXP(-LN(2)/25)*DG164+(1-EXP(-LN(2)/25))/(LN(2)/25)*Calculateur!DB165*Calculateur!DD165*VLOOKUP('Données projet'!$B$13,Paramètres!$A$1:$I$89,3,0)*0.475*44/12</f>
        <v>21.819172322272202</v>
      </c>
      <c r="DH165" s="21">
        <f>EXP(-LN(2)/2)*DH164+(1-EXP(-LN(2)/2))/(LN(2)/2)*DB165*DE165*VLOOKUP('Données projet'!$B$13,Paramètres!$A$1:$I$89,3,0)*0.475*44/12</f>
        <v>1.1585914456900216E-5</v>
      </c>
      <c r="DI165" s="22">
        <f t="shared" si="175"/>
        <v>76.793161631270465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269.21114382490202</v>
      </c>
      <c r="DU165" s="59">
        <f t="shared" si="152"/>
        <v>233.07776944102309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2.5985259462015384</v>
      </c>
      <c r="EB165" s="21">
        <f>EXP(-LN(2)/25)*EB164+(1-EXP(-LN(2)/25))/(LN(2)/25)*Calculateur!DW165*Calculateur!DY165*VLOOKUP('Données projet'!$B$14,Paramètres!$A$1:$I$89,3,0)*0.475*44/12</f>
        <v>8.6752597150483499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11.273785661249889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9.4880000000000049</v>
      </c>
      <c r="FE165" s="12">
        <f>IF('Données projet'!$A$218&gt;35,FE164+FD165-FM164,IF(A165&lt;'Données projet'!$A$218,$FB$205^A165,IF(A165='Données projet'!$A$218,'Données projet'!$B$218,FE164+FD165-FM164)))</f>
        <v>561.3440000000013</v>
      </c>
      <c r="FF165" s="17">
        <f>FE165*VLOOKUP('Données projet'!$B$16,Paramètres!$A$1:$I$89,3,0)*VLOOKUP('Données projet'!$B$16,Paramètres!$A$1:$I$89,5,0)</f>
        <v>639.25854720000154</v>
      </c>
      <c r="FG165" s="13">
        <f t="shared" si="182"/>
        <v>138.88260652619493</v>
      </c>
      <c r="FH165" s="20">
        <f t="shared" si="183"/>
        <v>1355.262509406459</v>
      </c>
      <c r="FI165" s="59">
        <f t="shared" si="131"/>
        <v>1643.2133112050208</v>
      </c>
      <c r="FJ165" s="59">
        <f ca="1">AVERAGE(OFFSET($FI$3,0,0,'Données projet'!$E$16+1,1))-AVERAGE(OFFSET($H$3,0,0,'Données projet'!$E$16+1,1))</f>
        <v>833.39050463936144</v>
      </c>
      <c r="FK165" s="59">
        <f t="shared" si="156"/>
        <v>362.56178526355507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58.160874982393018</v>
      </c>
      <c r="FR165" s="21">
        <f>EXP(-LN(2)/25)*FR164+(1-EXP(-LN(2)/25))/(LN(2)/25)*Calculateur!FM165*Calculateur!FO165*VLOOKUP('Données projet'!$B$16,Paramètres!$A$1:$I$89,3,0)*0.475*44/12</f>
        <v>23.084051877186546</v>
      </c>
      <c r="FS165" s="21">
        <f>EXP(-LN(2)/2)*FS164+(1-EXP(-LN(2)/2))/(LN(2)/2)*FM165*FP165*VLOOKUP('Données projet'!$B$16,Paramètres!$A$1:$I$89,3,0)*0.475*44/12</f>
        <v>1.2257561671792989E-5</v>
      </c>
      <c r="FT165" s="22">
        <f t="shared" si="184"/>
        <v>81.244939117141243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1387.9401280212558</v>
      </c>
      <c r="S166" s="59">
        <f ca="1">AVERAGE(OFFSET($R$3,0,0,'Données projet'!$E$9+1,1))-AVERAGE(OFFSET($H$3,0,0,'Données projet'!$E$9+1,1))</f>
        <v>681.47578137804555</v>
      </c>
      <c r="T166" s="59">
        <f t="shared" si="142"/>
        <v>300.88511065995885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578.82364800000141</v>
      </c>
      <c r="AK166" s="13">
        <f t="shared" si="164"/>
        <v>127.21488964679713</v>
      </c>
      <c r="AL166" s="20">
        <f t="shared" si="165"/>
        <v>1229.6837864015072</v>
      </c>
      <c r="AM166" s="59">
        <f t="shared" si="113"/>
        <v>1517.7279630886594</v>
      </c>
      <c r="AN166" s="59">
        <f ca="1">AVERAGE(OFFSET($AM$3,0,0,'Données projet'!$E$10+1,1))-AVERAGE(OFFSET($H$3,0,0,'Données projet'!$E$10+1,1))</f>
        <v>752.45542076695506</v>
      </c>
      <c r="AO166" s="59">
        <f t="shared" si="144"/>
        <v>329.70629768420724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50.771567402880144</v>
      </c>
      <c r="AV166" s="21">
        <f>EXP(-LN(2)/25)*AV165+(1-EXP(-LN(2)/25))/(LN(2)/25)*Calculateur!AQ166*Calculateur!AS166*VLOOKUP('Données projet'!$B$10,Paramètres!$A$1:$I$89,3,0)*0.475*44/12</f>
        <v>19.992234550731201</v>
      </c>
      <c r="AW166" s="21">
        <f>EXP(-LN(2)/2)*AW165+(1-EXP(-LN(2)/2))/(LN(2)/2)*AQ166*AT166*VLOOKUP('Données projet'!$B$10,Paramètres!$A$1:$I$89,3,0)*0.475*44/12</f>
        <v>7.7175523785056654E-6</v>
      </c>
      <c r="AX166" s="21">
        <f t="shared" si="166"/>
        <v>70.763809671163727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543.20373120000136</v>
      </c>
      <c r="BF166" s="13">
        <f t="shared" si="167"/>
        <v>120.27216973947687</v>
      </c>
      <c r="BG166" s="20">
        <f t="shared" si="168"/>
        <v>1155.5538608029244</v>
      </c>
      <c r="BH166" s="59">
        <f t="shared" si="116"/>
        <v>1443.5980374900766</v>
      </c>
      <c r="BI166" s="59">
        <f ca="1">AVERAGE(OFFSET($BH$3,0,0,'Données projet'!$E$11+1,1))-AVERAGE(OFFSET($H$3,0,0,'Données projet'!$E$11+1,1))</f>
        <v>711.91538686535682</v>
      </c>
      <c r="BJ166" s="59">
        <f t="shared" si="146"/>
        <v>313.24593837351722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47.647163255010575</v>
      </c>
      <c r="BQ166" s="21">
        <f>EXP(-LN(2)/25)*BQ165+(1-EXP(-LN(2)/25))/(LN(2)/25)*Calculateur!BL166*Calculateur!BN166*VLOOKUP('Données projet'!$B$11,Paramètres!$A$1:$I$89,3,0)*0.475*44/12</f>
        <v>18.761943193763116</v>
      </c>
      <c r="BR166" s="21">
        <f>EXP(-LN(2)/2)*BR165+(1-EXP(-LN(2)/2))/(LN(2)/2)*BL166*BO166*VLOOKUP('Données projet'!$B$11,Paramètres!$A$1:$I$89,3,0)*0.475*44/12</f>
        <v>7.2426260782899553E-6</v>
      </c>
      <c r="BS166" s="22">
        <f t="shared" si="169"/>
        <v>66.409113691399767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9.4880000000000049</v>
      </c>
      <c r="BY166" s="12">
        <f>IF('Données projet'!$A$114&gt;35,BY165+BX166-CG165,IF(A166&lt;'Données projet'!$A$114,$BV$205^A166,IF(A166='Données projet'!$A$114,'Données projet'!$B$114,BY165+BX166-CG165)))</f>
        <v>570.83200000000136</v>
      </c>
      <c r="BZ166" s="13">
        <f>BY166*VLOOKUP('Données projet'!$B$12,Paramètres!$A$1:$I$89,3,0)*VLOOKUP('Données projet'!$B$12,Paramètres!$A$1:$I$89,5,0)</f>
        <v>552.10871040000131</v>
      </c>
      <c r="CA166" s="13">
        <f t="shared" si="170"/>
        <v>122.01268954315451</v>
      </c>
      <c r="CB166" s="20">
        <f t="shared" si="171"/>
        <v>1174.094771567663</v>
      </c>
      <c r="CC166" s="59">
        <f t="shared" si="119"/>
        <v>1462.1389482548152</v>
      </c>
      <c r="CD166" s="59">
        <f ca="1">AVERAGE(OFFSET($CC$3,0,0,'Données projet'!$E$12+1,1))-AVERAGE(OFFSET($H$3,0,0,'Données projet'!$E$12+1,1))</f>
        <v>722.05521609092671</v>
      </c>
      <c r="CE166" s="59">
        <f t="shared" si="148"/>
        <v>317.36319714884644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48.428264291977975</v>
      </c>
      <c r="CL166" s="21">
        <f>EXP(-LN(2)/25)*CL165+(1-EXP(-LN(2)/25))/(LN(2)/25)*Calculateur!CG166*Calculateur!CI166*VLOOKUP('Données projet'!$B$12,Paramètres!$A$1:$I$89,3,0)*0.475*44/12</f>
        <v>19.069516033005133</v>
      </c>
      <c r="CM166" s="21">
        <f>EXP(-LN(2)/2)*CM165+(1-EXP(-LN(2)/2))/(LN(2)/2)*CG166*CJ166*VLOOKUP('Données projet'!$B$12,Paramètres!$A$1:$I$89,3,0)*0.475*44/12</f>
        <v>7.3613576533438665E-6</v>
      </c>
      <c r="CN166" s="22">
        <f t="shared" si="172"/>
        <v>67.497787686340772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9.4880000000000049</v>
      </c>
      <c r="CT166" s="12">
        <f>IF('Données projet'!$A$140&gt;35,CT165+CS166-DB165,IF(A166&lt;'Données projet'!$A$140,$CQ$205^A166,IF(A166='Données projet'!$A$140,'Données projet'!$B$140,CT165+CS166-DB165)))</f>
        <v>570.83200000000136</v>
      </c>
      <c r="CU166" s="17">
        <f>CT166*VLOOKUP('Données projet'!$B$13,Paramètres!$A$1:$I$89,3,0)*VLOOKUP('Données projet'!$B$13,Paramètres!$A$1:$I$89,5,0)</f>
        <v>614.44356480000147</v>
      </c>
      <c r="CV166" s="13">
        <f t="shared" si="173"/>
        <v>134.10802297656238</v>
      </c>
      <c r="CW166" s="20">
        <f t="shared" si="174"/>
        <v>1303.7273487108484</v>
      </c>
      <c r="CX166" s="59">
        <f t="shared" si="122"/>
        <v>1591.7715253980007</v>
      </c>
      <c r="CY166" s="59">
        <f ca="1">AVERAGE(OFFSET($CX$3,0,0,'Données projet'!$E$13+1,1))-AVERAGE(OFFSET($H$3,0,0,'Données projet'!$E$13+1,1))</f>
        <v>792.94606354161886</v>
      </c>
      <c r="CZ166" s="59">
        <f t="shared" si="150"/>
        <v>346.14443498270919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53.895971550749657</v>
      </c>
      <c r="DG166" s="21">
        <f>EXP(-LN(2)/25)*DG165+(1-EXP(-LN(2)/25))/(LN(2)/25)*Calculateur!DB166*Calculateur!DD166*VLOOKUP('Données projet'!$B$13,Paramètres!$A$1:$I$89,3,0)*0.475*44/12</f>
        <v>21.222525907699264</v>
      </c>
      <c r="DH166" s="21">
        <f>EXP(-LN(2)/2)*DH165+(1-EXP(-LN(2)/2))/(LN(2)/2)*DB166*DE166*VLOOKUP('Données projet'!$B$13,Paramètres!$A$1:$I$89,3,0)*0.475*44/12</f>
        <v>8.1924786787213983E-6</v>
      </c>
      <c r="DI166" s="22">
        <f t="shared" si="175"/>
        <v>75.118505650927602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269.21114382490202</v>
      </c>
      <c r="DU166" s="59">
        <f t="shared" si="152"/>
        <v>233.07776944102309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2.5475704373408532</v>
      </c>
      <c r="EB166" s="21">
        <f>EXP(-LN(2)/25)*EB165+(1-EXP(-LN(2)/25))/(LN(2)/25)*Calculateur!DW166*Calculateur!DY166*VLOOKUP('Données projet'!$B$14,Paramètres!$A$1:$I$89,3,0)*0.475*44/12</f>
        <v>8.4380342819282728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10.985604719269126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9.4880000000000049</v>
      </c>
      <c r="FE166" s="12">
        <f>IF('Données projet'!$A$218&gt;35,FE165+FD166-FM165,IF(A166&lt;'Données projet'!$A$218,$FB$205^A166,IF(A166='Données projet'!$A$218,'Données projet'!$B$218,FE165+FD166-FM165)))</f>
        <v>570.83200000000136</v>
      </c>
      <c r="FF166" s="17">
        <f>FE166*VLOOKUP('Données projet'!$B$16,Paramètres!$A$1:$I$89,3,0)*VLOOKUP('Données projet'!$B$16,Paramètres!$A$1:$I$89,5,0)</f>
        <v>650.06348160000152</v>
      </c>
      <c r="FG166" s="13">
        <f t="shared" si="182"/>
        <v>140.95477180008106</v>
      </c>
      <c r="FH166" s="20">
        <f t="shared" si="183"/>
        <v>1377.6901246718105</v>
      </c>
      <c r="FI166" s="59">
        <f t="shared" si="131"/>
        <v>1665.7343013589627</v>
      </c>
      <c r="FJ166" s="59">
        <f ca="1">AVERAGE(OFFSET($FI$3,0,0,'Données projet'!$E$16+1,1))-AVERAGE(OFFSET($H$3,0,0,'Données projet'!$E$16+1,1))</f>
        <v>833.39050463936144</v>
      </c>
      <c r="FK166" s="59">
        <f t="shared" si="156"/>
        <v>362.56178526355507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57.020375698619205</v>
      </c>
      <c r="FR166" s="21">
        <f>EXP(-LN(2)/25)*FR165+(1-EXP(-LN(2)/25))/(LN(2)/25)*Calculateur!FM166*Calculateur!FO166*VLOOKUP('Données projet'!$B$16,Paramètres!$A$1:$I$89,3,0)*0.475*44/12</f>
        <v>22.452817264667353</v>
      </c>
      <c r="FS166" s="21">
        <f>EXP(-LN(2)/2)*FS165+(1-EXP(-LN(2)/2))/(LN(2)/2)*FM166*FP166*VLOOKUP('Données projet'!$B$16,Paramètres!$A$1:$I$89,3,0)*0.475*44/12</f>
        <v>8.6674049789371364E-6</v>
      </c>
      <c r="FT166" s="22">
        <f t="shared" si="184"/>
        <v>79.473201630691534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1405.9232008267759</v>
      </c>
      <c r="S167" s="59">
        <f ca="1">AVERAGE(OFFSET($R$3,0,0,'Données projet'!$E$9+1,1))-AVERAGE(OFFSET($H$3,0,0,'Données projet'!$E$9+1,1))</f>
        <v>681.47578137804555</v>
      </c>
      <c r="T167" s="59">
        <f t="shared" si="142"/>
        <v>300.88511065995885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588.44448000000148</v>
      </c>
      <c r="AK167" s="13">
        <f t="shared" si="164"/>
        <v>129.08145101269025</v>
      </c>
      <c r="AL167" s="20">
        <f t="shared" si="165"/>
        <v>1249.6909965137713</v>
      </c>
      <c r="AM167" s="59">
        <f t="shared" si="113"/>
        <v>1537.8269282439519</v>
      </c>
      <c r="AN167" s="59">
        <f ca="1">AVERAGE(OFFSET($AM$3,0,0,'Données projet'!$E$10+1,1))-AVERAGE(OFFSET($H$3,0,0,'Données projet'!$E$10+1,1))</f>
        <v>752.45542076695506</v>
      </c>
      <c r="AO167" s="59">
        <f t="shared" si="144"/>
        <v>329.70629768420724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65.687025436827426</v>
      </c>
      <c r="AV167" s="21">
        <f>EXP(-LN(2)/25)*AV166+(1-EXP(-LN(2)/25))/(LN(2)/25)*Calculateur!AQ167*Calculateur!AS167*VLOOKUP('Données projet'!$B$10,Paramètres!$A$1:$I$89,3,0)*0.475*44/12</f>
        <v>25.784909688452114</v>
      </c>
      <c r="AW167" s="21">
        <f>EXP(-LN(2)/2)*AW166+(1-EXP(-LN(2)/2))/(LN(2)/2)*AQ167*AT167*VLOOKUP('Données projet'!$B$10,Paramètres!$A$1:$I$89,3,0)*0.475*44/12</f>
        <v>5.4571336210037249E-6</v>
      </c>
      <c r="AX167" s="21">
        <f t="shared" si="166"/>
        <v>91.471940582413168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552.23251200000141</v>
      </c>
      <c r="BF167" s="13">
        <f t="shared" si="167"/>
        <v>122.03686399854614</v>
      </c>
      <c r="BG167" s="20">
        <f t="shared" si="168"/>
        <v>1174.3524965308034</v>
      </c>
      <c r="BH167" s="59">
        <f t="shared" si="116"/>
        <v>1462.4884282609842</v>
      </c>
      <c r="BI167" s="59">
        <f ca="1">AVERAGE(OFFSET($BH$3,0,0,'Données projet'!$E$11+1,1))-AVERAGE(OFFSET($H$3,0,0,'Données projet'!$E$11+1,1))</f>
        <v>711.91538686535682</v>
      </c>
      <c r="BJ167" s="59">
        <f t="shared" si="146"/>
        <v>313.24593837351722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61.644746948407253</v>
      </c>
      <c r="BQ167" s="21">
        <f>EXP(-LN(2)/25)*BQ166+(1-EXP(-LN(2)/25))/(LN(2)/25)*Calculateur!BL167*Calculateur!BN167*VLOOKUP('Données projet'!$B$11,Paramètres!$A$1:$I$89,3,0)*0.475*44/12</f>
        <v>24.198146015316592</v>
      </c>
      <c r="BR167" s="21">
        <f>EXP(-LN(2)/2)*BR166+(1-EXP(-LN(2)/2))/(LN(2)/2)*BL167*BO167*VLOOKUP('Données projet'!$B$11,Paramètres!$A$1:$I$89,3,0)*0.475*44/12</f>
        <v>5.1213100135573589E-6</v>
      </c>
      <c r="BS167" s="22">
        <f t="shared" si="169"/>
        <v>85.842898085033852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9.4880000000000049</v>
      </c>
      <c r="BX167" s="12">
        <f t="array" ref="BX167">INDEX(BW:BW,MIN(IF(ISNUMBER(BW167:BW363),ROW(BW167:BW363),"")))</f>
        <v>9.4880000000000049</v>
      </c>
      <c r="BY167" s="12">
        <f>IF('Données projet'!$A$114&gt;35,BY166+BX167-CG166,IF(A167&lt;'Données projet'!$A$114,$BV$205^A167,IF(A167='Données projet'!$A$114,'Données projet'!$B$114,BY166+BX167-CG166)))</f>
        <v>580.32000000000141</v>
      </c>
      <c r="BZ167" s="13">
        <f>BY167*VLOOKUP('Données projet'!$B$12,Paramètres!$A$1:$I$89,3,0)*VLOOKUP('Données projet'!$B$12,Paramètres!$A$1:$I$89,5,0)</f>
        <v>561.28550400000142</v>
      </c>
      <c r="CA167" s="13">
        <f t="shared" si="170"/>
        <v>123.8029215913233</v>
      </c>
      <c r="CB167" s="20">
        <f t="shared" si="171"/>
        <v>1193.1956745715572</v>
      </c>
      <c r="CC167" s="59">
        <f t="shared" si="119"/>
        <v>1481.3316063017378</v>
      </c>
      <c r="CD167" s="59">
        <f ca="1">AVERAGE(OFFSET($CC$3,0,0,'Données projet'!$E$12+1,1))-AVERAGE(OFFSET($H$3,0,0,'Données projet'!$E$12+1,1))</f>
        <v>722.05521609092671</v>
      </c>
      <c r="CE167" s="59">
        <f t="shared" si="148"/>
        <v>317.36319714884644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66.020000000000095</v>
      </c>
      <c r="CH167" s="16">
        <f>IF(ISNA(VLOOKUP(A167,'Données projet'!$A$113:$I$133,5,0)),0%,VLOOKUP(A167,'Données projet'!$A$113:$I$133,5,0)*VLOOKUP('Données projet'!$B$12,Paramètres!$A$1:$I$89,7,0))</f>
        <v>0.215</v>
      </c>
      <c r="CI167" s="16">
        <f>IF(ISNA(VLOOKUP(A167,'Données projet'!$A$113:$I$133,6,0)),0%,VLOOKUP(A167,'Données projet'!$A$113:$I$133,6,0)*VLOOKUP('Données projet'!$B$12,Paramètres!$A$1:$I$89,7,0))</f>
        <v>8.6000000000000007E-2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62.655316570512298</v>
      </c>
      <c r="CL167" s="21">
        <f>EXP(-LN(2)/25)*CL166+(1-EXP(-LN(2)/25))/(LN(2)/25)*Calculateur!CG167*Calculateur!CI167*VLOOKUP('Données projet'!$B$12,Paramètres!$A$1:$I$89,3,0)*0.475*44/12</f>
        <v>24.594836933600469</v>
      </c>
      <c r="CM167" s="21">
        <f>EXP(-LN(2)/2)*CM166+(1-EXP(-LN(2)/2))/(LN(2)/2)*CG167*CJ167*VLOOKUP('Données projet'!$B$12,Paramètres!$A$1:$I$89,3,0)*0.475*44/12</f>
        <v>5.2052659154189383E-6</v>
      </c>
      <c r="CN167" s="22">
        <f t="shared" si="172"/>
        <v>87.250158709378695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580.32000000000005</v>
      </c>
      <c r="CR167" s="12">
        <f>VLOOKUP(A167,'Données projet'!$A$139:$I$159,9,0)</f>
        <v>9.4880000000000049</v>
      </c>
      <c r="CS167" s="12">
        <f t="array" ref="CS167">INDEX(CR:CR,MIN(IF(ISNUMBER(CR167:CR363),ROW(CR167:CR363),"")))</f>
        <v>9.4880000000000049</v>
      </c>
      <c r="CT167" s="12">
        <f>IF('Données projet'!$A$140&gt;35,CT166+CS167-DB166,IF(A167&lt;'Données projet'!$A$140,$CQ$205^A167,IF(A167='Données projet'!$A$140,'Données projet'!$B$140,CT166+CS167-DB166)))</f>
        <v>580.32000000000141</v>
      </c>
      <c r="CU167" s="17">
        <f>CT167*VLOOKUP('Données projet'!$B$13,Paramètres!$A$1:$I$89,3,0)*VLOOKUP('Données projet'!$B$13,Paramètres!$A$1:$I$89,5,0)</f>
        <v>624.65644800000155</v>
      </c>
      <c r="CV167" s="13">
        <f t="shared" si="173"/>
        <v>136.07572388987023</v>
      </c>
      <c r="CW167" s="20">
        <f t="shared" si="174"/>
        <v>1324.9418660415267</v>
      </c>
      <c r="CX167" s="59">
        <f t="shared" si="122"/>
        <v>1613.0777977717075</v>
      </c>
      <c r="CY167" s="59">
        <f ca="1">AVERAGE(OFFSET($CX$3,0,0,'Données projet'!$E$13+1,1))-AVERAGE(OFFSET($H$3,0,0,'Données projet'!$E$13+1,1))</f>
        <v>792.94606354161886</v>
      </c>
      <c r="CZ167" s="59">
        <f t="shared" si="150"/>
        <v>346.14443498270919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66.020000000000095</v>
      </c>
      <c r="DC167" s="16">
        <f>IF(ISNA(VLOOKUP(A167,'Données projet'!$A$139:$I$159,5,0)),0%,VLOOKUP(A167,'Données projet'!$A$139:$I$159,5,0)*VLOOKUP('Données projet'!$B$13,Paramètres!$A$1:$I$89,7,0))</f>
        <v>0.215</v>
      </c>
      <c r="DD167" s="16">
        <f>IF(ISNA(VLOOKUP(A167,'Données projet'!$A$139:$I$159,6,0)),0%,VLOOKUP(A167,'Données projet'!$A$139:$I$159,6,0)*VLOOKUP('Données projet'!$B$13,Paramètres!$A$1:$I$89,7,0))</f>
        <v>8.6000000000000007E-2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69.729303925247535</v>
      </c>
      <c r="DG167" s="21">
        <f>EXP(-LN(2)/25)*DG166+(1-EXP(-LN(2)/25))/(LN(2)/25)*Calculateur!DB167*Calculateur!DD167*VLOOKUP('Données projet'!$B$13,Paramètres!$A$1:$I$89,3,0)*0.475*44/12</f>
        <v>27.371673361587618</v>
      </c>
      <c r="DH167" s="21">
        <f>EXP(-LN(2)/2)*DH166+(1-EXP(-LN(2)/2))/(LN(2)/2)*DB167*DE167*VLOOKUP('Données projet'!$B$13,Paramètres!$A$1:$I$89,3,0)*0.475*44/12</f>
        <v>5.7929572284501079E-6</v>
      </c>
      <c r="DI167" s="22">
        <f t="shared" si="175"/>
        <v>97.100983079792385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269.21114382490202</v>
      </c>
      <c r="DU167" s="59">
        <f t="shared" si="152"/>
        <v>233.07776944102309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2.4976141349291345</v>
      </c>
      <c r="EB167" s="21">
        <f>EXP(-LN(2)/25)*EB166+(1-EXP(-LN(2)/25))/(LN(2)/25)*Calculateur!DW167*Calculateur!DY167*VLOOKUP('Données projet'!$B$14,Paramètres!$A$1:$I$89,3,0)*0.475*44/12</f>
        <v>8.2072957907520063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10.704909925681141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>
        <f>VLOOKUP(A167,'Données projet'!$A$217:$I$237,2,0)</f>
        <v>580.32000000000005</v>
      </c>
      <c r="FC167" s="12">
        <f>VLOOKUP(A167,'Données projet'!$A$217:$I$237,9,0)</f>
        <v>9.4880000000000049</v>
      </c>
      <c r="FD167" s="12">
        <f t="array" ref="FD167">INDEX(FC:FC,MIN(IF(ISNUMBER(FC167:FC363),ROW(FC167:FC363),"")))</f>
        <v>9.4880000000000049</v>
      </c>
      <c r="FE167" s="12">
        <f>IF('Données projet'!$A$218&gt;35,FE166+FD167-FM166,IF(A167&lt;'Données projet'!$A$218,$FB$205^A167,IF(A167='Données projet'!$A$218,'Données projet'!$B$218,FE166+FD167-FM166)))</f>
        <v>580.32000000000141</v>
      </c>
      <c r="FF167" s="17">
        <f>FE167*VLOOKUP('Données projet'!$B$16,Paramètres!$A$1:$I$89,3,0)*VLOOKUP('Données projet'!$B$16,Paramètres!$A$1:$I$89,5,0)</f>
        <v>660.86841600000162</v>
      </c>
      <c r="FG167" s="13">
        <f t="shared" si="182"/>
        <v>143.02293168380845</v>
      </c>
      <c r="FH167" s="20">
        <f t="shared" si="183"/>
        <v>1400.1107638826359</v>
      </c>
      <c r="FI167" s="59">
        <f t="shared" si="131"/>
        <v>1688.2466956128164</v>
      </c>
      <c r="FJ167" s="59">
        <f ca="1">AVERAGE(OFFSET($FI$3,0,0,'Données projet'!$E$16+1,1))-AVERAGE(OFFSET($H$3,0,0,'Données projet'!$E$16+1,1))</f>
        <v>833.39050463936144</v>
      </c>
      <c r="FK167" s="59">
        <f t="shared" si="156"/>
        <v>362.56178526355507</v>
      </c>
      <c r="FL167" s="15">
        <f>IF(ISNA(VLOOKUP(A167,'Données projet'!$A$217:$I$237,3,0)),0,VLOOKUP(A167,'Données projet'!$A$217:$I$237,3,0))</f>
        <v>14</v>
      </c>
      <c r="FM167" s="15">
        <f>IF(ISNA(VLOOKUP(A167,'Données projet'!$A$217:$I$237,4,0)),0,VLOOKUP(A167,'Données projet'!$A$217:$I$237,4,0))</f>
        <v>66.020000000000095</v>
      </c>
      <c r="FN167" s="16">
        <f>IF(ISNA(VLOOKUP(A167,'Données projet'!$A$217:$I$237,5,0)),0%,VLOOKUP(A167,'Données projet'!$A$217:$I$237,5,0)*VLOOKUP('Données projet'!$B$16,Paramètres!$A$1:$I$89,7,0))</f>
        <v>0.215</v>
      </c>
      <c r="FO167" s="16">
        <f>IF(ISNA(VLOOKUP(A167,'Données projet'!$A$217:$I$237,6,0)),0%,VLOOKUP(A167,'Données projet'!$A$217:$I$237,6,0)*VLOOKUP('Données projet'!$B$16,Paramètres!$A$1:$I$89,7,0))</f>
        <v>8.6000000000000007E-2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73.771582413667687</v>
      </c>
      <c r="FR167" s="21">
        <f>EXP(-LN(2)/25)*FR166+(1-EXP(-LN(2)/25))/(LN(2)/25)*Calculateur!FM167*Calculateur!FO167*VLOOKUP('Données projet'!$B$16,Paramètres!$A$1:$I$89,3,0)*0.475*44/12</f>
        <v>28.958437034723147</v>
      </c>
      <c r="FS167" s="21">
        <f>EXP(-LN(2)/2)*FS166+(1-EXP(-LN(2)/2))/(LN(2)/2)*FM167*FP167*VLOOKUP('Données projet'!$B$16,Paramètres!$A$1:$I$89,3,0)*0.475*44/12</f>
        <v>6.1287808358964943E-6</v>
      </c>
      <c r="FT167" s="22">
        <f t="shared" si="184"/>
        <v>102.73002557717167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1299.5790775591615</v>
      </c>
      <c r="S168" s="59">
        <f ca="1">AVERAGE(OFFSET($R$3,0,0,'Données projet'!$E$9+1,1))-AVERAGE(OFFSET($H$3,0,0,'Données projet'!$E$9+1,1))</f>
        <v>681.47578137804555</v>
      </c>
      <c r="T168" s="59">
        <f t="shared" si="142"/>
        <v>300.88511065995885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531.25690800000132</v>
      </c>
      <c r="AK168" s="13">
        <f t="shared" si="164"/>
        <v>117.93187429253524</v>
      </c>
      <c r="AL168" s="20">
        <f t="shared" si="165"/>
        <v>1130.6704624928343</v>
      </c>
      <c r="AM168" s="59">
        <f t="shared" si="113"/>
        <v>1418.8965575211805</v>
      </c>
      <c r="AN168" s="59">
        <f ca="1">AVERAGE(OFFSET($AM$3,0,0,'Données projet'!$E$10+1,1))-AVERAGE(OFFSET($H$3,0,0,'Données projet'!$E$10+1,1))</f>
        <v>752.45542076695506</v>
      </c>
      <c r="AO168" s="59">
        <f t="shared" si="144"/>
        <v>329.70629768420724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64.39894293314066</v>
      </c>
      <c r="AV168" s="21">
        <f>EXP(-LN(2)/25)*AV167+(1-EXP(-LN(2)/25))/(LN(2)/25)*Calculateur!AQ168*Calculateur!AS168*VLOOKUP('Données projet'!$B$10,Paramètres!$A$1:$I$89,3,0)*0.475*44/12</f>
        <v>25.079819977051923</v>
      </c>
      <c r="AW168" s="21">
        <f>EXP(-LN(2)/2)*AW167+(1-EXP(-LN(2)/2))/(LN(2)/2)*AQ168*AT168*VLOOKUP('Données projet'!$B$10,Paramètres!$A$1:$I$89,3,0)*0.475*44/12</f>
        <v>3.8587761892528327E-6</v>
      </c>
      <c r="AX168" s="21">
        <f t="shared" si="166"/>
        <v>89.478766768968782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498.56417520000116</v>
      </c>
      <c r="BF168" s="13">
        <f t="shared" si="167"/>
        <v>111.49577256237113</v>
      </c>
      <c r="BG168" s="20">
        <f t="shared" si="168"/>
        <v>1062.5210756861318</v>
      </c>
      <c r="BH168" s="59">
        <f t="shared" si="116"/>
        <v>1350.747170714478</v>
      </c>
      <c r="BI168" s="59">
        <f ca="1">AVERAGE(OFFSET($BH$3,0,0,'Données projet'!$E$11+1,1))-AVERAGE(OFFSET($H$3,0,0,'Données projet'!$E$11+1,1))</f>
        <v>711.91538686535682</v>
      </c>
      <c r="BJ168" s="59">
        <f t="shared" si="146"/>
        <v>313.24593837351722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60.435931060331974</v>
      </c>
      <c r="BQ168" s="21">
        <f>EXP(-LN(2)/25)*BQ167+(1-EXP(-LN(2)/25))/(LN(2)/25)*Calculateur!BL168*Calculateur!BN168*VLOOKUP('Données projet'!$B$11,Paramètres!$A$1:$I$89,3,0)*0.475*44/12</f>
        <v>23.536446440002567</v>
      </c>
      <c r="BR168" s="21">
        <f>EXP(-LN(2)/2)*BR167+(1-EXP(-LN(2)/2))/(LN(2)/2)*BL168*BO168*VLOOKUP('Données projet'!$B$11,Paramètres!$A$1:$I$89,3,0)*0.475*44/12</f>
        <v>3.6213130391449785E-6</v>
      </c>
      <c r="BS168" s="22">
        <f t="shared" si="169"/>
        <v>83.972381121647587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9.6220000000000034</v>
      </c>
      <c r="BY168" s="12">
        <f>IF('Données projet'!$A$114&gt;35,BY167+BX168-CG167,IF(A168&lt;'Données projet'!$A$114,$BV$205^A168,IF(A168='Données projet'!$A$114,'Données projet'!$B$114,BY167+BX168-CG167)))</f>
        <v>523.92200000000128</v>
      </c>
      <c r="BZ168" s="13">
        <f>BY168*VLOOKUP('Données projet'!$B$12,Paramètres!$A$1:$I$89,3,0)*VLOOKUP('Données projet'!$B$12,Paramètres!$A$1:$I$89,5,0)</f>
        <v>506.73735840000126</v>
      </c>
      <c r="CA168" s="13">
        <f t="shared" si="170"/>
        <v>113.10928465408364</v>
      </c>
      <c r="CB168" s="20">
        <f t="shared" si="171"/>
        <v>1079.566236652531</v>
      </c>
      <c r="CC168" s="59">
        <f t="shared" si="119"/>
        <v>1367.7923316808772</v>
      </c>
      <c r="CD168" s="59">
        <f ca="1">AVERAGE(OFFSET($CC$3,0,0,'Données projet'!$E$12+1,1))-AVERAGE(OFFSET($H$3,0,0,'Données projet'!$E$12+1,1))</f>
        <v>722.05521609092671</v>
      </c>
      <c r="CE168" s="59">
        <f t="shared" si="148"/>
        <v>317.36319714884644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61.426684028534147</v>
      </c>
      <c r="CL168" s="21">
        <f>EXP(-LN(2)/25)*CL167+(1-EXP(-LN(2)/25))/(LN(2)/25)*Calculateur!CG168*Calculateur!CI168*VLOOKUP('Données projet'!$B$12,Paramètres!$A$1:$I$89,3,0)*0.475*44/12</f>
        <v>23.922289824264901</v>
      </c>
      <c r="CM168" s="21">
        <f>EXP(-LN(2)/2)*CM167+(1-EXP(-LN(2)/2))/(LN(2)/2)*CG168*CJ168*VLOOKUP('Données projet'!$B$12,Paramètres!$A$1:$I$89,3,0)*0.475*44/12</f>
        <v>3.6806788266719333E-6</v>
      </c>
      <c r="CN168" s="22">
        <f t="shared" si="172"/>
        <v>85.348977533477878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9.6220000000000034</v>
      </c>
      <c r="CT168" s="12">
        <f>IF('Données projet'!$A$140&gt;35,CT167+CS168-DB167,IF(A168&lt;'Données projet'!$A$140,$CQ$205^A168,IF(A168='Données projet'!$A$140,'Données projet'!$B$140,CT167+CS168-DB167)))</f>
        <v>523.92200000000128</v>
      </c>
      <c r="CU168" s="17">
        <f>CT168*VLOOKUP('Données projet'!$B$13,Paramètres!$A$1:$I$89,3,0)*VLOOKUP('Données projet'!$B$13,Paramètres!$A$1:$I$89,5,0)</f>
        <v>563.94964080000136</v>
      </c>
      <c r="CV168" s="13">
        <f t="shared" si="173"/>
        <v>124.32200783417154</v>
      </c>
      <c r="CW168" s="20">
        <f t="shared" si="174"/>
        <v>1198.739788037851</v>
      </c>
      <c r="CX168" s="59">
        <f t="shared" si="122"/>
        <v>1486.9658830661972</v>
      </c>
      <c r="CY168" s="59">
        <f ca="1">AVERAGE(OFFSET($CX$3,0,0,'Données projet'!$E$13+1,1))-AVERAGE(OFFSET($H$3,0,0,'Données projet'!$E$13+1,1))</f>
        <v>792.94606354161886</v>
      </c>
      <c r="CZ168" s="59">
        <f t="shared" si="150"/>
        <v>346.14443498270919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68.361954805949267</v>
      </c>
      <c r="DG168" s="21">
        <f>EXP(-LN(2)/25)*DG167+(1-EXP(-LN(2)/25))/(LN(2)/25)*Calculateur!DB168*Calculateur!DD168*VLOOKUP('Données projet'!$B$13,Paramètres!$A$1:$I$89,3,0)*0.475*44/12</f>
        <v>26.62319351410126</v>
      </c>
      <c r="DH168" s="21">
        <f>EXP(-LN(2)/2)*DH167+(1-EXP(-LN(2)/2))/(LN(2)/2)*DB168*DE168*VLOOKUP('Données projet'!$B$13,Paramètres!$A$1:$I$89,3,0)*0.475*44/12</f>
        <v>4.0962393393606992E-6</v>
      </c>
      <c r="DI168" s="22">
        <f t="shared" si="175"/>
        <v>94.985152416289864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269.21114382490202</v>
      </c>
      <c r="DU168" s="59">
        <f t="shared" si="152"/>
        <v>233.07776944102309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2.4486374451373738</v>
      </c>
      <c r="EB168" s="21">
        <f>EXP(-LN(2)/25)*EB167+(1-EXP(-LN(2)/25))/(LN(2)/25)*Calculateur!DW168*Calculateur!DY168*VLOOKUP('Données projet'!$B$14,Paramètres!$A$1:$I$89,3,0)*0.475*44/12</f>
        <v>7.9828668557509648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10.431504300888339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9.6220000000000034</v>
      </c>
      <c r="FE168" s="12">
        <f>IF('Données projet'!$A$218&gt;35,FE167+FD168-FM167,IF(A168&lt;'Données projet'!$A$218,$FB$205^A168,IF(A168='Données projet'!$A$218,'Données projet'!$B$218,FE167+FD168-FM167)))</f>
        <v>523.92200000000128</v>
      </c>
      <c r="FF168" s="17">
        <f>FE168*VLOOKUP('Données projet'!$B$16,Paramètres!$A$1:$I$89,3,0)*VLOOKUP('Données projet'!$B$16,Paramètres!$A$1:$I$89,5,0)</f>
        <v>596.64237360000141</v>
      </c>
      <c r="FG168" s="13">
        <f t="shared" si="182"/>
        <v>130.6691415997991</v>
      </c>
      <c r="FH168" s="20">
        <f t="shared" si="183"/>
        <v>1266.734222306319</v>
      </c>
      <c r="FI168" s="59">
        <f t="shared" si="131"/>
        <v>1554.9603173346652</v>
      </c>
      <c r="FJ168" s="59">
        <f ca="1">AVERAGE(OFFSET($FI$3,0,0,'Données projet'!$E$16+1,1))-AVERAGE(OFFSET($H$3,0,0,'Données projet'!$E$16+1,1))</f>
        <v>833.39050463936144</v>
      </c>
      <c r="FK168" s="59">
        <f t="shared" si="156"/>
        <v>362.56178526355507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72.324966678757932</v>
      </c>
      <c r="FR168" s="21">
        <f>EXP(-LN(2)/25)*FR167+(1-EXP(-LN(2)/25))/(LN(2)/25)*Calculateur!FM168*Calculateur!FO168*VLOOKUP('Données projet'!$B$16,Paramètres!$A$1:$I$89,3,0)*0.475*44/12</f>
        <v>28.166567051150626</v>
      </c>
      <c r="FS168" s="21">
        <f>EXP(-LN(2)/2)*FS167+(1-EXP(-LN(2)/2))/(LN(2)/2)*FM168*FP168*VLOOKUP('Données projet'!$B$16,Paramètres!$A$1:$I$89,3,0)*0.475*44/12</f>
        <v>4.3337024894685682E-6</v>
      </c>
      <c r="FT168" s="22">
        <f t="shared" si="184"/>
        <v>100.49153806361105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1317.8412781601244</v>
      </c>
      <c r="S169" s="59">
        <f ca="1">AVERAGE(OFFSET($R$3,0,0,'Données projet'!$E$9+1,1))-AVERAGE(OFFSET($H$3,0,0,'Données projet'!$E$9+1,1))</f>
        <v>681.47578137804555</v>
      </c>
      <c r="T169" s="59">
        <f t="shared" si="142"/>
        <v>300.88511065995885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541.01361600000132</v>
      </c>
      <c r="AK169" s="13">
        <f t="shared" si="164"/>
        <v>119.84359445909256</v>
      </c>
      <c r="AL169" s="20">
        <f t="shared" si="165"/>
        <v>1150.9929748829218</v>
      </c>
      <c r="AM169" s="59">
        <f t="shared" si="113"/>
        <v>1439.3076690777852</v>
      </c>
      <c r="AN169" s="59">
        <f ca="1">AVERAGE(OFFSET($AM$3,0,0,'Données projet'!$E$10+1,1))-AVERAGE(OFFSET($H$3,0,0,'Données projet'!$E$10+1,1))</f>
        <v>752.45542076695506</v>
      </c>
      <c r="AO169" s="59">
        <f t="shared" si="144"/>
        <v>329.70629768420724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63.136118941698435</v>
      </c>
      <c r="AV169" s="21">
        <f>EXP(-LN(2)/25)*AV168+(1-EXP(-LN(2)/25))/(LN(2)/25)*Calculateur!AQ169*Calculateur!AS169*VLOOKUP('Données projet'!$B$10,Paramètres!$A$1:$I$89,3,0)*0.475*44/12</f>
        <v>24.394010980889025</v>
      </c>
      <c r="AW169" s="21">
        <f>EXP(-LN(2)/2)*AW168+(1-EXP(-LN(2)/2))/(LN(2)/2)*AQ169*AT169*VLOOKUP('Données projet'!$B$10,Paramètres!$A$1:$I$89,3,0)*0.475*44/12</f>
        <v>2.7285668105018625E-6</v>
      </c>
      <c r="AX169" s="21">
        <f t="shared" si="166"/>
        <v>87.530132651154275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507.72047040000115</v>
      </c>
      <c r="BF169" s="13">
        <f t="shared" si="167"/>
        <v>113.30316109216449</v>
      </c>
      <c r="BG169" s="20">
        <f t="shared" si="168"/>
        <v>1081.6161581821882</v>
      </c>
      <c r="BH169" s="59">
        <f t="shared" si="116"/>
        <v>1369.9308523770517</v>
      </c>
      <c r="BI169" s="59">
        <f ca="1">AVERAGE(OFFSET($BH$3,0,0,'Données projet'!$E$11+1,1))-AVERAGE(OFFSET($H$3,0,0,'Données projet'!$E$11+1,1))</f>
        <v>711.91538686535682</v>
      </c>
      <c r="BJ169" s="59">
        <f t="shared" si="146"/>
        <v>313.24593837351722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59.25081931451696</v>
      </c>
      <c r="BQ169" s="21">
        <f>EXP(-LN(2)/25)*BQ168+(1-EXP(-LN(2)/25))/(LN(2)/25)*Calculateur!BL169*Calculateur!BN169*VLOOKUP('Données projet'!$B$11,Paramètres!$A$1:$I$89,3,0)*0.475*44/12</f>
        <v>22.892841074372772</v>
      </c>
      <c r="BR169" s="21">
        <f>EXP(-LN(2)/2)*BR168+(1-EXP(-LN(2)/2))/(LN(2)/2)*BL169*BO169*VLOOKUP('Données projet'!$B$11,Paramètres!$A$1:$I$89,3,0)*0.475*44/12</f>
        <v>2.5606550067786799E-6</v>
      </c>
      <c r="BS169" s="22">
        <f t="shared" si="169"/>
        <v>82.143662949544733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9.6220000000000034</v>
      </c>
      <c r="BY169" s="12">
        <f>IF('Données projet'!$A$114&gt;35,BY168+BX169-CG168,IF(A169&lt;'Données projet'!$A$114,$BV$205^A169,IF(A169='Données projet'!$A$114,'Données projet'!$B$114,BY168+BX169-CG168)))</f>
        <v>533.54400000000123</v>
      </c>
      <c r="BZ169" s="13">
        <f>BY169*VLOOKUP('Données projet'!$B$12,Paramètres!$A$1:$I$89,3,0)*VLOOKUP('Données projet'!$B$12,Paramètres!$A$1:$I$89,5,0)</f>
        <v>516.04375680000112</v>
      </c>
      <c r="CA169" s="13">
        <f t="shared" si="170"/>
        <v>114.94282882350552</v>
      </c>
      <c r="CB169" s="20">
        <f t="shared" si="171"/>
        <v>1098.9683032942742</v>
      </c>
      <c r="CC169" s="59">
        <f t="shared" si="119"/>
        <v>1387.2829974891376</v>
      </c>
      <c r="CD169" s="59">
        <f ca="1">AVERAGE(OFFSET($CC$3,0,0,'Données projet'!$E$12+1,1))-AVERAGE(OFFSET($H$3,0,0,'Données projet'!$E$12+1,1))</f>
        <v>722.05521609092671</v>
      </c>
      <c r="CE169" s="59">
        <f t="shared" si="148"/>
        <v>317.36319714884644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60.222144221312334</v>
      </c>
      <c r="CL169" s="21">
        <f>EXP(-LN(2)/25)*CL168+(1-EXP(-LN(2)/25))/(LN(2)/25)*Calculateur!CG169*Calculateur!CI169*VLOOKUP('Données projet'!$B$12,Paramètres!$A$1:$I$89,3,0)*0.475*44/12</f>
        <v>23.268133551001831</v>
      </c>
      <c r="CM169" s="21">
        <f>EXP(-LN(2)/2)*CM168+(1-EXP(-LN(2)/2))/(LN(2)/2)*CG169*CJ169*VLOOKUP('Données projet'!$B$12,Paramètres!$A$1:$I$89,3,0)*0.475*44/12</f>
        <v>2.6026329577094692E-6</v>
      </c>
      <c r="CN169" s="22">
        <f t="shared" si="172"/>
        <v>83.490280374947119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9.6220000000000034</v>
      </c>
      <c r="CT169" s="12">
        <f>IF('Données projet'!$A$140&gt;35,CT168+CS169-DB168,IF(A169&lt;'Données projet'!$A$140,$CQ$205^A169,IF(A169='Données projet'!$A$140,'Données projet'!$B$140,CT168+CS169-DB168)))</f>
        <v>533.54400000000123</v>
      </c>
      <c r="CU169" s="17">
        <f>CT169*VLOOKUP('Données projet'!$B$13,Paramètres!$A$1:$I$89,3,0)*VLOOKUP('Données projet'!$B$13,Paramètres!$A$1:$I$89,5,0)</f>
        <v>574.30676160000132</v>
      </c>
      <c r="CV169" s="13">
        <f t="shared" si="173"/>
        <v>126.33731447581734</v>
      </c>
      <c r="CW169" s="20">
        <f t="shared" si="174"/>
        <v>1220.2884324987176</v>
      </c>
      <c r="CX169" s="59">
        <f t="shared" si="122"/>
        <v>1508.6031266935811</v>
      </c>
      <c r="CY169" s="59">
        <f ca="1">AVERAGE(OFFSET($CX$3,0,0,'Données projet'!$E$13+1,1))-AVERAGE(OFFSET($H$3,0,0,'Données projet'!$E$13+1,1))</f>
        <v>792.94606354161886</v>
      </c>
      <c r="CZ169" s="59">
        <f t="shared" si="150"/>
        <v>346.14443498270919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67.021418568879824</v>
      </c>
      <c r="DG169" s="21">
        <f>EXP(-LN(2)/25)*DG168+(1-EXP(-LN(2)/25))/(LN(2)/25)*Calculateur!DB169*Calculateur!DD169*VLOOKUP('Données projet'!$B$13,Paramètres!$A$1:$I$89,3,0)*0.475*44/12</f>
        <v>25.895180887405264</v>
      </c>
      <c r="DH169" s="21">
        <f>EXP(-LN(2)/2)*DH168+(1-EXP(-LN(2)/2))/(LN(2)/2)*DB169*DE169*VLOOKUP('Données projet'!$B$13,Paramètres!$A$1:$I$89,3,0)*0.475*44/12</f>
        <v>2.896478614225054E-6</v>
      </c>
      <c r="DI169" s="22">
        <f t="shared" si="175"/>
        <v>92.916602352763704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269.21114382490202</v>
      </c>
      <c r="DU169" s="59">
        <f t="shared" si="152"/>
        <v>233.07776944102309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2.4006211583595984</v>
      </c>
      <c r="EB169" s="21">
        <f>EXP(-LN(2)/25)*EB168+(1-EXP(-LN(2)/25))/(LN(2)/25)*Calculateur!DW169*Calculateur!DY169*VLOOKUP('Données projet'!$B$14,Paramètres!$A$1:$I$89,3,0)*0.475*44/12</f>
        <v>7.7645749417797321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10.16519610013933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9.6220000000000034</v>
      </c>
      <c r="FE169" s="12">
        <f>IF('Données projet'!$A$218&gt;35,FE168+FD169-FM168,IF(A169&lt;'Données projet'!$A$218,$FB$205^A169,IF(A169='Données projet'!$A$218,'Données projet'!$B$218,FE168+FD169-FM168)))</f>
        <v>533.54400000000123</v>
      </c>
      <c r="FF169" s="17">
        <f>FE169*VLOOKUP('Données projet'!$B$16,Paramètres!$A$1:$I$89,3,0)*VLOOKUP('Données projet'!$B$16,Paramètres!$A$1:$I$89,5,0)</f>
        <v>607.59990720000144</v>
      </c>
      <c r="FG169" s="13">
        <f t="shared" si="182"/>
        <v>132.78733767394451</v>
      </c>
      <c r="FH169" s="20">
        <f t="shared" si="183"/>
        <v>1289.5077848221226</v>
      </c>
      <c r="FI169" s="59">
        <f t="shared" si="131"/>
        <v>1577.8224790169861</v>
      </c>
      <c r="FJ169" s="59">
        <f ca="1">AVERAGE(OFFSET($FI$3,0,0,'Données projet'!$E$16+1,1))-AVERAGE(OFFSET($H$3,0,0,'Données projet'!$E$16+1,1))</f>
        <v>833.39050463936144</v>
      </c>
      <c r="FK169" s="59">
        <f t="shared" si="156"/>
        <v>362.56178526355507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70.906718196061277</v>
      </c>
      <c r="FR169" s="21">
        <f>EXP(-LN(2)/25)*FR168+(1-EXP(-LN(2)/25))/(LN(2)/25)*Calculateur!FM169*Calculateur!FO169*VLOOKUP('Données projet'!$B$16,Paramètres!$A$1:$I$89,3,0)*0.475*44/12</f>
        <v>27.396350793921528</v>
      </c>
      <c r="FS169" s="21">
        <f>EXP(-LN(2)/2)*FS168+(1-EXP(-LN(2)/2))/(LN(2)/2)*FM169*FP169*VLOOKUP('Données projet'!$B$16,Paramètres!$A$1:$I$89,3,0)*0.475*44/12</f>
        <v>3.0643904179482471E-6</v>
      </c>
      <c r="FT169" s="22">
        <f t="shared" si="184"/>
        <v>98.303072054373217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1336.0956281016738</v>
      </c>
      <c r="S170" s="59">
        <f ca="1">AVERAGE(OFFSET($R$3,0,0,'Données projet'!$E$9+1,1))-AVERAGE(OFFSET($H$3,0,0,'Données projet'!$E$9+1,1))</f>
        <v>681.47578137804555</v>
      </c>
      <c r="T170" s="59">
        <f t="shared" si="142"/>
        <v>300.88511065995885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550.77032400000132</v>
      </c>
      <c r="AK170" s="13">
        <f t="shared" si="164"/>
        <v>121.75130557491971</v>
      </c>
      <c r="AL170" s="20">
        <f t="shared" si="165"/>
        <v>1171.3085048429873</v>
      </c>
      <c r="AM170" s="59">
        <f t="shared" si="113"/>
        <v>1459.710261206907</v>
      </c>
      <c r="AN170" s="59">
        <f ca="1">AVERAGE(OFFSET($AM$3,0,0,'Données projet'!$E$10+1,1))-AVERAGE(OFFSET($H$3,0,0,'Données projet'!$E$10+1,1))</f>
        <v>752.45542076695506</v>
      </c>
      <c r="AO170" s="59">
        <f t="shared" si="144"/>
        <v>329.70629768420724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61.89805815848181</v>
      </c>
      <c r="AV170" s="21">
        <f>EXP(-LN(2)/25)*AV169+(1-EXP(-LN(2)/25))/(LN(2)/25)*Calculateur!AQ170*Calculateur!AS170*VLOOKUP('Données projet'!$B$10,Paramètres!$A$1:$I$89,3,0)*0.475*44/12</f>
        <v>23.726955467791331</v>
      </c>
      <c r="AW170" s="21">
        <f>EXP(-LN(2)/2)*AW169+(1-EXP(-LN(2)/2))/(LN(2)/2)*AQ170*AT170*VLOOKUP('Données projet'!$B$10,Paramètres!$A$1:$I$89,3,0)*0.475*44/12</f>
        <v>1.9293880946264163E-6</v>
      </c>
      <c r="AX170" s="21">
        <f t="shared" si="166"/>
        <v>85.625015555661236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516.87676560000114</v>
      </c>
      <c r="BF170" s="13">
        <f t="shared" si="167"/>
        <v>115.10675936414104</v>
      </c>
      <c r="BG170" s="20">
        <f t="shared" si="168"/>
        <v>1100.7046393125474</v>
      </c>
      <c r="BH170" s="59">
        <f t="shared" si="116"/>
        <v>1389.1063956764669</v>
      </c>
      <c r="BI170" s="59">
        <f ca="1">AVERAGE(OFFSET($BH$3,0,0,'Données projet'!$E$11+1,1))-AVERAGE(OFFSET($H$3,0,0,'Données projet'!$E$11+1,1))</f>
        <v>711.91538686535682</v>
      </c>
      <c r="BJ170" s="59">
        <f t="shared" si="146"/>
        <v>313.24593837351722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58.088946887190595</v>
      </c>
      <c r="BQ170" s="21">
        <f>EXP(-LN(2)/25)*BQ169+(1-EXP(-LN(2)/25))/(LN(2)/25)*Calculateur!BL170*Calculateur!BN170*VLOOKUP('Données projet'!$B$11,Paramètres!$A$1:$I$89,3,0)*0.475*44/12</f>
        <v>22.266835131311858</v>
      </c>
      <c r="BR170" s="21">
        <f>EXP(-LN(2)/2)*BR169+(1-EXP(-LN(2)/2))/(LN(2)/2)*BL170*BO170*VLOOKUP('Données projet'!$B$11,Paramètres!$A$1:$I$89,3,0)*0.475*44/12</f>
        <v>1.8106565195724895E-6</v>
      </c>
      <c r="BS170" s="22">
        <f t="shared" si="169"/>
        <v>80.355783829158966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9.6220000000000034</v>
      </c>
      <c r="BY170" s="12">
        <f>IF('Données projet'!$A$114&gt;35,BY169+BX170-CG169,IF(A170&lt;'Données projet'!$A$114,$BV$205^A170,IF(A170='Données projet'!$A$114,'Données projet'!$B$114,BY169+BX170-CG169)))</f>
        <v>543.16600000000119</v>
      </c>
      <c r="BZ170" s="13">
        <f>BY170*VLOOKUP('Données projet'!$B$12,Paramètres!$A$1:$I$89,3,0)*VLOOKUP('Données projet'!$B$12,Paramètres!$A$1:$I$89,5,0)</f>
        <v>525.35015520000115</v>
      </c>
      <c r="CA170" s="13">
        <f t="shared" si="170"/>
        <v>116.77252788435995</v>
      </c>
      <c r="CB170" s="20">
        <f t="shared" si="171"/>
        <v>1118.3636730385954</v>
      </c>
      <c r="CC170" s="59">
        <f t="shared" si="119"/>
        <v>1406.7654294025151</v>
      </c>
      <c r="CD170" s="59">
        <f ca="1">AVERAGE(OFFSET($CC$3,0,0,'Données projet'!$E$12+1,1))-AVERAGE(OFFSET($H$3,0,0,'Données projet'!$E$12+1,1))</f>
        <v>722.05521609092671</v>
      </c>
      <c r="CE170" s="59">
        <f t="shared" si="148"/>
        <v>317.36319714884644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59.041224705013406</v>
      </c>
      <c r="CL170" s="21">
        <f>EXP(-LN(2)/25)*CL169+(1-EXP(-LN(2)/25))/(LN(2)/25)*Calculateur!CG170*Calculateur!CI170*VLOOKUP('Données projet'!$B$12,Paramètres!$A$1:$I$89,3,0)*0.475*44/12</f>
        <v>22.631865215431723</v>
      </c>
      <c r="CM170" s="21">
        <f>EXP(-LN(2)/2)*CM169+(1-EXP(-LN(2)/2))/(LN(2)/2)*CG170*CJ170*VLOOKUP('Données projet'!$B$12,Paramètres!$A$1:$I$89,3,0)*0.475*44/12</f>
        <v>1.8403394133359666E-6</v>
      </c>
      <c r="CN170" s="22">
        <f t="shared" si="172"/>
        <v>81.673091760784544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9.6220000000000034</v>
      </c>
      <c r="CT170" s="12">
        <f>IF('Données projet'!$A$140&gt;35,CT169+CS170-DB169,IF(A170&lt;'Données projet'!$A$140,$CQ$205^A170,IF(A170='Données projet'!$A$140,'Données projet'!$B$140,CT169+CS170-DB169)))</f>
        <v>543.16600000000119</v>
      </c>
      <c r="CU170" s="17">
        <f>CT170*VLOOKUP('Données projet'!$B$13,Paramètres!$A$1:$I$89,3,0)*VLOOKUP('Données projet'!$B$13,Paramètres!$A$1:$I$89,5,0)</f>
        <v>584.66388240000128</v>
      </c>
      <c r="CV170" s="13">
        <f t="shared" si="173"/>
        <v>128.34839483649139</v>
      </c>
      <c r="CW170" s="20">
        <f t="shared" si="174"/>
        <v>1241.8297161868911</v>
      </c>
      <c r="CX170" s="59">
        <f t="shared" si="122"/>
        <v>1530.2314725508108</v>
      </c>
      <c r="CY170" s="59">
        <f ca="1">AVERAGE(OFFSET($CX$3,0,0,'Données projet'!$E$13+1,1))-AVERAGE(OFFSET($H$3,0,0,'Données projet'!$E$13+1,1))</f>
        <v>792.94606354161886</v>
      </c>
      <c r="CZ170" s="59">
        <f t="shared" si="150"/>
        <v>346.14443498270919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65.707169429772947</v>
      </c>
      <c r="DG170" s="21">
        <f>EXP(-LN(2)/25)*DG169+(1-EXP(-LN(2)/25))/(LN(2)/25)*Calculateur!DB170*Calculateur!DD170*VLOOKUP('Données projet'!$B$13,Paramètres!$A$1:$I$89,3,0)*0.475*44/12</f>
        <v>25.187075804270787</v>
      </c>
      <c r="DH170" s="21">
        <f>EXP(-LN(2)/2)*DH169+(1-EXP(-LN(2)/2))/(LN(2)/2)*DB170*DE170*VLOOKUP('Données projet'!$B$13,Paramètres!$A$1:$I$89,3,0)*0.475*44/12</f>
        <v>2.0481196696803496E-6</v>
      </c>
      <c r="DI170" s="22">
        <f t="shared" si="175"/>
        <v>90.894247282163406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269.21114382490202</v>
      </c>
      <c r="DU170" s="59">
        <f t="shared" si="152"/>
        <v>233.07776944102309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2.3535464416784921</v>
      </c>
      <c r="EB170" s="21">
        <f>EXP(-LN(2)/25)*EB169+(1-EXP(-LN(2)/25))/(LN(2)/25)*Calculateur!DW170*Calculateur!DY170*VLOOKUP('Données projet'!$B$14,Paramètres!$A$1:$I$89,3,0)*0.475*44/12</f>
        <v>7.5522522316755154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9.905798673354008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9.6220000000000034</v>
      </c>
      <c r="FE170" s="12">
        <f>IF('Données projet'!$A$218&gt;35,FE169+FD170-FM169,IF(A170&lt;'Données projet'!$A$218,$FB$205^A170,IF(A170='Données projet'!$A$218,'Données projet'!$B$218,FE169+FD170-FM169)))</f>
        <v>543.16600000000119</v>
      </c>
      <c r="FF170" s="17">
        <f>FE170*VLOOKUP('Données projet'!$B$16,Paramètres!$A$1:$I$89,3,0)*VLOOKUP('Données projet'!$B$16,Paramètres!$A$1:$I$89,5,0)</f>
        <v>618.55744080000136</v>
      </c>
      <c r="FG170" s="13">
        <f t="shared" si="182"/>
        <v>134.90109169863828</v>
      </c>
      <c r="FH170" s="20">
        <f t="shared" si="183"/>
        <v>1312.2736107684641</v>
      </c>
      <c r="FI170" s="59">
        <f t="shared" si="131"/>
        <v>1600.6753671323836</v>
      </c>
      <c r="FJ170" s="59">
        <f ca="1">AVERAGE(OFFSET($FI$3,0,0,'Données projet'!$E$16+1,1))-AVERAGE(OFFSET($H$3,0,0,'Données projet'!$E$16+1,1))</f>
        <v>833.39050463936144</v>
      </c>
      <c r="FK170" s="59">
        <f t="shared" si="156"/>
        <v>362.56178526355507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69.516280701064147</v>
      </c>
      <c r="FR170" s="21">
        <f>EXP(-LN(2)/25)*FR169+(1-EXP(-LN(2)/25))/(LN(2)/25)*Calculateur!FM170*Calculateur!FO170*VLOOKUP('Données projet'!$B$16,Paramètres!$A$1:$I$89,3,0)*0.475*44/12</f>
        <v>26.647196140750271</v>
      </c>
      <c r="FS170" s="21">
        <f>EXP(-LN(2)/2)*FS169+(1-EXP(-LN(2)/2))/(LN(2)/2)*FM170*FP170*VLOOKUP('Données projet'!$B$16,Paramètres!$A$1:$I$89,3,0)*0.475*44/12</f>
        <v>2.1668512447342841E-6</v>
      </c>
      <c r="FT170" s="22">
        <f t="shared" si="184"/>
        <v>96.163479008665661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1354.3422787948371</v>
      </c>
      <c r="S171" s="59">
        <f ca="1">AVERAGE(OFFSET($R$3,0,0,'Données projet'!$E$9+1,1))-AVERAGE(OFFSET($H$3,0,0,'Données projet'!$E$9+1,1))</f>
        <v>681.47578137804555</v>
      </c>
      <c r="T171" s="59">
        <f t="shared" si="142"/>
        <v>300.88511065995885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560.52703200000121</v>
      </c>
      <c r="AK171" s="13">
        <f t="shared" si="164"/>
        <v>123.65508685225305</v>
      </c>
      <c r="AL171" s="20">
        <f t="shared" si="165"/>
        <v>1191.6171903343427</v>
      </c>
      <c r="AM171" s="59">
        <f t="shared" si="113"/>
        <v>1480.1044985333272</v>
      </c>
      <c r="AN171" s="59">
        <f ca="1">AVERAGE(OFFSET($AM$3,0,0,'Données projet'!$E$10+1,1))-AVERAGE(OFFSET($H$3,0,0,'Données projet'!$E$10+1,1))</f>
        <v>752.45542076695506</v>
      </c>
      <c r="AO171" s="59">
        <f t="shared" si="144"/>
        <v>329.70629768420724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60.684274992081555</v>
      </c>
      <c r="AV171" s="21">
        <f>EXP(-LN(2)/25)*AV170+(1-EXP(-LN(2)/25))/(LN(2)/25)*Calculateur!AQ171*Calculateur!AS171*VLOOKUP('Données projet'!$B$10,Paramètres!$A$1:$I$89,3,0)*0.475*44/12</f>
        <v>23.078140622778218</v>
      </c>
      <c r="AW171" s="21">
        <f>EXP(-LN(2)/2)*AW170+(1-EXP(-LN(2)/2))/(LN(2)/2)*AQ171*AT171*VLOOKUP('Données projet'!$B$10,Paramètres!$A$1:$I$89,3,0)*0.475*44/12</f>
        <v>1.3642834052509312E-6</v>
      </c>
      <c r="AX171" s="21">
        <f t="shared" si="166"/>
        <v>83.762416979143183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526.03306080000118</v>
      </c>
      <c r="BF171" s="13">
        <f t="shared" si="167"/>
        <v>116.90664226754956</v>
      </c>
      <c r="BG171" s="20">
        <f t="shared" si="168"/>
        <v>1119.7866495093174</v>
      </c>
      <c r="BH171" s="59">
        <f t="shared" si="116"/>
        <v>1408.2739577083019</v>
      </c>
      <c r="BI171" s="59">
        <f ca="1">AVERAGE(OFFSET($BH$3,0,0,'Données projet'!$E$11+1,1))-AVERAGE(OFFSET($H$3,0,0,'Données projet'!$E$11+1,1))</f>
        <v>711.91538686535682</v>
      </c>
      <c r="BJ171" s="59">
        <f t="shared" si="146"/>
        <v>313.24593837351722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56.949858069491889</v>
      </c>
      <c r="BQ171" s="21">
        <f>EXP(-LN(2)/25)*BQ170+(1-EXP(-LN(2)/25))/(LN(2)/25)*Calculateur!BL171*Calculateur!BN171*VLOOKUP('Données projet'!$B$11,Paramètres!$A$1:$I$89,3,0)*0.475*44/12</f>
        <v>21.657947353684168</v>
      </c>
      <c r="BR171" s="21">
        <f>EXP(-LN(2)/2)*BR170+(1-EXP(-LN(2)/2))/(LN(2)/2)*BL171*BO171*VLOOKUP('Données projet'!$B$11,Paramètres!$A$1:$I$89,3,0)*0.475*44/12</f>
        <v>1.2803275033893401E-6</v>
      </c>
      <c r="BS171" s="22">
        <f t="shared" si="169"/>
        <v>78.60780670350357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9.6220000000000034</v>
      </c>
      <c r="BY171" s="12">
        <f>IF('Données projet'!$A$114&gt;35,BY170+BX171-CG170,IF(A171&lt;'Données projet'!$A$114,$BV$205^A171,IF(A171='Données projet'!$A$114,'Données projet'!$B$114,BY170+BX171-CG170)))</f>
        <v>552.78800000000115</v>
      </c>
      <c r="BZ171" s="13">
        <f>BY171*VLOOKUP('Données projet'!$B$12,Paramètres!$A$1:$I$89,3,0)*VLOOKUP('Données projet'!$B$12,Paramètres!$A$1:$I$89,5,0)</f>
        <v>534.65655360000108</v>
      </c>
      <c r="CA171" s="13">
        <f t="shared" si="170"/>
        <v>118.59845780965615</v>
      </c>
      <c r="CB171" s="20">
        <f t="shared" si="171"/>
        <v>1137.752478205153</v>
      </c>
      <c r="CC171" s="59">
        <f t="shared" si="119"/>
        <v>1426.2397864041375</v>
      </c>
      <c r="CD171" s="59">
        <f ca="1">AVERAGE(OFFSET($CC$3,0,0,'Données projet'!$E$12+1,1))-AVERAGE(OFFSET($H$3,0,0,'Données projet'!$E$12+1,1))</f>
        <v>722.05521609092671</v>
      </c>
      <c r="CE171" s="59">
        <f t="shared" si="148"/>
        <v>317.36319714884644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57.883462300139314</v>
      </c>
      <c r="CL171" s="21">
        <f>EXP(-LN(2)/25)*CL170+(1-EXP(-LN(2)/25))/(LN(2)/25)*Calculateur!CG171*Calculateur!CI171*VLOOKUP('Données projet'!$B$12,Paramètres!$A$1:$I$89,3,0)*0.475*44/12</f>
        <v>22.012995670957679</v>
      </c>
      <c r="CM171" s="21">
        <f>EXP(-LN(2)/2)*CM170+(1-EXP(-LN(2)/2))/(LN(2)/2)*CG171*CJ171*VLOOKUP('Données projet'!$B$12,Paramètres!$A$1:$I$89,3,0)*0.475*44/12</f>
        <v>1.3013164788547346E-6</v>
      </c>
      <c r="CN171" s="22">
        <f t="shared" si="172"/>
        <v>79.896459272413466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9.6220000000000034</v>
      </c>
      <c r="CT171" s="12">
        <f>IF('Données projet'!$A$140&gt;35,CT170+CS171-DB170,IF(A171&lt;'Données projet'!$A$140,$CQ$205^A171,IF(A171='Données projet'!$A$140,'Données projet'!$B$140,CT170+CS171-DB170)))</f>
        <v>552.78800000000115</v>
      </c>
      <c r="CU171" s="17">
        <f>CT171*VLOOKUP('Données projet'!$B$13,Paramètres!$A$1:$I$89,3,0)*VLOOKUP('Données projet'!$B$13,Paramètres!$A$1:$I$89,5,0)</f>
        <v>595.02100320000113</v>
      </c>
      <c r="CV171" s="13">
        <f t="shared" si="173"/>
        <v>130.35533242054169</v>
      </c>
      <c r="CW171" s="20">
        <f t="shared" si="174"/>
        <v>1263.363784539112</v>
      </c>
      <c r="CX171" s="59">
        <f t="shared" si="122"/>
        <v>1551.8510927380964</v>
      </c>
      <c r="CY171" s="59">
        <f ca="1">AVERAGE(OFFSET($CX$3,0,0,'Données projet'!$E$13+1,1))-AVERAGE(OFFSET($H$3,0,0,'Données projet'!$E$13+1,1))</f>
        <v>792.94606354161886</v>
      </c>
      <c r="CZ171" s="59">
        <f t="shared" si="150"/>
        <v>346.14443498270919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64.418691914671129</v>
      </c>
      <c r="DG171" s="21">
        <f>EXP(-LN(2)/25)*DG170+(1-EXP(-LN(2)/25))/(LN(2)/25)*Calculateur!DB171*Calculateur!DD171*VLOOKUP('Données projet'!$B$13,Paramètres!$A$1:$I$89,3,0)*0.475*44/12</f>
        <v>24.498333891872253</v>
      </c>
      <c r="DH171" s="21">
        <f>EXP(-LN(2)/2)*DH170+(1-EXP(-LN(2)/2))/(LN(2)/2)*DB171*DE171*VLOOKUP('Données projet'!$B$13,Paramètres!$A$1:$I$89,3,0)*0.475*44/12</f>
        <v>1.448239307112527E-6</v>
      </c>
      <c r="DI171" s="22">
        <f t="shared" si="175"/>
        <v>88.917027254782681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269.21114382490202</v>
      </c>
      <c r="DU171" s="59">
        <f t="shared" si="152"/>
        <v>233.07776944102309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2.3073948314787605</v>
      </c>
      <c r="EB171" s="21">
        <f>EXP(-LN(2)/25)*EB170+(1-EXP(-LN(2)/25))/(LN(2)/25)*Calculateur!DW171*Calculateur!DY171*VLOOKUP('Données projet'!$B$14,Paramètres!$A$1:$I$89,3,0)*0.475*44/12</f>
        <v>7.3457354972446645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9.6531303287234245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9.6220000000000034</v>
      </c>
      <c r="FE171" s="12">
        <f>IF('Données projet'!$A$218&gt;35,FE170+FD171-FM170,IF(A171&lt;'Données projet'!$A$218,$FB$205^A171,IF(A171='Données projet'!$A$218,'Données projet'!$B$218,FE170+FD171-FM170)))</f>
        <v>552.78800000000115</v>
      </c>
      <c r="FF171" s="17">
        <f>FE171*VLOOKUP('Données projet'!$B$16,Paramètres!$A$1:$I$89,3,0)*VLOOKUP('Données projet'!$B$16,Paramètres!$A$1:$I$89,5,0)</f>
        <v>629.51497440000128</v>
      </c>
      <c r="FG171" s="13">
        <f t="shared" si="182"/>
        <v>137.01049144145807</v>
      </c>
      <c r="FH171" s="20">
        <f t="shared" si="183"/>
        <v>1335.0318530072084</v>
      </c>
      <c r="FI171" s="59">
        <f t="shared" si="131"/>
        <v>1623.5191612061928</v>
      </c>
      <c r="FJ171" s="59">
        <f ca="1">AVERAGE(OFFSET($FI$3,0,0,'Données projet'!$E$16+1,1))-AVERAGE(OFFSET($H$3,0,0,'Données projet'!$E$16+1,1))</f>
        <v>833.39050463936144</v>
      </c>
      <c r="FK171" s="59">
        <f t="shared" si="156"/>
        <v>362.56178526355507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68.153108837260788</v>
      </c>
      <c r="FR171" s="21">
        <f>EXP(-LN(2)/25)*FR170+(1-EXP(-LN(2)/25))/(LN(2)/25)*Calculateur!FM171*Calculateur!FO171*VLOOKUP('Données projet'!$B$16,Paramètres!$A$1:$I$89,3,0)*0.475*44/12</f>
        <v>25.918527160966313</v>
      </c>
      <c r="FS171" s="21">
        <f>EXP(-LN(2)/2)*FS170+(1-EXP(-LN(2)/2))/(LN(2)/2)*FM171*FP171*VLOOKUP('Données projet'!$B$16,Paramètres!$A$1:$I$89,3,0)*0.475*44/12</f>
        <v>1.5321952089741236E-6</v>
      </c>
      <c r="FT171" s="22">
        <f t="shared" si="184"/>
        <v>94.071637530422308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1372.5813765965065</v>
      </c>
      <c r="S172" s="59">
        <f ca="1">AVERAGE(OFFSET($R$3,0,0,'Données projet'!$E$9+1,1))-AVERAGE(OFFSET($H$3,0,0,'Données projet'!$E$9+1,1))</f>
        <v>681.47578137804555</v>
      </c>
      <c r="T172" s="59">
        <f t="shared" si="142"/>
        <v>300.88511065995885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570.28374000000122</v>
      </c>
      <c r="AK172" s="13">
        <f t="shared" si="164"/>
        <v>125.55501458776541</v>
      </c>
      <c r="AL172" s="20">
        <f t="shared" si="165"/>
        <v>1211.9191642403603</v>
      </c>
      <c r="AM172" s="59">
        <f t="shared" si="113"/>
        <v>1500.4905401413366</v>
      </c>
      <c r="AN172" s="59">
        <f ca="1">AVERAGE(OFFSET($AM$3,0,0,'Données projet'!$E$10+1,1))-AVERAGE(OFFSET($H$3,0,0,'Données projet'!$E$10+1,1))</f>
        <v>752.45542076695506</v>
      </c>
      <c r="AO172" s="59">
        <f t="shared" si="144"/>
        <v>329.70629768420724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59.494293373239778</v>
      </c>
      <c r="AV172" s="21">
        <f>EXP(-LN(2)/25)*AV171+(1-EXP(-LN(2)/25))/(LN(2)/25)*Calculateur!AQ172*Calculateur!AS172*VLOOKUP('Données projet'!$B$10,Paramètres!$A$1:$I$89,3,0)*0.475*44/12</f>
        <v>22.447067653821676</v>
      </c>
      <c r="AW172" s="21">
        <f>EXP(-LN(2)/2)*AW171+(1-EXP(-LN(2)/2))/(LN(2)/2)*AQ172*AT172*VLOOKUP('Données projet'!$B$10,Paramètres!$A$1:$I$89,3,0)*0.475*44/12</f>
        <v>9.6469404731320817E-7</v>
      </c>
      <c r="AX172" s="21">
        <f t="shared" si="166"/>
        <v>81.9413619917555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535.189356000001</v>
      </c>
      <c r="BF172" s="13">
        <f t="shared" si="167"/>
        <v>118.70288193519161</v>
      </c>
      <c r="BG172" s="20">
        <f t="shared" si="168"/>
        <v>1138.8623144037938</v>
      </c>
      <c r="BH172" s="59">
        <f t="shared" si="116"/>
        <v>1427.4336903047702</v>
      </c>
      <c r="BI172" s="59">
        <f ca="1">AVERAGE(OFFSET($BH$3,0,0,'Données projet'!$E$11+1,1))-AVERAGE(OFFSET($H$3,0,0,'Données projet'!$E$11+1,1))</f>
        <v>711.91538686535682</v>
      </c>
      <c r="BJ172" s="59">
        <f t="shared" si="146"/>
        <v>313.24593837351722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55.833106088732684</v>
      </c>
      <c r="BQ172" s="21">
        <f>EXP(-LN(2)/25)*BQ171+(1-EXP(-LN(2)/25))/(LN(2)/25)*Calculateur!BL172*Calculateur!BN172*VLOOKUP('Données projet'!$B$11,Paramètres!$A$1:$I$89,3,0)*0.475*44/12</f>
        <v>21.065709644355724</v>
      </c>
      <c r="BR172" s="21">
        <f>EXP(-LN(2)/2)*BR171+(1-EXP(-LN(2)/2))/(LN(2)/2)*BL172*BO172*VLOOKUP('Données projet'!$B$11,Paramètres!$A$1:$I$89,3,0)*0.475*44/12</f>
        <v>9.0532825978624484E-7</v>
      </c>
      <c r="BS172" s="22">
        <f t="shared" si="169"/>
        <v>76.898816638416676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9.6220000000000034</v>
      </c>
      <c r="BY172" s="12">
        <f>IF('Données projet'!$A$114&gt;35,BY171+BX172-CG171,IF(A172&lt;'Données projet'!$A$114,$BV$205^A172,IF(A172='Données projet'!$A$114,'Données projet'!$B$114,BY171+BX172-CG171)))</f>
        <v>562.41000000000111</v>
      </c>
      <c r="BZ172" s="13">
        <f>BY172*VLOOKUP('Données projet'!$B$12,Paramètres!$A$1:$I$89,3,0)*VLOOKUP('Données projet'!$B$12,Paramètres!$A$1:$I$89,5,0)</f>
        <v>543.96295200000111</v>
      </c>
      <c r="CA172" s="13">
        <f t="shared" si="170"/>
        <v>120.42069177606618</v>
      </c>
      <c r="CB172" s="20">
        <f t="shared" si="171"/>
        <v>1157.134846243317</v>
      </c>
      <c r="CC172" s="59">
        <f t="shared" si="119"/>
        <v>1445.7062221442934</v>
      </c>
      <c r="CD172" s="59">
        <f ca="1">AVERAGE(OFFSET($CC$3,0,0,'Données projet'!$E$12+1,1))-AVERAGE(OFFSET($H$3,0,0,'Données projet'!$E$12+1,1))</f>
        <v>722.05521609092671</v>
      </c>
      <c r="CE172" s="59">
        <f t="shared" si="148"/>
        <v>317.36319714884644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56.748402909859465</v>
      </c>
      <c r="CL172" s="21">
        <f>EXP(-LN(2)/25)*CL171+(1-EXP(-LN(2)/25))/(LN(2)/25)*Calculateur!CG172*Calculateur!CI172*VLOOKUP('Données projet'!$B$12,Paramètres!$A$1:$I$89,3,0)*0.475*44/12</f>
        <v>21.41104914672221</v>
      </c>
      <c r="CM172" s="21">
        <f>EXP(-LN(2)/2)*CM171+(1-EXP(-LN(2)/2))/(LN(2)/2)*CG172*CJ172*VLOOKUP('Données projet'!$B$12,Paramètres!$A$1:$I$89,3,0)*0.475*44/12</f>
        <v>9.2016970666798332E-7</v>
      </c>
      <c r="CN172" s="22">
        <f t="shared" si="172"/>
        <v>78.159452976751382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9.6220000000000034</v>
      </c>
      <c r="CT172" s="12">
        <f>IF('Données projet'!$A$140&gt;35,CT171+CS172-DB171,IF(A172&lt;'Données projet'!$A$140,$CQ$205^A172,IF(A172='Données projet'!$A$140,'Données projet'!$B$140,CT171+CS172-DB171)))</f>
        <v>562.41000000000111</v>
      </c>
      <c r="CU172" s="17">
        <f>CT172*VLOOKUP('Données projet'!$B$13,Paramètres!$A$1:$I$89,3,0)*VLOOKUP('Données projet'!$B$13,Paramètres!$A$1:$I$89,5,0)</f>
        <v>605.37812400000121</v>
      </c>
      <c r="CV172" s="13">
        <f t="shared" si="173"/>
        <v>132.35820765877301</v>
      </c>
      <c r="CW172" s="20">
        <f t="shared" si="174"/>
        <v>1284.8907776390317</v>
      </c>
      <c r="CX172" s="59">
        <f t="shared" si="122"/>
        <v>1573.4621535400081</v>
      </c>
      <c r="CY172" s="59">
        <f ca="1">AVERAGE(OFFSET($CX$3,0,0,'Données projet'!$E$13+1,1))-AVERAGE(OFFSET($H$3,0,0,'Données projet'!$E$13+1,1))</f>
        <v>792.94606354161886</v>
      </c>
      <c r="CZ172" s="59">
        <f t="shared" si="150"/>
        <v>346.14443498270919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63.155480657746779</v>
      </c>
      <c r="DG172" s="21">
        <f>EXP(-LN(2)/25)*DG171+(1-EXP(-LN(2)/25))/(LN(2)/25)*Calculateur!DB172*Calculateur!DD172*VLOOKUP('Données projet'!$B$13,Paramètres!$A$1:$I$89,3,0)*0.475*44/12</f>
        <v>23.828425663287618</v>
      </c>
      <c r="DH172" s="21">
        <f>EXP(-LN(2)/2)*DH171+(1-EXP(-LN(2)/2))/(LN(2)/2)*DB172*DE172*VLOOKUP('Données projet'!$B$13,Paramètres!$A$1:$I$89,3,0)*0.475*44/12</f>
        <v>1.0240598348401748E-6</v>
      </c>
      <c r="DI172" s="22">
        <f t="shared" si="175"/>
        <v>86.983907345094238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269.21114382490202</v>
      </c>
      <c r="DU172" s="59">
        <f t="shared" si="152"/>
        <v>233.07776944102309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2.2621482262053427</v>
      </c>
      <c r="EB172" s="21">
        <f>EXP(-LN(2)/25)*EB171+(1-EXP(-LN(2)/25))/(LN(2)/25)*Calculateur!DW172*Calculateur!DY172*VLOOKUP('Données projet'!$B$14,Paramètres!$A$1:$I$89,3,0)*0.475*44/12</f>
        <v>7.1448659737770681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9.4070141999824113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9.6220000000000034</v>
      </c>
      <c r="FE172" s="12">
        <f>IF('Données projet'!$A$218&gt;35,FE171+FD172-FM171,IF(A172&lt;'Données projet'!$A$218,$FB$205^A172,IF(A172='Données projet'!$A$218,'Données projet'!$B$218,FE171+FD172-FM171)))</f>
        <v>562.41000000000111</v>
      </c>
      <c r="FF172" s="17">
        <f>FE172*VLOOKUP('Données projet'!$B$16,Paramètres!$A$1:$I$89,3,0)*VLOOKUP('Données projet'!$B$16,Paramètres!$A$1:$I$89,5,0)</f>
        <v>640.47250800000131</v>
      </c>
      <c r="FG172" s="13">
        <f t="shared" si="182"/>
        <v>139.11562143952131</v>
      </c>
      <c r="FH172" s="20">
        <f t="shared" si="183"/>
        <v>1357.7826587738352</v>
      </c>
      <c r="FI172" s="59">
        <f t="shared" si="131"/>
        <v>1646.3540346748116</v>
      </c>
      <c r="FJ172" s="59">
        <f ca="1">AVERAGE(OFFSET($FI$3,0,0,'Données projet'!$E$16+1,1))-AVERAGE(OFFSET($H$3,0,0,'Données projet'!$E$16+1,1))</f>
        <v>833.39050463936144</v>
      </c>
      <c r="FK172" s="59">
        <f t="shared" si="156"/>
        <v>362.56178526355507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66.816667942253872</v>
      </c>
      <c r="FR172" s="21">
        <f>EXP(-LN(2)/25)*FR171+(1-EXP(-LN(2)/25))/(LN(2)/25)*Calculateur!FM172*Calculateur!FO172*VLOOKUP('Données projet'!$B$16,Paramètres!$A$1:$I$89,3,0)*0.475*44/12</f>
        <v>25.209783672753584</v>
      </c>
      <c r="FS172" s="21">
        <f>EXP(-LN(2)/2)*FS171+(1-EXP(-LN(2)/2))/(LN(2)/2)*FM172*FP172*VLOOKUP('Données projet'!$B$16,Paramètres!$A$1:$I$89,3,0)*0.475*44/12</f>
        <v>1.083425622367142E-6</v>
      </c>
      <c r="FT172" s="22">
        <f t="shared" si="184"/>
        <v>92.026452698433076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1390.8130630620806</v>
      </c>
      <c r="S173" s="59">
        <f ca="1">AVERAGE(OFFSET($R$3,0,0,'Données projet'!$E$9+1,1))-AVERAGE(OFFSET($H$3,0,0,'Données projet'!$E$9+1,1))</f>
        <v>681.47578137804555</v>
      </c>
      <c r="T173" s="59">
        <f t="shared" si="142"/>
        <v>300.88511065995885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580.04044800000111</v>
      </c>
      <c r="AK173" s="13">
        <f t="shared" si="164"/>
        <v>127.45116231789045</v>
      </c>
      <c r="AL173" s="20">
        <f t="shared" si="165"/>
        <v>1232.2145546369943</v>
      </c>
      <c r="AM173" s="59">
        <f t="shared" si="113"/>
        <v>1520.8685398532803</v>
      </c>
      <c r="AN173" s="59">
        <f ca="1">AVERAGE(OFFSET($AM$3,0,0,'Données projet'!$E$10+1,1))-AVERAGE(OFFSET($H$3,0,0,'Données projet'!$E$10+1,1))</f>
        <v>752.45542076695506</v>
      </c>
      <c r="AO173" s="59">
        <f t="shared" si="144"/>
        <v>329.70629768420724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58.327646568126369</v>
      </c>
      <c r="AV173" s="21">
        <f>EXP(-LN(2)/25)*AV172+(1-EXP(-LN(2)/25))/(LN(2)/25)*Calculateur!AQ173*Calculateur!AS173*VLOOKUP('Données projet'!$B$10,Paramètres!$A$1:$I$89,3,0)*0.475*44/12</f>
        <v>21.833251408387937</v>
      </c>
      <c r="AW173" s="21">
        <f>EXP(-LN(2)/2)*AW172+(1-EXP(-LN(2)/2))/(LN(2)/2)*AQ173*AT173*VLOOKUP('Données projet'!$B$10,Paramètres!$A$1:$I$89,3,0)*0.475*44/12</f>
        <v>6.8214170262546562E-7</v>
      </c>
      <c r="AX173" s="21">
        <f t="shared" si="166"/>
        <v>80.160898658656009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544.34565120000104</v>
      </c>
      <c r="BF173" s="13">
        <f t="shared" si="167"/>
        <v>120.49554789026885</v>
      </c>
      <c r="BG173" s="20">
        <f t="shared" si="168"/>
        <v>1157.9317550822202</v>
      </c>
      <c r="BH173" s="59">
        <f t="shared" si="116"/>
        <v>1446.5857402985062</v>
      </c>
      <c r="BI173" s="59">
        <f ca="1">AVERAGE(OFFSET($BH$3,0,0,'Données projet'!$E$11+1,1))-AVERAGE(OFFSET($H$3,0,0,'Données projet'!$E$11+1,1))</f>
        <v>711.91538686535682</v>
      </c>
      <c r="BJ173" s="59">
        <f t="shared" si="146"/>
        <v>313.24593837351722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54.738252933164716</v>
      </c>
      <c r="BQ173" s="21">
        <f>EXP(-LN(2)/25)*BQ172+(1-EXP(-LN(2)/25))/(LN(2)/25)*Calculateur!BL173*Calculateur!BN173*VLOOKUP('Données projet'!$B$11,Paramètres!$A$1:$I$89,3,0)*0.475*44/12</f>
        <v>20.489666706333292</v>
      </c>
      <c r="BR173" s="21">
        <f>EXP(-LN(2)/2)*BR172+(1-EXP(-LN(2)/2))/(LN(2)/2)*BL173*BO173*VLOOKUP('Données projet'!$B$11,Paramètres!$A$1:$I$89,3,0)*0.475*44/12</f>
        <v>6.4016375169467007E-7</v>
      </c>
      <c r="BS173" s="22">
        <f t="shared" si="169"/>
        <v>75.22792027966176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9.6220000000000034</v>
      </c>
      <c r="BY173" s="12">
        <f>IF('Données projet'!$A$114&gt;35,BY172+BX173-CG172,IF(A173&lt;'Données projet'!$A$114,$BV$205^A173,IF(A173='Données projet'!$A$114,'Données projet'!$B$114,BY172+BX173-CG172)))</f>
        <v>572.03200000000106</v>
      </c>
      <c r="BZ173" s="13">
        <f>BY173*VLOOKUP('Données projet'!$B$12,Paramètres!$A$1:$I$89,3,0)*VLOOKUP('Données projet'!$B$12,Paramètres!$A$1:$I$89,5,0)</f>
        <v>553.26935040000103</v>
      </c>
      <c r="CA173" s="13">
        <f t="shared" si="170"/>
        <v>122.23930031289737</v>
      </c>
      <c r="CB173" s="20">
        <f t="shared" si="171"/>
        <v>1176.5108999916313</v>
      </c>
      <c r="CC173" s="59">
        <f t="shared" si="119"/>
        <v>1465.1648852079172</v>
      </c>
      <c r="CD173" s="59">
        <f ca="1">AVERAGE(OFFSET($CC$3,0,0,'Données projet'!$E$12+1,1))-AVERAGE(OFFSET($H$3,0,0,'Données projet'!$E$12+1,1))</f>
        <v>722.05521609092671</v>
      </c>
      <c r="CE173" s="59">
        <f t="shared" si="148"/>
        <v>317.36319714884644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55.635601341905137</v>
      </c>
      <c r="CL173" s="21">
        <f>EXP(-LN(2)/25)*CL172+(1-EXP(-LN(2)/25))/(LN(2)/25)*Calculateur!CG173*Calculateur!CI173*VLOOKUP('Données projet'!$B$12,Paramètres!$A$1:$I$89,3,0)*0.475*44/12</f>
        <v>20.825562881846952</v>
      </c>
      <c r="CM173" s="21">
        <f>EXP(-LN(2)/2)*CM172+(1-EXP(-LN(2)/2))/(LN(2)/2)*CG173*CJ173*VLOOKUP('Données projet'!$B$12,Paramètres!$A$1:$I$89,3,0)*0.475*44/12</f>
        <v>6.5065823942736729E-7</v>
      </c>
      <c r="CN173" s="22">
        <f t="shared" si="172"/>
        <v>76.461164874410329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9.6220000000000034</v>
      </c>
      <c r="CT173" s="12">
        <f>IF('Données projet'!$A$140&gt;35,CT172+CS173-DB172,IF(A173&lt;'Données projet'!$A$140,$CQ$205^A173,IF(A173='Données projet'!$A$140,'Données projet'!$B$140,CT172+CS173-DB172)))</f>
        <v>572.03200000000106</v>
      </c>
      <c r="CU173" s="17">
        <f>CT173*VLOOKUP('Données projet'!$B$13,Paramètres!$A$1:$I$89,3,0)*VLOOKUP('Données projet'!$B$13,Paramètres!$A$1:$I$89,5,0)</f>
        <v>615.73524480000117</v>
      </c>
      <c r="CV173" s="13">
        <f t="shared" si="173"/>
        <v>134.35709807218751</v>
      </c>
      <c r="CW173" s="20">
        <f t="shared" si="174"/>
        <v>1306.4108305023954</v>
      </c>
      <c r="CX173" s="59">
        <f t="shared" si="122"/>
        <v>1595.0648157186813</v>
      </c>
      <c r="CY173" s="59">
        <f ca="1">AVERAGE(OFFSET($CX$3,0,0,'Données projet'!$E$13+1,1))-AVERAGE(OFFSET($H$3,0,0,'Données projet'!$E$13+1,1))</f>
        <v>792.94606354161886</v>
      </c>
      <c r="CZ173" s="59">
        <f t="shared" si="150"/>
        <v>346.14443498270919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61.917040203087929</v>
      </c>
      <c r="DG173" s="21">
        <f>EXP(-LN(2)/25)*DG172+(1-EXP(-LN(2)/25))/(LN(2)/25)*Calculateur!DB173*Calculateur!DD173*VLOOKUP('Données projet'!$B$13,Paramètres!$A$1:$I$89,3,0)*0.475*44/12</f>
        <v>23.176836110442572</v>
      </c>
      <c r="DH173" s="21">
        <f>EXP(-LN(2)/2)*DH172+(1-EXP(-LN(2)/2))/(LN(2)/2)*DB173*DE173*VLOOKUP('Données projet'!$B$13,Paramètres!$A$1:$I$89,3,0)*0.475*44/12</f>
        <v>7.2411965355626349E-7</v>
      </c>
      <c r="DI173" s="22">
        <f t="shared" si="175"/>
        <v>85.093877037650159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269.21114382490202</v>
      </c>
      <c r="DU173" s="59">
        <f t="shared" si="152"/>
        <v>233.07776944102309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2.2177888792636327</v>
      </c>
      <c r="EB173" s="21">
        <f>EXP(-LN(2)/25)*EB172+(1-EXP(-LN(2)/25))/(LN(2)/25)*Calculateur!DW173*Calculateur!DY173*VLOOKUP('Données projet'!$B$14,Paramètres!$A$1:$I$89,3,0)*0.475*44/12</f>
        <v>6.9494892379919628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9.167278117255595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9.6220000000000034</v>
      </c>
      <c r="FE173" s="12">
        <f>IF('Données projet'!$A$218&gt;35,FE172+FD173-FM172,IF(A173&lt;'Données projet'!$A$218,$FB$205^A173,IF(A173='Données projet'!$A$218,'Données projet'!$B$218,FE172+FD173-FM172)))</f>
        <v>572.03200000000106</v>
      </c>
      <c r="FF173" s="17">
        <f>FE173*VLOOKUP('Données projet'!$B$16,Paramètres!$A$1:$I$89,3,0)*VLOOKUP('Données projet'!$B$16,Paramètres!$A$1:$I$89,5,0)</f>
        <v>651.43004160000123</v>
      </c>
      <c r="FG173" s="13">
        <f t="shared" si="182"/>
        <v>141.21656317158644</v>
      </c>
      <c r="FH173" s="20">
        <f t="shared" si="183"/>
        <v>1380.5261699771818</v>
      </c>
      <c r="FI173" s="59">
        <f t="shared" si="131"/>
        <v>1669.1801551934677</v>
      </c>
      <c r="FJ173" s="59">
        <f ca="1">AVERAGE(OFFSET($FI$3,0,0,'Données projet'!$E$16+1,1))-AVERAGE(OFFSET($H$3,0,0,'Données projet'!$E$16+1,1))</f>
        <v>833.39050463936144</v>
      </c>
      <c r="FK173" s="59">
        <f t="shared" si="156"/>
        <v>362.56178526355507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65.506433838049574</v>
      </c>
      <c r="FR173" s="21">
        <f>EXP(-LN(2)/25)*FR172+(1-EXP(-LN(2)/25))/(LN(2)/25)*Calculateur!FM173*Calculateur!FO173*VLOOKUP('Données projet'!$B$16,Paramètres!$A$1:$I$89,3,0)*0.475*44/12</f>
        <v>24.520420812497232</v>
      </c>
      <c r="FS173" s="21">
        <f>EXP(-LN(2)/2)*FS172+(1-EXP(-LN(2)/2))/(LN(2)/2)*FM173*FP173*VLOOKUP('Données projet'!$B$16,Paramètres!$A$1:$I$89,3,0)*0.475*44/12</f>
        <v>7.6609760448706179E-7</v>
      </c>
      <c r="FT173" s="22">
        <f t="shared" si="184"/>
        <v>90.026855416644409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1409.0374751810352</v>
      </c>
      <c r="S174" s="59">
        <f ca="1">AVERAGE(OFFSET($R$3,0,0,'Données projet'!$E$9+1,1))-AVERAGE(OFFSET($H$3,0,0,'Données projet'!$E$9+1,1))</f>
        <v>681.47578137804555</v>
      </c>
      <c r="T174" s="59">
        <f t="shared" si="142"/>
        <v>300.88511065995885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589.79715600000111</v>
      </c>
      <c r="AK174" s="13">
        <f t="shared" si="164"/>
        <v>129.34360096340086</v>
      </c>
      <c r="AL174" s="20">
        <f t="shared" si="165"/>
        <v>1252.5034850445916</v>
      </c>
      <c r="AM174" s="59">
        <f t="shared" si="113"/>
        <v>1541.2386464892531</v>
      </c>
      <c r="AN174" s="59">
        <f ca="1">AVERAGE(OFFSET($AM$3,0,0,'Données projet'!$E$10+1,1))-AVERAGE(OFFSET($H$3,0,0,'Données projet'!$E$10+1,1))</f>
        <v>752.45542076695506</v>
      </c>
      <c r="AO174" s="59">
        <f t="shared" si="144"/>
        <v>329.70629768420724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57.183876995276947</v>
      </c>
      <c r="AV174" s="21">
        <f>EXP(-LN(2)/25)*AV173+(1-EXP(-LN(2)/25))/(LN(2)/25)*Calculateur!AQ174*Calculateur!AS174*VLOOKUP('Données projet'!$B$10,Paramètres!$A$1:$I$89,3,0)*0.475*44/12</f>
        <v>21.23622000046478</v>
      </c>
      <c r="AW174" s="21">
        <f>EXP(-LN(2)/2)*AW173+(1-EXP(-LN(2)/2))/(LN(2)/2)*AQ174*AT174*VLOOKUP('Données projet'!$B$10,Paramètres!$A$1:$I$89,3,0)*0.475*44/12</f>
        <v>4.8234702365660409E-7</v>
      </c>
      <c r="AX174" s="21">
        <f t="shared" si="166"/>
        <v>78.420097478088749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553.50194640000097</v>
      </c>
      <c r="BF174" s="13">
        <f t="shared" si="167"/>
        <v>122.28470718307115</v>
      </c>
      <c r="BG174" s="20">
        <f t="shared" si="168"/>
        <v>1176.9950883238507</v>
      </c>
      <c r="BH174" s="59">
        <f t="shared" si="116"/>
        <v>1465.7302497685123</v>
      </c>
      <c r="BI174" s="59">
        <f ca="1">AVERAGE(OFFSET($BH$3,0,0,'Données projet'!$E$11+1,1))-AVERAGE(OFFSET($H$3,0,0,'Données projet'!$E$11+1,1))</f>
        <v>711.91538686535682</v>
      </c>
      <c r="BJ174" s="59">
        <f t="shared" si="146"/>
        <v>313.24593837351722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53.664869180182947</v>
      </c>
      <c r="BQ174" s="21">
        <f>EXP(-LN(2)/25)*BQ173+(1-EXP(-LN(2)/25))/(LN(2)/25)*Calculateur!BL174*Calculateur!BN174*VLOOKUP('Données projet'!$B$11,Paramètres!$A$1:$I$89,3,0)*0.475*44/12</f>
        <v>19.929375692743864</v>
      </c>
      <c r="BR174" s="21">
        <f>EXP(-LN(2)/2)*BR173+(1-EXP(-LN(2)/2))/(LN(2)/2)*BL174*BO174*VLOOKUP('Données projet'!$B$11,Paramètres!$A$1:$I$89,3,0)*0.475*44/12</f>
        <v>4.5266412989312242E-7</v>
      </c>
      <c r="BS174" s="22">
        <f t="shared" si="169"/>
        <v>73.594245325590933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9.6220000000000034</v>
      </c>
      <c r="BY174" s="12">
        <f>IF('Données projet'!$A$114&gt;35,BY173+BX174-CG173,IF(A174&lt;'Données projet'!$A$114,$BV$205^A174,IF(A174='Données projet'!$A$114,'Données projet'!$B$114,BY173+BX174-CG173)))</f>
        <v>581.65400000000102</v>
      </c>
      <c r="BZ174" s="13">
        <f>BY174*VLOOKUP('Données projet'!$B$12,Paramètres!$A$1:$I$89,3,0)*VLOOKUP('Données projet'!$B$12,Paramètres!$A$1:$I$89,5,0)</f>
        <v>562.57574880000095</v>
      </c>
      <c r="CA174" s="13">
        <f t="shared" si="170"/>
        <v>124.05435144075845</v>
      </c>
      <c r="CB174" s="20">
        <f t="shared" si="171"/>
        <v>1195.8807579193226</v>
      </c>
      <c r="CC174" s="59">
        <f t="shared" si="119"/>
        <v>1484.6159193639842</v>
      </c>
      <c r="CD174" s="59">
        <f ca="1">AVERAGE(OFFSET($CC$3,0,0,'Données projet'!$E$12+1,1))-AVERAGE(OFFSET($H$3,0,0,'Données projet'!$E$12+1,1))</f>
        <v>722.05521609092671</v>
      </c>
      <c r="CE174" s="59">
        <f t="shared" si="148"/>
        <v>317.36319714884644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54.544621133956454</v>
      </c>
      <c r="CL174" s="21">
        <f>EXP(-LN(2)/25)*CL173+(1-EXP(-LN(2)/25))/(LN(2)/25)*Calculateur!CG174*Calculateur!CI174*VLOOKUP('Données projet'!$B$12,Paramètres!$A$1:$I$89,3,0)*0.475*44/12</f>
        <v>20.256086769674091</v>
      </c>
      <c r="CM174" s="21">
        <f>EXP(-LN(2)/2)*CM173+(1-EXP(-LN(2)/2))/(LN(2)/2)*CG174*CJ174*VLOOKUP('Données projet'!$B$12,Paramètres!$A$1:$I$89,3,0)*0.475*44/12</f>
        <v>4.6008485333399166E-7</v>
      </c>
      <c r="CN174" s="22">
        <f t="shared" si="172"/>
        <v>74.800708363715401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9.6220000000000034</v>
      </c>
      <c r="CT174" s="12">
        <f>IF('Données projet'!$A$140&gt;35,CT173+CS174-DB173,IF(A174&lt;'Données projet'!$A$140,$CQ$205^A174,IF(A174='Données projet'!$A$140,'Données projet'!$B$140,CT173+CS174-DB173)))</f>
        <v>581.65400000000102</v>
      </c>
      <c r="CU174" s="17">
        <f>CT174*VLOOKUP('Données projet'!$B$13,Paramètres!$A$1:$I$89,3,0)*VLOOKUP('Données projet'!$B$13,Paramètres!$A$1:$I$89,5,0)</f>
        <v>626.09236560000102</v>
      </c>
      <c r="CV174" s="13">
        <f t="shared" si="173"/>
        <v>136.35207842439701</v>
      </c>
      <c r="CW174" s="20">
        <f t="shared" si="174"/>
        <v>1327.9240733424931</v>
      </c>
      <c r="CX174" s="59">
        <f t="shared" si="122"/>
        <v>1616.6592347871547</v>
      </c>
      <c r="CY174" s="59">
        <f ca="1">AVERAGE(OFFSET($CX$3,0,0,'Données projet'!$E$13+1,1))-AVERAGE(OFFSET($H$3,0,0,'Données projet'!$E$13+1,1))</f>
        <v>792.94606354161886</v>
      </c>
      <c r="CZ174" s="59">
        <f t="shared" si="150"/>
        <v>346.14443498270919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60.702884810370847</v>
      </c>
      <c r="DG174" s="21">
        <f>EXP(-LN(2)/25)*DG173+(1-EXP(-LN(2)/25))/(LN(2)/25)*Calculateur!DB174*Calculateur!DD174*VLOOKUP('Données projet'!$B$13,Paramètres!$A$1:$I$89,3,0)*0.475*44/12</f>
        <v>22.543064308185681</v>
      </c>
      <c r="DH174" s="21">
        <f>EXP(-LN(2)/2)*DH173+(1-EXP(-LN(2)/2))/(LN(2)/2)*DB174*DE174*VLOOKUP('Données projet'!$B$13,Paramètres!$A$1:$I$89,3,0)*0.475*44/12</f>
        <v>5.120299174200874E-7</v>
      </c>
      <c r="DI174" s="22">
        <f t="shared" si="175"/>
        <v>83.245949630586438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269.21114382490202</v>
      </c>
      <c r="DU174" s="59">
        <f t="shared" si="152"/>
        <v>233.07776944102309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2.1742993920589195</v>
      </c>
      <c r="EB174" s="21">
        <f>EXP(-LN(2)/25)*EB173+(1-EXP(-LN(2)/25))/(LN(2)/25)*Calculateur!DW174*Calculateur!DY174*VLOOKUP('Données projet'!$B$14,Paramètres!$A$1:$I$89,3,0)*0.475*44/12</f>
        <v>6.7594550893213166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8.9337544813802356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9.6220000000000034</v>
      </c>
      <c r="FE174" s="12">
        <f>IF('Données projet'!$A$218&gt;35,FE173+FD174-FM173,IF(A174&lt;'Données projet'!$A$218,$FB$205^A174,IF(A174='Données projet'!$A$218,'Données projet'!$B$218,FE173+FD174-FM173)))</f>
        <v>581.65400000000102</v>
      </c>
      <c r="FF174" s="17">
        <f>FE174*VLOOKUP('Données projet'!$B$16,Paramètres!$A$1:$I$89,3,0)*VLOOKUP('Données projet'!$B$16,Paramètres!$A$1:$I$89,5,0)</f>
        <v>662.38757520000115</v>
      </c>
      <c r="FG174" s="13">
        <f t="shared" si="182"/>
        <v>143.3133952182454</v>
      </c>
      <c r="FH174" s="20">
        <f t="shared" si="183"/>
        <v>1403.2625234784462</v>
      </c>
      <c r="FI174" s="59">
        <f t="shared" si="131"/>
        <v>1691.9976849231077</v>
      </c>
      <c r="FJ174" s="59">
        <f ca="1">AVERAGE(OFFSET($FI$3,0,0,'Données projet'!$E$16+1,1))-AVERAGE(OFFSET($H$3,0,0,'Données projet'!$E$16+1,1))</f>
        <v>833.39050463936144</v>
      </c>
      <c r="FK174" s="59">
        <f t="shared" si="156"/>
        <v>362.56178526355507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64.221892625464832</v>
      </c>
      <c r="FR174" s="21">
        <f>EXP(-LN(2)/25)*FR173+(1-EXP(-LN(2)/25))/(LN(2)/25)*Calculateur!FM174*Calculateur!FO174*VLOOKUP('Données projet'!$B$16,Paramètres!$A$1:$I$89,3,0)*0.475*44/12</f>
        <v>23.849908615906607</v>
      </c>
      <c r="FS174" s="21">
        <f>EXP(-LN(2)/2)*FS173+(1-EXP(-LN(2)/2))/(LN(2)/2)*FM174*FP174*VLOOKUP('Données projet'!$B$16,Paramètres!$A$1:$I$89,3,0)*0.475*44/12</f>
        <v>5.4171281118357102E-7</v>
      </c>
      <c r="FT174" s="22">
        <f t="shared" si="184"/>
        <v>88.071801783084254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1427.2547455968675</v>
      </c>
      <c r="S175" s="59">
        <f ca="1">AVERAGE(OFFSET($R$3,0,0,'Données projet'!$E$9+1,1))-AVERAGE(OFFSET($H$3,0,0,'Données projet'!$E$9+1,1))</f>
        <v>681.47578137804555</v>
      </c>
      <c r="T175" s="59">
        <f t="shared" si="142"/>
        <v>300.88511065995885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599.553864000001</v>
      </c>
      <c r="AK175" s="13">
        <f t="shared" si="164"/>
        <v>131.23239896414796</v>
      </c>
      <c r="AL175" s="20">
        <f t="shared" si="165"/>
        <v>1272.7860746625593</v>
      </c>
      <c r="AM175" s="59">
        <f t="shared" si="113"/>
        <v>1561.6010041095169</v>
      </c>
      <c r="AN175" s="59">
        <f ca="1">AVERAGE(OFFSET($AM$3,0,0,'Données projet'!$E$10+1,1))-AVERAGE(OFFSET($H$3,0,0,'Données projet'!$E$10+1,1))</f>
        <v>752.45542076695506</v>
      </c>
      <c r="AO175" s="59">
        <f t="shared" si="144"/>
        <v>329.70629768420724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56.062536046120549</v>
      </c>
      <c r="AV175" s="21">
        <f>EXP(-LN(2)/25)*AV174+(1-EXP(-LN(2)/25))/(LN(2)/25)*Calculateur!AQ175*Calculateur!AS175*VLOOKUP('Données projet'!$B$10,Paramètres!$A$1:$I$89,3,0)*0.475*44/12</f>
        <v>20.655514447787798</v>
      </c>
      <c r="AW175" s="21">
        <f>EXP(-LN(2)/2)*AW174+(1-EXP(-LN(2)/2))/(LN(2)/2)*AQ175*AT175*VLOOKUP('Données projet'!$B$10,Paramètres!$A$1:$I$89,3,0)*0.475*44/12</f>
        <v>3.4107085131273281E-7</v>
      </c>
      <c r="AX175" s="21">
        <f t="shared" si="166"/>
        <v>76.718050834979195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562.65824160000091</v>
      </c>
      <c r="BF175" s="13">
        <f t="shared" si="167"/>
        <v>124.07042451836233</v>
      </c>
      <c r="BG175" s="20">
        <f t="shared" si="168"/>
        <v>1196.052426822816</v>
      </c>
      <c r="BH175" s="59">
        <f t="shared" si="116"/>
        <v>1484.8673562697736</v>
      </c>
      <c r="BI175" s="59">
        <f ca="1">AVERAGE(OFFSET($BH$3,0,0,'Données projet'!$E$11+1,1))-AVERAGE(OFFSET($H$3,0,0,'Données projet'!$E$11+1,1))</f>
        <v>711.91538686535682</v>
      </c>
      <c r="BJ175" s="59">
        <f t="shared" si="146"/>
        <v>313.24593837351722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52.612533827897707</v>
      </c>
      <c r="BQ175" s="21">
        <f>EXP(-LN(2)/25)*BQ174+(1-EXP(-LN(2)/25))/(LN(2)/25)*Calculateur!BL175*Calculateur!BN175*VLOOKUP('Données projet'!$B$11,Paramètres!$A$1:$I$89,3,0)*0.475*44/12</f>
        <v>19.384405866385464</v>
      </c>
      <c r="BR175" s="21">
        <f>EXP(-LN(2)/2)*BR174+(1-EXP(-LN(2)/2))/(LN(2)/2)*BL175*BO175*VLOOKUP('Données projet'!$B$11,Paramètres!$A$1:$I$89,3,0)*0.475*44/12</f>
        <v>3.2008187584733504E-7</v>
      </c>
      <c r="BS175" s="22">
        <f t="shared" si="169"/>
        <v>71.996940014365052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9.6220000000000034</v>
      </c>
      <c r="BY175" s="12">
        <f>IF('Données projet'!$A$114&gt;35,BY174+BX175-CG174,IF(A175&lt;'Données projet'!$A$114,$BV$205^A175,IF(A175='Données projet'!$A$114,'Données projet'!$B$114,BY174+BX175-CG174)))</f>
        <v>591.27600000000098</v>
      </c>
      <c r="BZ175" s="13">
        <f>BY175*VLOOKUP('Données projet'!$B$12,Paramètres!$A$1:$I$89,3,0)*VLOOKUP('Données projet'!$B$12,Paramètres!$A$1:$I$89,5,0)</f>
        <v>571.88214720000099</v>
      </c>
      <c r="CA175" s="13">
        <f t="shared" si="170"/>
        <v>125.86591080078884</v>
      </c>
      <c r="CB175" s="20">
        <f t="shared" si="171"/>
        <v>1215.2445343513755</v>
      </c>
      <c r="CC175" s="59">
        <f t="shared" si="119"/>
        <v>1504.0594637983331</v>
      </c>
      <c r="CD175" s="59">
        <f ca="1">AVERAGE(OFFSET($CC$3,0,0,'Données projet'!$E$12+1,1))-AVERAGE(OFFSET($H$3,0,0,'Données projet'!$E$12+1,1))</f>
        <v>722.05521609092671</v>
      </c>
      <c r="CE175" s="59">
        <f t="shared" si="148"/>
        <v>317.36319714884644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53.475034382453423</v>
      </c>
      <c r="CL175" s="21">
        <f>EXP(-LN(2)/25)*CL174+(1-EXP(-LN(2)/25))/(LN(2)/25)*Calculateur!CG175*Calculateur!CI175*VLOOKUP('Données projet'!$B$12,Paramètres!$A$1:$I$89,3,0)*0.475*44/12</f>
        <v>19.702183011736047</v>
      </c>
      <c r="CM175" s="21">
        <f>EXP(-LN(2)/2)*CM174+(1-EXP(-LN(2)/2))/(LN(2)/2)*CG175*CJ175*VLOOKUP('Données projet'!$B$12,Paramètres!$A$1:$I$89,3,0)*0.475*44/12</f>
        <v>3.2532911971368365E-7</v>
      </c>
      <c r="CN175" s="22">
        <f t="shared" si="172"/>
        <v>73.177217719518595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9.6220000000000034</v>
      </c>
      <c r="CT175" s="12">
        <f>IF('Données projet'!$A$140&gt;35,CT174+CS175-DB174,IF(A175&lt;'Données projet'!$A$140,$CQ$205^A175,IF(A175='Données projet'!$A$140,'Données projet'!$B$140,CT174+CS175-DB174)))</f>
        <v>591.27600000000098</v>
      </c>
      <c r="CU175" s="17">
        <f>CT175*VLOOKUP('Données projet'!$B$13,Paramètres!$A$1:$I$89,3,0)*VLOOKUP('Données projet'!$B$13,Paramètres!$A$1:$I$89,5,0)</f>
        <v>636.44948640000109</v>
      </c>
      <c r="CV175" s="13">
        <f t="shared" si="173"/>
        <v>138.34322086366288</v>
      </c>
      <c r="CW175" s="20">
        <f t="shared" si="174"/>
        <v>1349.4306318175479</v>
      </c>
      <c r="CX175" s="59">
        <f t="shared" si="122"/>
        <v>1638.2455612645056</v>
      </c>
      <c r="CY175" s="59">
        <f ca="1">AVERAGE(OFFSET($CX$3,0,0,'Données projet'!$E$13+1,1))-AVERAGE(OFFSET($H$3,0,0,'Données projet'!$E$13+1,1))</f>
        <v>792.94606354161886</v>
      </c>
      <c r="CZ175" s="59">
        <f t="shared" si="150"/>
        <v>346.14443498270919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59.512538264343284</v>
      </c>
      <c r="DG175" s="21">
        <f>EXP(-LN(2)/25)*DG174+(1-EXP(-LN(2)/25))/(LN(2)/25)*Calculateur!DB175*Calculateur!DD175*VLOOKUP('Données projet'!$B$13,Paramètres!$A$1:$I$89,3,0)*0.475*44/12</f>
        <v>21.926623029190115</v>
      </c>
      <c r="DH175" s="21">
        <f>EXP(-LN(2)/2)*DH174+(1-EXP(-LN(2)/2))/(LN(2)/2)*DB175*DE175*VLOOKUP('Données projet'!$B$13,Paramètres!$A$1:$I$89,3,0)*0.475*44/12</f>
        <v>3.6205982677813175E-7</v>
      </c>
      <c r="DI175" s="22">
        <f t="shared" si="175"/>
        <v>81.439161655593225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269.21114382490202</v>
      </c>
      <c r="DU175" s="59">
        <f t="shared" si="152"/>
        <v>233.07776944102309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2.1316627071723229</v>
      </c>
      <c r="EB175" s="21">
        <f>EXP(-LN(2)/25)*EB174+(1-EXP(-LN(2)/25))/(LN(2)/25)*Calculateur!DW175*Calculateur!DY175*VLOOKUP('Données projet'!$B$14,Paramètres!$A$1:$I$89,3,0)*0.475*44/12</f>
        <v>6.5746174344395314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8.7062801416118543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9.6220000000000034</v>
      </c>
      <c r="FE175" s="12">
        <f>IF('Données projet'!$A$218&gt;35,FE174+FD175-FM174,IF(A175&lt;'Données projet'!$A$218,$FB$205^A175,IF(A175='Données projet'!$A$218,'Données projet'!$B$218,FE174+FD175-FM174)))</f>
        <v>591.27600000000098</v>
      </c>
      <c r="FF175" s="17">
        <f>FE175*VLOOKUP('Données projet'!$B$16,Paramètres!$A$1:$I$89,3,0)*VLOOKUP('Données projet'!$B$16,Paramètres!$A$1:$I$89,5,0)</f>
        <v>673.34510880000107</v>
      </c>
      <c r="FG175" s="13">
        <f t="shared" si="182"/>
        <v>145.4061934112159</v>
      </c>
      <c r="FH175" s="20">
        <f t="shared" si="183"/>
        <v>1425.991851351203</v>
      </c>
      <c r="FI175" s="59">
        <f t="shared" si="131"/>
        <v>1714.8067807981606</v>
      </c>
      <c r="FJ175" s="59">
        <f ca="1">AVERAGE(OFFSET($FI$3,0,0,'Données projet'!$E$16+1,1))-AVERAGE(OFFSET($H$3,0,0,'Données projet'!$E$16+1,1))</f>
        <v>833.39050463936144</v>
      </c>
      <c r="FK175" s="59">
        <f t="shared" si="156"/>
        <v>362.56178526355507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62.962540482566105</v>
      </c>
      <c r="FR175" s="21">
        <f>EXP(-LN(2)/25)*FR174+(1-EXP(-LN(2)/25))/(LN(2)/25)*Calculateur!FM175*Calculateur!FO175*VLOOKUP('Données projet'!$B$16,Paramètres!$A$1:$I$89,3,0)*0.475*44/12</f>
        <v>23.197731610592456</v>
      </c>
      <c r="FS175" s="21">
        <f>EXP(-LN(2)/2)*FS174+(1-EXP(-LN(2)/2))/(LN(2)/2)*FM175*FP175*VLOOKUP('Données projet'!$B$16,Paramètres!$A$1:$I$89,3,0)*0.475*44/12</f>
        <v>3.8304880224353089E-7</v>
      </c>
      <c r="FT175" s="22">
        <f t="shared" si="184"/>
        <v>86.160272476207368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1445.4650028127028</v>
      </c>
      <c r="S176" s="59">
        <f ca="1">AVERAGE(OFFSET($R$3,0,0,'Données projet'!$E$9+1,1))-AVERAGE(OFFSET($H$3,0,0,'Données projet'!$E$9+1,1))</f>
        <v>681.47578137804555</v>
      </c>
      <c r="T176" s="59">
        <f t="shared" si="142"/>
        <v>300.88511065995885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609.310572000001</v>
      </c>
      <c r="AK176" s="13">
        <f t="shared" si="164"/>
        <v>133.11762240478217</v>
      </c>
      <c r="AL176" s="20">
        <f t="shared" si="165"/>
        <v>1293.0624385883307</v>
      </c>
      <c r="AM176" s="59">
        <f t="shared" si="113"/>
        <v>1581.9557522410792</v>
      </c>
      <c r="AN176" s="59">
        <f ca="1">AVERAGE(OFFSET($AM$3,0,0,'Données projet'!$E$10+1,1))-AVERAGE(OFFSET($H$3,0,0,'Données projet'!$E$10+1,1))</f>
        <v>752.45542076695506</v>
      </c>
      <c r="AO176" s="59">
        <f t="shared" si="144"/>
        <v>329.70629768420724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54.963183909026661</v>
      </c>
      <c r="AV176" s="21">
        <f>EXP(-LN(2)/25)*AV175+(1-EXP(-LN(2)/25))/(LN(2)/25)*Calculateur!AQ176*Calculateur!AS176*VLOOKUP('Données projet'!$B$10,Paramètres!$A$1:$I$89,3,0)*0.475*44/12</f>
        <v>20.090688318986746</v>
      </c>
      <c r="AW176" s="21">
        <f>EXP(-LN(2)/2)*AW175+(1-EXP(-LN(2)/2))/(LN(2)/2)*AQ176*AT176*VLOOKUP('Données projet'!$B$10,Paramètres!$A$1:$I$89,3,0)*0.475*44/12</f>
        <v>2.4117351182830204E-7</v>
      </c>
      <c r="AX176" s="21">
        <f t="shared" si="166"/>
        <v>75.053872469186913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571.81453680000084</v>
      </c>
      <c r="BF176" s="13">
        <f t="shared" si="167"/>
        <v>125.85276237424009</v>
      </c>
      <c r="BG176" s="20">
        <f t="shared" si="168"/>
        <v>1215.1038793951363</v>
      </c>
      <c r="BH176" s="59">
        <f t="shared" si="116"/>
        <v>1503.9971930478848</v>
      </c>
      <c r="BI176" s="59">
        <f ca="1">AVERAGE(OFFSET($BH$3,0,0,'Données projet'!$E$11+1,1))-AVERAGE(OFFSET($H$3,0,0,'Données projet'!$E$11+1,1))</f>
        <v>711.91538686535682</v>
      </c>
      <c r="BJ176" s="59">
        <f t="shared" si="146"/>
        <v>313.24593837351722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51.580834130009599</v>
      </c>
      <c r="BQ176" s="21">
        <f>EXP(-LN(2)/25)*BQ175+(1-EXP(-LN(2)/25))/(LN(2)/25)*Calculateur!BL176*Calculateur!BN176*VLOOKUP('Données projet'!$B$11,Paramètres!$A$1:$I$89,3,0)*0.475*44/12</f>
        <v>18.854338268587554</v>
      </c>
      <c r="BR176" s="21">
        <f>EXP(-LN(2)/2)*BR175+(1-EXP(-LN(2)/2))/(LN(2)/2)*BL176*BO176*VLOOKUP('Données projet'!$B$11,Paramètres!$A$1:$I$89,3,0)*0.475*44/12</f>
        <v>2.2633206494656121E-7</v>
      </c>
      <c r="BS176" s="22">
        <f t="shared" si="169"/>
        <v>70.435172624929223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9.6220000000000034</v>
      </c>
      <c r="BY176" s="12">
        <f>IF('Données projet'!$A$114&gt;35,BY175+BX176-CG175,IF(A176&lt;'Données projet'!$A$114,$BV$205^A176,IF(A176='Données projet'!$A$114,'Données projet'!$B$114,BY175+BX176-CG175)))</f>
        <v>600.89800000000093</v>
      </c>
      <c r="BZ176" s="13">
        <f>BY176*VLOOKUP('Données projet'!$B$12,Paramètres!$A$1:$I$89,3,0)*VLOOKUP('Données projet'!$B$12,Paramètres!$A$1:$I$89,5,0)</f>
        <v>581.18854560000091</v>
      </c>
      <c r="CA176" s="13">
        <f t="shared" si="170"/>
        <v>127.67404177523856</v>
      </c>
      <c r="CB176" s="20">
        <f t="shared" si="171"/>
        <v>1234.602339678542</v>
      </c>
      <c r="CC176" s="59">
        <f t="shared" si="119"/>
        <v>1523.4956533312904</v>
      </c>
      <c r="CD176" s="59">
        <f ca="1">AVERAGE(OFFSET($CC$3,0,0,'Données projet'!$E$12+1,1))-AVERAGE(OFFSET($H$3,0,0,'Données projet'!$E$12+1,1))</f>
        <v>722.05521609092671</v>
      </c>
      <c r="CE176" s="59">
        <f t="shared" si="148"/>
        <v>317.36319714884644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52.426421574763864</v>
      </c>
      <c r="CL176" s="21">
        <f>EXP(-LN(2)/25)*CL175+(1-EXP(-LN(2)/25))/(LN(2)/25)*Calculateur!CG176*Calculateur!CI176*VLOOKUP('Données projet'!$B$12,Paramètres!$A$1:$I$89,3,0)*0.475*44/12</f>
        <v>19.16342578118735</v>
      </c>
      <c r="CM176" s="21">
        <f>EXP(-LN(2)/2)*CM175+(1-EXP(-LN(2)/2))/(LN(2)/2)*CG176*CJ176*VLOOKUP('Données projet'!$B$12,Paramètres!$A$1:$I$89,3,0)*0.475*44/12</f>
        <v>2.3004242666699583E-7</v>
      </c>
      <c r="CN176" s="22">
        <f t="shared" si="172"/>
        <v>71.589847585993638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9.6220000000000034</v>
      </c>
      <c r="CT176" s="12">
        <f>IF('Données projet'!$A$140&gt;35,CT175+CS176-DB175,IF(A176&lt;'Données projet'!$A$140,$CQ$205^A176,IF(A176='Données projet'!$A$140,'Données projet'!$B$140,CT175+CS176-DB175)))</f>
        <v>600.89800000000093</v>
      </c>
      <c r="CU176" s="17">
        <f>CT176*VLOOKUP('Données projet'!$B$13,Paramètres!$A$1:$I$89,3,0)*VLOOKUP('Données projet'!$B$13,Paramètres!$A$1:$I$89,5,0)</f>
        <v>646.80660720000094</v>
      </c>
      <c r="CV176" s="13">
        <f t="shared" si="173"/>
        <v>140.33059505542982</v>
      </c>
      <c r="CW176" s="20">
        <f t="shared" si="174"/>
        <v>1370.930627261542</v>
      </c>
      <c r="CX176" s="59">
        <f t="shared" si="122"/>
        <v>1659.8239409142905</v>
      </c>
      <c r="CY176" s="59">
        <f ca="1">AVERAGE(OFFSET($CX$3,0,0,'Données projet'!$E$13+1,1))-AVERAGE(OFFSET($H$3,0,0,'Données projet'!$E$13+1,1))</f>
        <v>792.94606354161886</v>
      </c>
      <c r="CZ176" s="59">
        <f t="shared" si="150"/>
        <v>346.14443498270919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58.345533688043616</v>
      </c>
      <c r="DG176" s="21">
        <f>EXP(-LN(2)/25)*DG175+(1-EXP(-LN(2)/25))/(LN(2)/25)*Calculateur!DB176*Calculateur!DD176*VLOOKUP('Données projet'!$B$13,Paramètres!$A$1:$I$89,3,0)*0.475*44/12</f>
        <v>21.327038369385921</v>
      </c>
      <c r="DH176" s="21">
        <f>EXP(-LN(2)/2)*DH175+(1-EXP(-LN(2)/2))/(LN(2)/2)*DB176*DE176*VLOOKUP('Données projet'!$B$13,Paramètres!$A$1:$I$89,3,0)*0.475*44/12</f>
        <v>2.560149587100437E-7</v>
      </c>
      <c r="DI176" s="22">
        <f t="shared" si="175"/>
        <v>79.672572313444491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269.21114382490202</v>
      </c>
      <c r="DU176" s="59">
        <f t="shared" si="152"/>
        <v>233.07776944102309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2.0898621016705423</v>
      </c>
      <c r="EB176" s="21">
        <f>EXP(-LN(2)/25)*EB175+(1-EXP(-LN(2)/25))/(LN(2)/25)*Calculateur!DW176*Calculateur!DY176*VLOOKUP('Données projet'!$B$14,Paramètres!$A$1:$I$89,3,0)*0.475*44/12</f>
        <v>6.3948341749506783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8.4846962766212215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9.6220000000000034</v>
      </c>
      <c r="FE176" s="12">
        <f>IF('Données projet'!$A$218&gt;35,FE175+FD176-FM175,IF(A176&lt;'Données projet'!$A$218,$FB$205^A176,IF(A176='Données projet'!$A$218,'Données projet'!$B$218,FE175+FD176-FM175)))</f>
        <v>600.89800000000093</v>
      </c>
      <c r="FF176" s="17">
        <f>FE176*VLOOKUP('Données projet'!$B$16,Paramètres!$A$1:$I$89,3,0)*VLOOKUP('Données projet'!$B$16,Paramètres!$A$1:$I$89,5,0)</f>
        <v>684.30264240000099</v>
      </c>
      <c r="FG176" s="13">
        <f t="shared" si="182"/>
        <v>147.49503097264082</v>
      </c>
      <c r="FH176" s="20">
        <f t="shared" si="183"/>
        <v>1448.7142811240176</v>
      </c>
      <c r="FI176" s="59">
        <f t="shared" si="131"/>
        <v>1737.6075947767661</v>
      </c>
      <c r="FJ176" s="59">
        <f ca="1">AVERAGE(OFFSET($FI$3,0,0,'Données projet'!$E$16+1,1))-AVERAGE(OFFSET($H$3,0,0,'Données projet'!$E$16+1,1))</f>
        <v>833.39050463936144</v>
      </c>
      <c r="FK176" s="59">
        <f t="shared" si="156"/>
        <v>362.56178526355507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61.727883467060664</v>
      </c>
      <c r="FR176" s="21">
        <f>EXP(-LN(2)/25)*FR175+(1-EXP(-LN(2)/25))/(LN(2)/25)*Calculateur!FM176*Calculateur!FO176*VLOOKUP('Données projet'!$B$16,Paramètres!$A$1:$I$89,3,0)*0.475*44/12</f>
        <v>22.56338841978512</v>
      </c>
      <c r="FS176" s="21">
        <f>EXP(-LN(2)/2)*FS175+(1-EXP(-LN(2)/2))/(LN(2)/2)*FM176*FP176*VLOOKUP('Données projet'!$B$16,Paramètres!$A$1:$I$89,3,0)*0.475*44/12</f>
        <v>2.7085640559178551E-7</v>
      </c>
      <c r="FT176" s="22">
        <f t="shared" si="184"/>
        <v>84.291272157702181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1463.6683713837238</v>
      </c>
      <c r="S177" s="59">
        <f ca="1">AVERAGE(OFFSET($R$3,0,0,'Données projet'!$E$9+1,1))-AVERAGE(OFFSET($H$3,0,0,'Données projet'!$E$9+1,1))</f>
        <v>681.47578137804555</v>
      </c>
      <c r="T177" s="59">
        <f t="shared" si="142"/>
        <v>300.88511065995885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619.06728000000089</v>
      </c>
      <c r="AK177" s="13">
        <f t="shared" si="164"/>
        <v>134.99933513219278</v>
      </c>
      <c r="AL177" s="20">
        <f t="shared" si="165"/>
        <v>1313.332688021904</v>
      </c>
      <c r="AM177" s="59">
        <f t="shared" si="113"/>
        <v>1602.3030260897137</v>
      </c>
      <c r="AN177" s="59">
        <f ca="1">AVERAGE(OFFSET($AM$3,0,0,'Données projet'!$E$10+1,1))-AVERAGE(OFFSET($H$3,0,0,'Données projet'!$E$10+1,1))</f>
        <v>752.45542076695506</v>
      </c>
      <c r="AO177" s="59">
        <f t="shared" si="144"/>
        <v>329.70629768420724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105.94216644426993</v>
      </c>
      <c r="AV177" s="21">
        <f>EXP(-LN(2)/25)*AV176+(1-EXP(-LN(2)/25))/(LN(2)/25)*Calculateur!AQ177*Calculateur!AS177*VLOOKUP('Données projet'!$B$10,Paramètres!$A$1:$I$89,3,0)*0.475*44/12</f>
        <v>25.30261957716338</v>
      </c>
      <c r="AW177" s="21">
        <f>EXP(-LN(2)/2)*AW176+(1-EXP(-LN(2)/2))/(LN(2)/2)*AQ177*AT177*VLOOKUP('Données projet'!$B$10,Paramètres!$A$1:$I$89,3,0)*0.475*44/12</f>
        <v>11.480835667453793</v>
      </c>
      <c r="AX177" s="21">
        <f t="shared" si="166"/>
        <v>142.72562168888709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580.97083200000088</v>
      </c>
      <c r="BF177" s="13">
        <f t="shared" si="167"/>
        <v>127.63178111316617</v>
      </c>
      <c r="BG177" s="20">
        <f t="shared" si="168"/>
        <v>1234.1495511720993</v>
      </c>
      <c r="BH177" s="59">
        <f t="shared" si="116"/>
        <v>1523.1198892399091</v>
      </c>
      <c r="BI177" s="59">
        <f ca="1">AVERAGE(OFFSET($BH$3,0,0,'Données projet'!$E$11+1,1))-AVERAGE(OFFSET($H$3,0,0,'Données projet'!$E$11+1,1))</f>
        <v>711.91538686535682</v>
      </c>
      <c r="BJ177" s="59">
        <f t="shared" si="146"/>
        <v>313.24593837351722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99.422648509237902</v>
      </c>
      <c r="BQ177" s="21">
        <f>EXP(-LN(2)/25)*BQ176+(1-EXP(-LN(2)/25))/(LN(2)/25)*Calculateur!BL177*Calculateur!BN177*VLOOKUP('Données projet'!$B$11,Paramètres!$A$1:$I$89,3,0)*0.475*44/12</f>
        <v>23.745535295491777</v>
      </c>
      <c r="BR177" s="21">
        <f>EXP(-LN(2)/2)*BR176+(1-EXP(-LN(2)/2))/(LN(2)/2)*BL177*BO177*VLOOKUP('Données projet'!$B$11,Paramètres!$A$1:$I$89,3,0)*0.475*44/12</f>
        <v>10.77432270330279</v>
      </c>
      <c r="BS177" s="22">
        <f t="shared" si="169"/>
        <v>133.94250650803247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9.6220000000000034</v>
      </c>
      <c r="BX177" s="12">
        <f t="array" ref="BX177">INDEX(BW:BW,MIN(IF(ISNUMBER(BW177:BW373),ROW(BW177:BW373),"")))</f>
        <v>9.6220000000000034</v>
      </c>
      <c r="BY177" s="12">
        <f>IF('Données projet'!$A$114&gt;35,BY176+BX177-CG176,IF(A177&lt;'Données projet'!$A$114,$BV$205^A177,IF(A177='Données projet'!$A$114,'Données projet'!$B$114,BY176+BX177-CG176)))</f>
        <v>610.52000000000089</v>
      </c>
      <c r="BZ177" s="13">
        <f>BY177*VLOOKUP('Données projet'!$B$12,Paramètres!$A$1:$I$89,3,0)*VLOOKUP('Données projet'!$B$12,Paramètres!$A$1:$I$89,5,0)</f>
        <v>590.49494400000094</v>
      </c>
      <c r="CA177" s="13">
        <f t="shared" si="170"/>
        <v>129.47880560010532</v>
      </c>
      <c r="CB177" s="20">
        <f t="shared" si="171"/>
        <v>1253.9542805535184</v>
      </c>
      <c r="CC177" s="59">
        <f t="shared" si="119"/>
        <v>1542.9246186213281</v>
      </c>
      <c r="CD177" s="59">
        <f ca="1">AVERAGE(OFFSET($CC$3,0,0,'Données projet'!$E$12+1,1))-AVERAGE(OFFSET($H$3,0,0,'Données projet'!$E$12+1,1))</f>
        <v>722.05521609092671</v>
      </c>
      <c r="CE177" s="59">
        <f t="shared" si="148"/>
        <v>317.36319714884644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240</v>
      </c>
      <c r="CH177" s="16">
        <f>IF(ISNA(VLOOKUP(A177,'Données projet'!$A$113:$I$133,5,0)),0%,VLOOKUP(A177,'Données projet'!$A$113:$I$133,5,0)*VLOOKUP('Données projet'!$B$12,Paramètres!$A$1:$I$89,7,0))</f>
        <v>0.19350000000000001</v>
      </c>
      <c r="CI177" s="16">
        <f>IF(ISNA(VLOOKUP(A177,'Données projet'!$A$113:$I$133,6,0)),0%,VLOOKUP(A177,'Données projet'!$A$113:$I$133,6,0)*VLOOKUP('Données projet'!$B$12,Paramètres!$A$1:$I$89,7,0))</f>
        <v>2.1500000000000002E-2</v>
      </c>
      <c r="CJ177" s="16">
        <f>IF(ISNA(VLOOKUP(A177,'Données projet'!$A$113:$I$133,7,0)),0%,VLOOKUP(A177,'Données projet'!$A$113:$I$133,7,0))</f>
        <v>0.05</v>
      </c>
      <c r="CK177" s="21">
        <f>EXP(-LN(2)/35)*CK176+(1-EXP(-LN(2)/35))/(LN(2)/35)*CG177*CH177*VLOOKUP('Données projet'!$B$12,Paramètres!$A$1:$I$89,3,0)*0.475*44/12</f>
        <v>101.05252799299591</v>
      </c>
      <c r="CL177" s="21">
        <f>EXP(-LN(2)/25)*CL176+(1-EXP(-LN(2)/25))/(LN(2)/25)*Calculateur!CG177*Calculateur!CI177*VLOOKUP('Données projet'!$B$12,Paramètres!$A$1:$I$89,3,0)*0.475*44/12</f>
        <v>24.134806365909679</v>
      </c>
      <c r="CM177" s="21">
        <f>EXP(-LN(2)/2)*CM176+(1-EXP(-LN(2)/2))/(LN(2)/2)*CG177*CJ177*VLOOKUP('Données projet'!$B$12,Paramètres!$A$1:$I$89,3,0)*0.475*44/12</f>
        <v>10.950950944340539</v>
      </c>
      <c r="CN177" s="22">
        <f t="shared" si="172"/>
        <v>136.13828530324614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610.52</v>
      </c>
      <c r="CR177" s="12">
        <f>VLOOKUP(A177,'Données projet'!$A$139:$I$159,9,0)</f>
        <v>9.6220000000000034</v>
      </c>
      <c r="CS177" s="12">
        <f t="array" ref="CS177">INDEX(CR:CR,MIN(IF(ISNUMBER(CR177:CR373),ROW(CR177:CR373),"")))</f>
        <v>9.6220000000000034</v>
      </c>
      <c r="CT177" s="12">
        <f>IF('Données projet'!$A$140&gt;35,CT176+CS177-DB176,IF(A177&lt;'Données projet'!$A$140,$CQ$205^A177,IF(A177='Données projet'!$A$140,'Données projet'!$B$140,CT176+CS177-DB176)))</f>
        <v>610.52000000000089</v>
      </c>
      <c r="CU177" s="17">
        <f>CT177*VLOOKUP('Données projet'!$B$13,Paramètres!$A$1:$I$89,3,0)*VLOOKUP('Données projet'!$B$13,Paramètres!$A$1:$I$89,5,0)</f>
        <v>657.1637280000009</v>
      </c>
      <c r="CV177" s="13">
        <f t="shared" si="173"/>
        <v>142.31426830612801</v>
      </c>
      <c r="CW177" s="20">
        <f t="shared" si="174"/>
        <v>1392.4241768998411</v>
      </c>
      <c r="CX177" s="59">
        <f t="shared" si="122"/>
        <v>1681.3945149676508</v>
      </c>
      <c r="CY177" s="59">
        <f ca="1">AVERAGE(OFFSET($CX$3,0,0,'Données projet'!$E$13+1,1))-AVERAGE(OFFSET($H$3,0,0,'Données projet'!$E$13+1,1))</f>
        <v>792.94606354161886</v>
      </c>
      <c r="CZ177" s="59">
        <f t="shared" si="150"/>
        <v>346.14443498270919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240</v>
      </c>
      <c r="DC177" s="16">
        <f>IF(ISNA(VLOOKUP(A177,'Données projet'!$A$139:$I$159,5,0)),0%,VLOOKUP(A177,'Données projet'!$A$139:$I$159,5,0)*VLOOKUP('Données projet'!$B$13,Paramètres!$A$1:$I$89,7,0))</f>
        <v>0.19350000000000001</v>
      </c>
      <c r="DD177" s="16">
        <f>IF(ISNA(VLOOKUP(A177,'Données projet'!$A$139:$I$159,6,0)),0%,VLOOKUP(A177,'Données projet'!$A$139:$I$159,6,0)*VLOOKUP('Données projet'!$B$13,Paramètres!$A$1:$I$89,7,0))</f>
        <v>2.1500000000000002E-2</v>
      </c>
      <c r="DE177" s="16">
        <f>IF(ISNA(VLOOKUP(A177,'Données projet'!$A$139:$I$159,7,0)),0%,VLOOKUP(A177,'Données projet'!$A$139:$I$159,7,0))</f>
        <v>0.05</v>
      </c>
      <c r="DF177" s="21">
        <f>EXP(-LN(2)/35)*DF176+(1-EXP(-LN(2)/35))/(LN(2)/35)*DB177*DC177*VLOOKUP('Données projet'!$B$13,Paramètres!$A$1:$I$89,3,0)*0.475*44/12</f>
        <v>112.46168437930186</v>
      </c>
      <c r="DG177" s="21">
        <f>EXP(-LN(2)/25)*DG176+(1-EXP(-LN(2)/25))/(LN(2)/25)*Calculateur!DB177*Calculateur!DD177*VLOOKUP('Données projet'!$B$13,Paramètres!$A$1:$I$89,3,0)*0.475*44/12</f>
        <v>26.859703858834965</v>
      </c>
      <c r="DH177" s="21">
        <f>EXP(-LN(2)/2)*DH176+(1-EXP(-LN(2)/2))/(LN(2)/2)*DB177*DE177*VLOOKUP('Données projet'!$B$13,Paramètres!$A$1:$I$89,3,0)*0.475*44/12</f>
        <v>12.187348631604792</v>
      </c>
      <c r="DI177" s="22">
        <f t="shared" si="175"/>
        <v>151.5087368697416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269.21114382490202</v>
      </c>
      <c r="DU177" s="59">
        <f t="shared" si="152"/>
        <v>233.07776944102309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2.0488811805467999</v>
      </c>
      <c r="EB177" s="21">
        <f>EXP(-LN(2)/25)*EB176+(1-EXP(-LN(2)/25))/(LN(2)/25)*Calculateur!DW177*Calculateur!DY177*VLOOKUP('Données projet'!$B$14,Paramètres!$A$1:$I$89,3,0)*0.475*44/12</f>
        <v>6.2199670981469382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8.2688482786937385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>
        <f>VLOOKUP(A177,'Données projet'!$A$217:$I$237,2,0)</f>
        <v>610.52</v>
      </c>
      <c r="FC177" s="12">
        <f>VLOOKUP(A177,'Données projet'!$A$217:$I$237,9,0)</f>
        <v>9.6220000000000034</v>
      </c>
      <c r="FD177" s="12">
        <f t="array" ref="FD177">INDEX(FC:FC,MIN(IF(ISNUMBER(FC177:FC373),ROW(FC177:FC373),"")))</f>
        <v>9.6220000000000034</v>
      </c>
      <c r="FE177" s="12">
        <f>IF('Données projet'!$A$218&gt;35,FE176+FD177-FM176,IF(A177&lt;'Données projet'!$A$218,$FB$205^A177,IF(A177='Données projet'!$A$218,'Données projet'!$B$218,FE176+FD177-FM176)))</f>
        <v>610.52000000000089</v>
      </c>
      <c r="FF177" s="17">
        <f>FE177*VLOOKUP('Données projet'!$B$16,Paramètres!$A$1:$I$89,3,0)*VLOOKUP('Données projet'!$B$16,Paramètres!$A$1:$I$89,5,0)</f>
        <v>695.26017600000102</v>
      </c>
      <c r="FG177" s="13">
        <f t="shared" si="182"/>
        <v>149.5799786452119</v>
      </c>
      <c r="FH177" s="20">
        <f t="shared" si="183"/>
        <v>1471.429936007079</v>
      </c>
      <c r="FI177" s="59">
        <f t="shared" si="131"/>
        <v>1760.4002740748888</v>
      </c>
      <c r="FJ177" s="59">
        <f ca="1">AVERAGE(OFFSET($FI$3,0,0,'Données projet'!$E$16+1,1))-AVERAGE(OFFSET($H$3,0,0,'Données projet'!$E$16+1,1))</f>
        <v>833.39050463936144</v>
      </c>
      <c r="FK177" s="59">
        <f t="shared" si="156"/>
        <v>362.56178526355507</v>
      </c>
      <c r="FL177" s="15">
        <f>IF(ISNA(VLOOKUP(A177,'Données projet'!$A$217:$I$237,3,0)),0,VLOOKUP(A177,'Données projet'!$A$217:$I$237,3,0))</f>
        <v>15</v>
      </c>
      <c r="FM177" s="15">
        <f>IF(ISNA(VLOOKUP(A177,'Données projet'!$A$217:$I$237,4,0)),0,VLOOKUP(A177,'Données projet'!$A$217:$I$237,4,0))</f>
        <v>240</v>
      </c>
      <c r="FN177" s="16">
        <f>IF(ISNA(VLOOKUP(A177,'Données projet'!$A$217:$I$237,5,0)),0%,VLOOKUP(A177,'Données projet'!$A$217:$I$237,5,0)*VLOOKUP('Données projet'!$B$16,Paramètres!$A$1:$I$89,7,0))</f>
        <v>0.19350000000000001</v>
      </c>
      <c r="FO177" s="16">
        <f>IF(ISNA(VLOOKUP(A177,'Données projet'!$A$217:$I$237,6,0)),0%,VLOOKUP(A177,'Données projet'!$A$217:$I$237,6,0)*VLOOKUP('Données projet'!$B$16,Paramètres!$A$1:$I$89,7,0))</f>
        <v>2.1500000000000002E-2</v>
      </c>
      <c r="FP177" s="16">
        <f>IF(ISNA(VLOOKUP(A177,'Données projet'!$A$217:$I$237,7,0)),0%,VLOOKUP(A177,'Données projet'!$A$217:$I$237,7,0))</f>
        <v>0.05</v>
      </c>
      <c r="FQ177" s="21">
        <f>EXP(-LN(2)/35)*FQ176+(1-EXP(-LN(2)/35))/(LN(2)/35)*FM177*FN177*VLOOKUP('Données projet'!$B$16,Paramètres!$A$1:$I$89,3,0)*0.475*44/12</f>
        <v>118.98120231433388</v>
      </c>
      <c r="FR177" s="21">
        <f>EXP(-LN(2)/25)*FR176+(1-EXP(-LN(2)/25))/(LN(2)/25)*Calculateur!FM177*Calculateur!FO177*VLOOKUP('Données projet'!$B$16,Paramètres!$A$1:$I$89,3,0)*0.475*44/12</f>
        <v>28.416788140506569</v>
      </c>
      <c r="FS177" s="21">
        <f>EXP(-LN(2)/2)*FS176+(1-EXP(-LN(2)/2))/(LN(2)/2)*FM177*FP177*VLOOKUP('Données projet'!$B$16,Paramètres!$A$1:$I$89,3,0)*0.475*44/12</f>
        <v>12.893861595755796</v>
      </c>
      <c r="FT177" s="22">
        <f t="shared" si="184"/>
        <v>160.29185205059625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1021.3604006373826</v>
      </c>
      <c r="S178" s="59">
        <f ca="1">AVERAGE(OFFSET($R$3,0,0,'Données projet'!$E$9+1,1))-AVERAGE(OFFSET($H$3,0,0,'Données projet'!$E$9+1,1))</f>
        <v>681.47578137804555</v>
      </c>
      <c r="T178" s="59">
        <f t="shared" si="142"/>
        <v>300.88511065995885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381.93324000000092</v>
      </c>
      <c r="AK178" s="13">
        <f t="shared" si="164"/>
        <v>88.104112736615605</v>
      </c>
      <c r="AL178" s="20">
        <f t="shared" si="165"/>
        <v>818.64838934960699</v>
      </c>
      <c r="AM178" s="59">
        <f t="shared" si="113"/>
        <v>1107.6944156310774</v>
      </c>
      <c r="AN178" s="59">
        <f ca="1">AVERAGE(OFFSET($AM$3,0,0,'Données projet'!$E$10+1,1))-AVERAGE(OFFSET($H$3,0,0,'Données projet'!$E$10+1,1))</f>
        <v>752.45542076695506</v>
      </c>
      <c r="AO178" s="59">
        <f t="shared" si="144"/>
        <v>329.70629768420724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103.8647051786388</v>
      </c>
      <c r="AV178" s="21">
        <f>EXP(-LN(2)/25)*AV177+(1-EXP(-LN(2)/25))/(LN(2)/25)*Calculateur!AQ178*Calculateur!AS178*VLOOKUP('Données projet'!$B$10,Paramètres!$A$1:$I$89,3,0)*0.475*44/12</f>
        <v>24.610718114218916</v>
      </c>
      <c r="AW178" s="21">
        <f>EXP(-LN(2)/2)*AW177+(1-EXP(-LN(2)/2))/(LN(2)/2)*AQ178*AT178*VLOOKUP('Données projet'!$B$10,Paramètres!$A$1:$I$89,3,0)*0.475*44/12</f>
        <v>8.1181767541449599</v>
      </c>
      <c r="AX178" s="21">
        <f t="shared" si="166"/>
        <v>136.5936000470027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358.42965600000082</v>
      </c>
      <c r="BF178" s="13">
        <f t="shared" si="167"/>
        <v>83.295853427413832</v>
      </c>
      <c r="BG178" s="20">
        <f t="shared" si="168"/>
        <v>769.33859558608037</v>
      </c>
      <c r="BH178" s="59">
        <f t="shared" si="116"/>
        <v>1058.3846218675508</v>
      </c>
      <c r="BI178" s="59">
        <f ca="1">AVERAGE(OFFSET($BH$3,0,0,'Données projet'!$E$11+1,1))-AVERAGE(OFFSET($H$3,0,0,'Données projet'!$E$11+1,1))</f>
        <v>711.91538686535682</v>
      </c>
      <c r="BJ178" s="59">
        <f t="shared" si="146"/>
        <v>313.24593837351722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97.473031013799456</v>
      </c>
      <c r="BQ178" s="21">
        <f>EXP(-LN(2)/25)*BQ177+(1-EXP(-LN(2)/25))/(LN(2)/25)*Calculateur!BL178*Calculateur!BN178*VLOOKUP('Données projet'!$B$11,Paramètres!$A$1:$I$89,3,0)*0.475*44/12</f>
        <v>23.096212384113123</v>
      </c>
      <c r="BR178" s="21">
        <f>EXP(-LN(2)/2)*BR177+(1-EXP(-LN(2)/2))/(LN(2)/2)*BL178*BO178*VLOOKUP('Données projet'!$B$11,Paramètres!$A$1:$I$89,3,0)*0.475*44/12</f>
        <v>7.6185966461975774</v>
      </c>
      <c r="BS178" s="22">
        <f t="shared" si="169"/>
        <v>128.18784004411015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6.140000000000005</v>
      </c>
      <c r="BY178" s="12">
        <f>IF('Données projet'!$A$114&gt;35,BY177+BX178-CG177,IF(A178&lt;'Données projet'!$A$114,$BV$205^A178,IF(A178='Données projet'!$A$114,'Données projet'!$B$114,BY177+BX178-CG177)))</f>
        <v>376.66000000000088</v>
      </c>
      <c r="BZ178" s="13">
        <f>BY178*VLOOKUP('Données projet'!$B$12,Paramètres!$A$1:$I$89,3,0)*VLOOKUP('Données projet'!$B$12,Paramètres!$A$1:$I$89,5,0)</f>
        <v>364.30555200000089</v>
      </c>
      <c r="CA178" s="13">
        <f t="shared" si="170"/>
        <v>84.501270131616337</v>
      </c>
      <c r="CB178" s="20">
        <f t="shared" si="171"/>
        <v>781.6718818792333</v>
      </c>
      <c r="CC178" s="59">
        <f t="shared" si="119"/>
        <v>1070.7179081607037</v>
      </c>
      <c r="CD178" s="59">
        <f ca="1">AVERAGE(OFFSET($CC$3,0,0,'Données projet'!$E$12+1,1))-AVERAGE(OFFSET($H$3,0,0,'Données projet'!$E$12+1,1))</f>
        <v>722.05521609092671</v>
      </c>
      <c r="CE178" s="59">
        <f t="shared" si="148"/>
        <v>317.36319714884644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99.070949555009292</v>
      </c>
      <c r="CL178" s="21">
        <f>EXP(-LN(2)/25)*CL177+(1-EXP(-LN(2)/25))/(LN(2)/25)*Calculateur!CG178*Calculateur!CI178*VLOOKUP('Données projet'!$B$12,Paramètres!$A$1:$I$89,3,0)*0.475*44/12</f>
        <v>23.474838816639572</v>
      </c>
      <c r="CM178" s="21">
        <f>EXP(-LN(2)/2)*CM177+(1-EXP(-LN(2)/2))/(LN(2)/2)*CG178*CJ178*VLOOKUP('Données projet'!$B$12,Paramètres!$A$1:$I$89,3,0)*0.475*44/12</f>
        <v>7.7434916731844217</v>
      </c>
      <c r="CN178" s="22">
        <f t="shared" si="172"/>
        <v>130.28928004483328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6.140000000000005</v>
      </c>
      <c r="CT178" s="12">
        <f>IF('Données projet'!$A$140&gt;35,CT177+CS178-DB177,IF(A178&lt;'Données projet'!$A$140,$CQ$205^A178,IF(A178='Données projet'!$A$140,'Données projet'!$B$140,CT177+CS178-DB177)))</f>
        <v>376.66000000000088</v>
      </c>
      <c r="CU178" s="17">
        <f>CT178*VLOOKUP('Données projet'!$B$13,Paramètres!$A$1:$I$89,3,0)*VLOOKUP('Données projet'!$B$13,Paramètres!$A$1:$I$89,5,0)</f>
        <v>405.43682400000091</v>
      </c>
      <c r="CV178" s="13">
        <f t="shared" si="173"/>
        <v>92.878030299884514</v>
      </c>
      <c r="CW178" s="20">
        <f t="shared" si="174"/>
        <v>867.89837123896712</v>
      </c>
      <c r="CX178" s="59">
        <f t="shared" si="122"/>
        <v>1156.9443975204376</v>
      </c>
      <c r="CY178" s="59">
        <f ca="1">AVERAGE(OFFSET($CX$3,0,0,'Données projet'!$E$13+1,1))-AVERAGE(OFFSET($H$3,0,0,'Données projet'!$E$13+1,1))</f>
        <v>792.94606354161886</v>
      </c>
      <c r="CZ178" s="59">
        <f t="shared" si="150"/>
        <v>346.14443498270919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110.25637934347805</v>
      </c>
      <c r="DG178" s="21">
        <f>EXP(-LN(2)/25)*DG177+(1-EXP(-LN(2)/25))/(LN(2)/25)*Calculateur!DB178*Calculateur!DD178*VLOOKUP('Données projet'!$B$13,Paramètres!$A$1:$I$89,3,0)*0.475*44/12</f>
        <v>26.125223844324687</v>
      </c>
      <c r="DH178" s="21">
        <f>EXP(-LN(2)/2)*DH177+(1-EXP(-LN(2)/2))/(LN(2)/2)*DB178*DE178*VLOOKUP('Données projet'!$B$13,Paramètres!$A$1:$I$89,3,0)*0.475*44/12</f>
        <v>8.6177568620923388</v>
      </c>
      <c r="DI178" s="22">
        <f t="shared" si="175"/>
        <v>144.99936004989507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269.21114382490202</v>
      </c>
      <c r="DU178" s="59">
        <f t="shared" si="152"/>
        <v>233.07776944102309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2.0087038702904003</v>
      </c>
      <c r="EB178" s="21">
        <f>EXP(-LN(2)/25)*EB177+(1-EXP(-LN(2)/25))/(LN(2)/25)*Calculateur!DW178*Calculateur!DY178*VLOOKUP('Données projet'!$B$14,Paramètres!$A$1:$I$89,3,0)*0.475*44/12</f>
        <v>6.049881770754256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8.0585856410446564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6.140000000000005</v>
      </c>
      <c r="FE178" s="12">
        <f>IF('Données projet'!$A$218&gt;35,FE177+FD178-FM177,IF(A178&lt;'Données projet'!$A$218,$FB$205^A178,IF(A178='Données projet'!$A$218,'Données projet'!$B$218,FE177+FD178-FM177)))</f>
        <v>376.66000000000088</v>
      </c>
      <c r="FF178" s="17">
        <f>FE178*VLOOKUP('Données projet'!$B$16,Paramètres!$A$1:$I$89,3,0)*VLOOKUP('Données projet'!$B$16,Paramètres!$A$1:$I$89,5,0)</f>
        <v>428.94040800000096</v>
      </c>
      <c r="FG178" s="13">
        <f t="shared" si="182"/>
        <v>97.619823747973854</v>
      </c>
      <c r="FH178" s="20">
        <f t="shared" si="183"/>
        <v>917.09240362772289</v>
      </c>
      <c r="FI178" s="59">
        <f t="shared" si="131"/>
        <v>1206.1384299091933</v>
      </c>
      <c r="FJ178" s="59">
        <f ca="1">AVERAGE(OFFSET($FI$3,0,0,'Données projet'!$E$16+1,1))-AVERAGE(OFFSET($H$3,0,0,'Données projet'!$E$16+1,1))</f>
        <v>833.39050463936144</v>
      </c>
      <c r="FK178" s="59">
        <f t="shared" si="156"/>
        <v>362.56178526355507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116.64805350831737</v>
      </c>
      <c r="FR178" s="21">
        <f>EXP(-LN(2)/25)*FR177+(1-EXP(-LN(2)/25))/(LN(2)/25)*Calculateur!FM178*Calculateur!FO178*VLOOKUP('Données projet'!$B$16,Paramètres!$A$1:$I$89,3,0)*0.475*44/12</f>
        <v>27.639729574430476</v>
      </c>
      <c r="FS178" s="21">
        <f>EXP(-LN(2)/2)*FS177+(1-EXP(-LN(2)/2))/(LN(2)/2)*FM178*FP178*VLOOKUP('Données projet'!$B$16,Paramètres!$A$1:$I$89,3,0)*0.475*44/12</f>
        <v>9.1173369700397231</v>
      </c>
      <c r="FT178" s="22">
        <f t="shared" si="184"/>
        <v>153.40512005278759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1033.1072009259974</v>
      </c>
      <c r="S179" s="59">
        <f ca="1">AVERAGE(OFFSET($R$3,0,0,'Données projet'!$E$9+1,1))-AVERAGE(OFFSET($H$3,0,0,'Données projet'!$E$9+1,1))</f>
        <v>681.47578137804555</v>
      </c>
      <c r="T179" s="59">
        <f t="shared" si="142"/>
        <v>300.88511065995885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388.15920000000091</v>
      </c>
      <c r="AK179" s="13">
        <f t="shared" si="164"/>
        <v>89.37194271202209</v>
      </c>
      <c r="AL179" s="20">
        <f t="shared" si="165"/>
        <v>831.70007355677342</v>
      </c>
      <c r="AM179" s="59">
        <f t="shared" si="113"/>
        <v>1120.8204750306111</v>
      </c>
      <c r="AN179" s="59">
        <f ca="1">AVERAGE(OFFSET($AM$3,0,0,'Données projet'!$E$10+1,1))-AVERAGE(OFFSET($H$3,0,0,'Données projet'!$E$10+1,1))</f>
        <v>752.45542076695506</v>
      </c>
      <c r="AO179" s="59">
        <f t="shared" si="144"/>
        <v>329.70629768420724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101.82798166130044</v>
      </c>
      <c r="AV179" s="21">
        <f>EXP(-LN(2)/25)*AV178+(1-EXP(-LN(2)/25))/(LN(2)/25)*Calculateur!AQ179*Calculateur!AS179*VLOOKUP('Données projet'!$B$10,Paramètres!$A$1:$I$89,3,0)*0.475*44/12</f>
        <v>23.937736733164183</v>
      </c>
      <c r="AW179" s="21">
        <f>EXP(-LN(2)/2)*AW178+(1-EXP(-LN(2)/2))/(LN(2)/2)*AQ179*AT179*VLOOKUP('Données projet'!$B$10,Paramètres!$A$1:$I$89,3,0)*0.475*44/12</f>
        <v>5.7404178337268972</v>
      </c>
      <c r="AX179" s="21">
        <f t="shared" si="166"/>
        <v>131.50613622819154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364.27248000000083</v>
      </c>
      <c r="BF179" s="13">
        <f t="shared" si="167"/>
        <v>84.494491907753954</v>
      </c>
      <c r="BG179" s="20">
        <f t="shared" si="168"/>
        <v>781.60247607267286</v>
      </c>
      <c r="BH179" s="59">
        <f t="shared" si="116"/>
        <v>1070.7228775465105</v>
      </c>
      <c r="BI179" s="59">
        <f ca="1">AVERAGE(OFFSET($BH$3,0,0,'Données projet'!$E$11+1,1))-AVERAGE(OFFSET($H$3,0,0,'Données projet'!$E$11+1,1))</f>
        <v>711.91538686535682</v>
      </c>
      <c r="BJ179" s="59">
        <f t="shared" si="146"/>
        <v>313.24593837351722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95.561644328297305</v>
      </c>
      <c r="BQ179" s="21">
        <f>EXP(-LN(2)/25)*BQ178+(1-EXP(-LN(2)/25))/(LN(2)/25)*Calculateur!BL179*Calculateur!BN179*VLOOKUP('Données projet'!$B$11,Paramètres!$A$1:$I$89,3,0)*0.475*44/12</f>
        <v>22.464645241892526</v>
      </c>
      <c r="BR179" s="21">
        <f>EXP(-LN(2)/2)*BR178+(1-EXP(-LN(2)/2))/(LN(2)/2)*BL179*BO179*VLOOKUP('Données projet'!$B$11,Paramètres!$A$1:$I$89,3,0)*0.475*44/12</f>
        <v>5.3871613516513959</v>
      </c>
      <c r="BS179" s="22">
        <f t="shared" si="169"/>
        <v>123.41345092184123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6.140000000000005</v>
      </c>
      <c r="BY179" s="12">
        <f>IF('Données projet'!$A$114&gt;35,BY178+BX179-CG178,IF(A179&lt;'Données projet'!$A$114,$BV$205^A179,IF(A179='Données projet'!$A$114,'Données projet'!$B$114,BY178+BX179-CG178)))</f>
        <v>382.80000000000086</v>
      </c>
      <c r="BZ179" s="13">
        <f>BY179*VLOOKUP('Données projet'!$B$12,Paramètres!$A$1:$I$89,3,0)*VLOOKUP('Données projet'!$B$12,Paramètres!$A$1:$I$89,5,0)</f>
        <v>370.24416000000082</v>
      </c>
      <c r="CA179" s="13">
        <f t="shared" si="170"/>
        <v>85.717254719680312</v>
      </c>
      <c r="CB179" s="20">
        <f t="shared" si="171"/>
        <v>794.13279730344448</v>
      </c>
      <c r="CC179" s="59">
        <f t="shared" si="119"/>
        <v>1083.253198777282</v>
      </c>
      <c r="CD179" s="59">
        <f ca="1">AVERAGE(OFFSET($CC$3,0,0,'Données projet'!$E$12+1,1))-AVERAGE(OFFSET($H$3,0,0,'Données projet'!$E$12+1,1))</f>
        <v>722.05521609092671</v>
      </c>
      <c r="CE179" s="59">
        <f t="shared" si="148"/>
        <v>317.36319714884644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97.128228661548093</v>
      </c>
      <c r="CL179" s="21">
        <f>EXP(-LN(2)/25)*CL178+(1-EXP(-LN(2)/25))/(LN(2)/25)*Calculateur!CG179*Calculateur!CI179*VLOOKUP('Données projet'!$B$12,Paramètres!$A$1:$I$89,3,0)*0.475*44/12</f>
        <v>22.832918114710441</v>
      </c>
      <c r="CM179" s="21">
        <f>EXP(-LN(2)/2)*CM178+(1-EXP(-LN(2)/2))/(LN(2)/2)*CG179*CJ179*VLOOKUP('Données projet'!$B$12,Paramètres!$A$1:$I$89,3,0)*0.475*44/12</f>
        <v>5.4754754721702703</v>
      </c>
      <c r="CN179" s="22">
        <f t="shared" si="172"/>
        <v>125.4366222484288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6.140000000000005</v>
      </c>
      <c r="CT179" s="12">
        <f>IF('Données projet'!$A$140&gt;35,CT178+CS179-DB178,IF(A179&lt;'Données projet'!$A$140,$CQ$205^A179,IF(A179='Données projet'!$A$140,'Données projet'!$B$140,CT178+CS179-DB178)))</f>
        <v>382.80000000000086</v>
      </c>
      <c r="CU179" s="17">
        <f>CT179*VLOOKUP('Données projet'!$B$13,Paramètres!$A$1:$I$89,3,0)*VLOOKUP('Données projet'!$B$13,Paramètres!$A$1:$I$89,5,0)</f>
        <v>412.04592000000093</v>
      </c>
      <c r="CV179" s="13">
        <f t="shared" si="173"/>
        <v>94.214557588036485</v>
      </c>
      <c r="CW179" s="20">
        <f t="shared" si="174"/>
        <v>881.73699846583179</v>
      </c>
      <c r="CX179" s="59">
        <f t="shared" si="122"/>
        <v>1170.8573999396694</v>
      </c>
      <c r="CY179" s="59">
        <f ca="1">AVERAGE(OFFSET($CX$3,0,0,'Données projet'!$E$13+1,1))-AVERAGE(OFFSET($H$3,0,0,'Données projet'!$E$13+1,1))</f>
        <v>792.94606354161886</v>
      </c>
      <c r="CZ179" s="59">
        <f t="shared" si="150"/>
        <v>346.14443498270919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108.09431899430348</v>
      </c>
      <c r="DG179" s="21">
        <f>EXP(-LN(2)/25)*DG178+(1-EXP(-LN(2)/25))/(LN(2)/25)*Calculateur!DB179*Calculateur!DD179*VLOOKUP('Données projet'!$B$13,Paramètres!$A$1:$I$89,3,0)*0.475*44/12</f>
        <v>25.410828224435818</v>
      </c>
      <c r="DH179" s="21">
        <f>EXP(-LN(2)/2)*DH178+(1-EXP(-LN(2)/2))/(LN(2)/2)*DB179*DE179*VLOOKUP('Données projet'!$B$13,Paramètres!$A$1:$I$89,3,0)*0.475*44/12</f>
        <v>6.0936743158023958</v>
      </c>
      <c r="DI179" s="22">
        <f t="shared" si="175"/>
        <v>139.59882153454168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269.21114382490202</v>
      </c>
      <c r="DU179" s="59">
        <f t="shared" si="152"/>
        <v>233.07776944102309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1.9693144125823892</v>
      </c>
      <c r="EB179" s="21">
        <f>EXP(-LN(2)/25)*EB178+(1-EXP(-LN(2)/25))/(LN(2)/25)*Calculateur!DW179*Calculateur!DY179*VLOOKUP('Données projet'!$B$14,Paramètres!$A$1:$I$89,3,0)*0.475*44/12</f>
        <v>5.8844474355835255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7.8537618481659148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6.140000000000005</v>
      </c>
      <c r="FE179" s="12">
        <f>IF('Données projet'!$A$218&gt;35,FE178+FD179-FM178,IF(A179&lt;'Données projet'!$A$218,$FB$205^A179,IF(A179='Données projet'!$A$218,'Données projet'!$B$218,FE178+FD179-FM178)))</f>
        <v>382.80000000000086</v>
      </c>
      <c r="FF179" s="17">
        <f>FE179*VLOOKUP('Données projet'!$B$16,Paramètres!$A$1:$I$89,3,0)*VLOOKUP('Données projet'!$B$16,Paramètres!$A$1:$I$89,5,0)</f>
        <v>435.93264000000102</v>
      </c>
      <c r="FG179" s="13">
        <f t="shared" si="182"/>
        <v>99.024586078553838</v>
      </c>
      <c r="FH179" s="20">
        <f t="shared" si="183"/>
        <v>931.71716875348295</v>
      </c>
      <c r="FI179" s="59">
        <f t="shared" si="131"/>
        <v>1220.8375702273206</v>
      </c>
      <c r="FJ179" s="59">
        <f ca="1">AVERAGE(OFFSET($FI$3,0,0,'Données projet'!$E$16+1,1))-AVERAGE(OFFSET($H$3,0,0,'Données projet'!$E$16+1,1))</f>
        <v>833.39050463936144</v>
      </c>
      <c r="FK179" s="59">
        <f t="shared" si="156"/>
        <v>362.56178526355507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114.3606563273066</v>
      </c>
      <c r="FR179" s="21">
        <f>EXP(-LN(2)/25)*FR178+(1-EXP(-LN(2)/25))/(LN(2)/25)*Calculateur!FM179*Calculateur!FO179*VLOOKUP('Données projet'!$B$16,Paramètres!$A$1:$I$89,3,0)*0.475*44/12</f>
        <v>26.883919715707467</v>
      </c>
      <c r="FS179" s="21">
        <f>EXP(-LN(2)/2)*FS178+(1-EXP(-LN(2)/2))/(LN(2)/2)*FM179*FP179*VLOOKUP('Données projet'!$B$16,Paramètres!$A$1:$I$89,3,0)*0.475*44/12</f>
        <v>6.4469307978778989</v>
      </c>
      <c r="FT179" s="22">
        <f t="shared" si="184"/>
        <v>147.69150684089198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1044.8489865007516</v>
      </c>
      <c r="S180" s="59">
        <f ca="1">AVERAGE(OFFSET($R$3,0,0,'Données projet'!$E$9+1,1))-AVERAGE(OFFSET($H$3,0,0,'Données projet'!$E$9+1,1))</f>
        <v>681.47578137804555</v>
      </c>
      <c r="T180" s="59">
        <f t="shared" si="142"/>
        <v>300.88511065995885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394.38516000000089</v>
      </c>
      <c r="AK180" s="13">
        <f t="shared" si="164"/>
        <v>90.637407722136572</v>
      </c>
      <c r="AL180" s="20">
        <f t="shared" si="165"/>
        <v>844.74763878272279</v>
      </c>
      <c r="AM180" s="59">
        <f t="shared" si="113"/>
        <v>1133.9411252056179</v>
      </c>
      <c r="AN180" s="59">
        <f ca="1">AVERAGE(OFFSET($AM$3,0,0,'Données projet'!$E$10+1,1))-AVERAGE(OFFSET($H$3,0,0,'Données projet'!$E$10+1,1))</f>
        <v>752.45542076695506</v>
      </c>
      <c r="AO180" s="59">
        <f t="shared" si="144"/>
        <v>329.70629768420724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127.73796761205486</v>
      </c>
      <c r="AV180" s="21">
        <f>EXP(-LN(2)/25)*AV179+(1-EXP(-LN(2)/25))/(LN(2)/25)*Calculateur!AQ180*Calculateur!AS180*VLOOKUP('Données projet'!$B$10,Paramètres!$A$1:$I$89,3,0)*0.475*44/12</f>
        <v>26.371701504829375</v>
      </c>
      <c r="AW180" s="21">
        <f>EXP(-LN(2)/2)*AW179+(1-EXP(-LN(2)/2))/(LN(2)/2)*AQ180*AT180*VLOOKUP('Données projet'!$B$10,Paramètres!$A$1:$I$89,3,0)*0.475*44/12</f>
        <v>10.213772939712136</v>
      </c>
      <c r="AX180" s="21">
        <f t="shared" si="166"/>
        <v>164.32344205659635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370.11530400000083</v>
      </c>
      <c r="BF180" s="13">
        <f t="shared" si="167"/>
        <v>85.690894490175097</v>
      </c>
      <c r="BG180" s="20">
        <f t="shared" si="168"/>
        <v>793.86246237038984</v>
      </c>
      <c r="BH180" s="59">
        <f t="shared" si="116"/>
        <v>1083.0559487932851</v>
      </c>
      <c r="BI180" s="59">
        <f ca="1">AVERAGE(OFFSET($BH$3,0,0,'Données projet'!$E$11+1,1))-AVERAGE(OFFSET($H$3,0,0,'Données projet'!$E$11+1,1))</f>
        <v>711.91538686535682</v>
      </c>
      <c r="BJ180" s="59">
        <f t="shared" si="146"/>
        <v>313.24593837351722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119.87716960515914</v>
      </c>
      <c r="BQ180" s="21">
        <f>EXP(-LN(2)/25)*BQ179+(1-EXP(-LN(2)/25))/(LN(2)/25)*Calculateur!BL180*Calculateur!BN180*VLOOKUP('Données projet'!$B$11,Paramètres!$A$1:$I$89,3,0)*0.475*44/12</f>
        <v>24.748827566070627</v>
      </c>
      <c r="BR180" s="21">
        <f>EXP(-LN(2)/2)*BR179+(1-EXP(-LN(2)/2))/(LN(2)/2)*BL180*BO180*VLOOKUP('Données projet'!$B$11,Paramètres!$A$1:$I$89,3,0)*0.475*44/12</f>
        <v>9.5852330664990806</v>
      </c>
      <c r="BS180" s="22">
        <f t="shared" si="169"/>
        <v>154.21123023772884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6.140000000000005</v>
      </c>
      <c r="BX180" s="12">
        <f t="array" ref="BX180">INDEX(BW:BW,MIN(IF(ISNUMBER(BW180:BW376),ROW(BW180:BW376),"")))</f>
        <v>6.140000000000005</v>
      </c>
      <c r="BY180" s="12">
        <f>IF('Données projet'!$A$114&gt;35,BY179+BX180-CG179,IF(A180&lt;'Données projet'!$A$114,$BV$205^A180,IF(A180='Données projet'!$A$114,'Données projet'!$B$114,BY179+BX180-CG179)))</f>
        <v>388.94000000000085</v>
      </c>
      <c r="BZ180" s="13">
        <f>BY180*VLOOKUP('Données projet'!$B$12,Paramètres!$A$1:$I$89,3,0)*VLOOKUP('Données projet'!$B$12,Paramètres!$A$1:$I$89,5,0)</f>
        <v>376.18276800000086</v>
      </c>
      <c r="CA180" s="13">
        <f t="shared" si="170"/>
        <v>86.930971053008207</v>
      </c>
      <c r="CB180" s="20">
        <f t="shared" si="171"/>
        <v>806.58976218399073</v>
      </c>
      <c r="CC180" s="59">
        <f t="shared" si="119"/>
        <v>1095.783248606886</v>
      </c>
      <c r="CD180" s="59">
        <f ca="1">AVERAGE(OFFSET($CC$3,0,0,'Données projet'!$E$12+1,1))-AVERAGE(OFFSET($H$3,0,0,'Données projet'!$E$12+1,1))</f>
        <v>722.05521609092671</v>
      </c>
      <c r="CE180" s="59">
        <f t="shared" si="148"/>
        <v>317.36319714884644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128.66000000000003</v>
      </c>
      <c r="CH180" s="16">
        <f>IF(ISNA(VLOOKUP(A180,'Données projet'!$A$113:$I$133,5,0)),0%,VLOOKUP(A180,'Données projet'!$A$113:$I$133,5,0)*VLOOKUP('Données projet'!$B$12,Paramètres!$A$1:$I$89,7,0))</f>
        <v>0.19350000000000001</v>
      </c>
      <c r="CI180" s="16">
        <f>IF(ISNA(VLOOKUP(A180,'Données projet'!$A$113:$I$133,6,0)),0%,VLOOKUP(A180,'Données projet'!$A$113:$I$133,6,0)*VLOOKUP('Données projet'!$B$12,Paramètres!$A$1:$I$89,7,0))</f>
        <v>2.1500000000000002E-2</v>
      </c>
      <c r="CJ180" s="16">
        <f>IF(ISNA(VLOOKUP(A180,'Données projet'!$A$113:$I$133,7,0)),0%,VLOOKUP(A180,'Données projet'!$A$113:$I$133,7,0))</f>
        <v>0.05</v>
      </c>
      <c r="CK180" s="21">
        <f>EXP(-LN(2)/35)*CK179+(1-EXP(-LN(2)/35))/(LN(2)/35)*CG180*CH180*VLOOKUP('Données projet'!$B$12,Paramètres!$A$1:$I$89,3,0)*0.475*44/12</f>
        <v>121.84236910688308</v>
      </c>
      <c r="CL180" s="21">
        <f>EXP(-LN(2)/25)*CL179+(1-EXP(-LN(2)/25))/(LN(2)/25)*Calculateur!CG180*Calculateur!CI180*VLOOKUP('Données projet'!$B$12,Paramètres!$A$1:$I$89,3,0)*0.475*44/12</f>
        <v>25.154546050760317</v>
      </c>
      <c r="CM180" s="21">
        <f>EXP(-LN(2)/2)*CM179+(1-EXP(-LN(2)/2))/(LN(2)/2)*CG180*CJ180*VLOOKUP('Données projet'!$B$12,Paramètres!$A$1:$I$89,3,0)*0.475*44/12</f>
        <v>9.7423680348023431</v>
      </c>
      <c r="CN180" s="22">
        <f t="shared" si="172"/>
        <v>156.73928319244575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388.94</v>
      </c>
      <c r="CR180" s="12">
        <f>VLOOKUP(A180,'Données projet'!$A$139:$I$159,9,0)</f>
        <v>6.140000000000005</v>
      </c>
      <c r="CS180" s="12">
        <f t="array" ref="CS180">INDEX(CR:CR,MIN(IF(ISNUMBER(CR180:CR376),ROW(CR180:CR376),"")))</f>
        <v>6.140000000000005</v>
      </c>
      <c r="CT180" s="12">
        <f>IF('Données projet'!$A$140&gt;35,CT179+CS180-DB179,IF(A180&lt;'Données projet'!$A$140,$CQ$205^A180,IF(A180='Données projet'!$A$140,'Données projet'!$B$140,CT179+CS180-DB179)))</f>
        <v>388.94000000000085</v>
      </c>
      <c r="CU180" s="17">
        <f>CT180*VLOOKUP('Données projet'!$B$13,Paramètres!$A$1:$I$89,3,0)*VLOOKUP('Données projet'!$B$13,Paramètres!$A$1:$I$89,5,0)</f>
        <v>418.6550160000009</v>
      </c>
      <c r="CV180" s="13">
        <f t="shared" si="173"/>
        <v>95.548591765353734</v>
      </c>
      <c r="CW180" s="20">
        <f t="shared" si="174"/>
        <v>895.57128352465918</v>
      </c>
      <c r="CX180" s="59">
        <f t="shared" si="122"/>
        <v>1184.7647699475544</v>
      </c>
      <c r="CY180" s="59">
        <f ca="1">AVERAGE(OFFSET($CX$3,0,0,'Données projet'!$E$13+1,1))-AVERAGE(OFFSET($H$3,0,0,'Données projet'!$E$13+1,1))</f>
        <v>792.94606354161886</v>
      </c>
      <c r="CZ180" s="59">
        <f t="shared" si="150"/>
        <v>346.14443498270919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128.66000000000003</v>
      </c>
      <c r="DC180" s="16">
        <f>IF(ISNA(VLOOKUP(A180,'Données projet'!$A$139:$I$159,5,0)),0%,VLOOKUP(A180,'Données projet'!$A$139:$I$159,5,0)*VLOOKUP('Données projet'!$B$13,Paramètres!$A$1:$I$89,7,0))</f>
        <v>0.19350000000000001</v>
      </c>
      <c r="DD180" s="16">
        <f>IF(ISNA(VLOOKUP(A180,'Données projet'!$A$139:$I$159,6,0)),0%,VLOOKUP(A180,'Données projet'!$A$139:$I$159,6,0)*VLOOKUP('Données projet'!$B$13,Paramètres!$A$1:$I$89,7,0))</f>
        <v>2.1500000000000002E-2</v>
      </c>
      <c r="DE180" s="16">
        <f>IF(ISNA(VLOOKUP(A180,'Données projet'!$A$139:$I$159,7,0)),0%,VLOOKUP(A180,'Données projet'!$A$139:$I$159,7,0))</f>
        <v>0.05</v>
      </c>
      <c r="DF180" s="21">
        <f>EXP(-LN(2)/35)*DF179+(1-EXP(-LN(2)/35))/(LN(2)/35)*DB180*DC180*VLOOKUP('Données projet'!$B$13,Paramètres!$A$1:$I$89,3,0)*0.475*44/12</f>
        <v>135.59876561895049</v>
      </c>
      <c r="DG180" s="21">
        <f>EXP(-LN(2)/25)*DG179+(1-EXP(-LN(2)/25))/(LN(2)/25)*Calculateur!DB180*Calculateur!DD180*VLOOKUP('Données projet'!$B$13,Paramètres!$A$1:$I$89,3,0)*0.475*44/12</f>
        <v>27.994575443588097</v>
      </c>
      <c r="DH180" s="21">
        <f>EXP(-LN(2)/2)*DH179+(1-EXP(-LN(2)/2))/(LN(2)/2)*DB180*DE180*VLOOKUP('Données projet'!$B$13,Paramètres!$A$1:$I$89,3,0)*0.475*44/12</f>
        <v>10.842312812925186</v>
      </c>
      <c r="DI180" s="22">
        <f t="shared" si="175"/>
        <v>174.4356538754638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269.21114382490202</v>
      </c>
      <c r="DU180" s="59">
        <f t="shared" si="152"/>
        <v>233.07776944102309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1.9306973581148352</v>
      </c>
      <c r="EB180" s="21">
        <f>EXP(-LN(2)/25)*EB179+(1-EXP(-LN(2)/25))/(LN(2)/25)*Calculateur!DW180*Calculateur!DY180*VLOOKUP('Données projet'!$B$14,Paramètres!$A$1:$I$89,3,0)*0.475*44/12</f>
        <v>5.7235369110078524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7.6542342691226875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>
        <f>VLOOKUP(A180,'Données projet'!$A$217:$I$237,2,0)</f>
        <v>388.94</v>
      </c>
      <c r="FC180" s="12">
        <f>VLOOKUP(A180,'Données projet'!$A$217:$I$237,9,0)</f>
        <v>6.140000000000005</v>
      </c>
      <c r="FD180" s="12">
        <f t="array" ref="FD180">INDEX(FC:FC,MIN(IF(ISNUMBER(FC180:FC376),ROW(FC180:FC376),"")))</f>
        <v>6.140000000000005</v>
      </c>
      <c r="FE180" s="12">
        <f>IF('Données projet'!$A$218&gt;35,FE179+FD180-FM179,IF(A180&lt;'Données projet'!$A$218,$FB$205^A180,IF(A180='Données projet'!$A$218,'Données projet'!$B$218,FE179+FD180-FM179)))</f>
        <v>388.94000000000085</v>
      </c>
      <c r="FF180" s="17">
        <f>FE180*VLOOKUP('Données projet'!$B$16,Paramètres!$A$1:$I$89,3,0)*VLOOKUP('Données projet'!$B$16,Paramètres!$A$1:$I$89,5,0)</f>
        <v>442.92487200000096</v>
      </c>
      <c r="FG180" s="13">
        <f t="shared" si="182"/>
        <v>100.4267280150592</v>
      </c>
      <c r="FH180" s="20">
        <f t="shared" si="183"/>
        <v>946.33737002622991</v>
      </c>
      <c r="FI180" s="59">
        <f t="shared" si="131"/>
        <v>1235.5308564491252</v>
      </c>
      <c r="FJ180" s="59">
        <f ca="1">AVERAGE(OFFSET($FI$3,0,0,'Données projet'!$E$16+1,1))-AVERAGE(OFFSET($H$3,0,0,'Données projet'!$E$16+1,1))</f>
        <v>833.39050463936144</v>
      </c>
      <c r="FK180" s="59">
        <f t="shared" si="156"/>
        <v>362.56178526355507</v>
      </c>
      <c r="FL180" s="15">
        <f>IF(ISNA(VLOOKUP(A180,'Données projet'!$A$217:$I$237,3,0)),0,VLOOKUP(A180,'Données projet'!$A$217:$I$237,3,0))</f>
        <v>16</v>
      </c>
      <c r="FM180" s="15">
        <f>IF(ISNA(VLOOKUP(A180,'Données projet'!$A$217:$I$237,4,0)),0,VLOOKUP(A180,'Données projet'!$A$217:$I$237,4,0))</f>
        <v>128.66000000000003</v>
      </c>
      <c r="FN180" s="16">
        <f>IF(ISNA(VLOOKUP(A180,'Données projet'!$A$217:$I$237,5,0)),0%,VLOOKUP(A180,'Données projet'!$A$217:$I$237,5,0)*VLOOKUP('Données projet'!$B$16,Paramètres!$A$1:$I$89,7,0))</f>
        <v>0.19350000000000001</v>
      </c>
      <c r="FO180" s="16">
        <f>IF(ISNA(VLOOKUP(A180,'Données projet'!$A$217:$I$237,6,0)),0%,VLOOKUP(A180,'Données projet'!$A$217:$I$237,6,0)*VLOOKUP('Données projet'!$B$16,Paramètres!$A$1:$I$89,7,0))</f>
        <v>2.1500000000000002E-2</v>
      </c>
      <c r="FP180" s="16">
        <f>IF(ISNA(VLOOKUP(A180,'Données projet'!$A$217:$I$237,7,0)),0%,VLOOKUP(A180,'Données projet'!$A$217:$I$237,7,0))</f>
        <v>0.05</v>
      </c>
      <c r="FQ180" s="21">
        <f>EXP(-LN(2)/35)*FQ179+(1-EXP(-LN(2)/35))/(LN(2)/35)*FM180*FN180*VLOOKUP('Données projet'!$B$16,Paramètres!$A$1:$I$89,3,0)*0.475*44/12</f>
        <v>143.45956362584619</v>
      </c>
      <c r="FR180" s="21">
        <f>EXP(-LN(2)/25)*FR179+(1-EXP(-LN(2)/25))/(LN(2)/25)*Calculateur!FM180*Calculateur!FO180*VLOOKUP('Données projet'!$B$16,Paramètres!$A$1:$I$89,3,0)*0.475*44/12</f>
        <v>29.617449382346834</v>
      </c>
      <c r="FS180" s="21">
        <f>EXP(-LN(2)/2)*FS179+(1-EXP(-LN(2)/2))/(LN(2)/2)*FM180*FP180*VLOOKUP('Données projet'!$B$16,Paramètres!$A$1:$I$89,3,0)*0.475*44/12</f>
        <v>11.470852686138244</v>
      </c>
      <c r="FT180" s="22">
        <f t="shared" si="184"/>
        <v>184.54786569433128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806.7265209073995</v>
      </c>
      <c r="S181" s="59">
        <f ca="1">AVERAGE(OFFSET($R$3,0,0,'Données projet'!$E$9+1,1))-AVERAGE(OFFSET($H$3,0,0,'Données projet'!$E$9+1,1))</f>
        <v>681.47578137804555</v>
      </c>
      <c r="T181" s="59">
        <f t="shared" si="142"/>
        <v>300.88511065995885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267.73656000000085</v>
      </c>
      <c r="AK181" s="13">
        <f t="shared" si="164"/>
        <v>64.368675094258279</v>
      </c>
      <c r="AL181" s="20">
        <f t="shared" si="165"/>
        <v>578.41661778916796</v>
      </c>
      <c r="AM181" s="59">
        <f t="shared" si="113"/>
        <v>867.68192130064813</v>
      </c>
      <c r="AN181" s="59">
        <f ca="1">AVERAGE(OFFSET($AM$3,0,0,'Données projet'!$E$10+1,1))-AVERAGE(OFFSET($H$3,0,0,'Données projet'!$E$10+1,1))</f>
        <v>752.45542076695506</v>
      </c>
      <c r="AO181" s="59">
        <f t="shared" si="144"/>
        <v>329.70629768420724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125.23310397964948</v>
      </c>
      <c r="AV181" s="21">
        <f>EXP(-LN(2)/25)*AV180+(1-EXP(-LN(2)/25))/(LN(2)/25)*Calculateur!AQ181*Calculateur!AS181*VLOOKUP('Données projet'!$B$10,Paramètres!$A$1:$I$89,3,0)*0.475*44/12</f>
        <v>25.650565940352308</v>
      </c>
      <c r="AW181" s="21">
        <f>EXP(-LN(2)/2)*AW180+(1-EXP(-LN(2)/2))/(LN(2)/2)*AQ181*AT181*VLOOKUP('Données projet'!$B$10,Paramètres!$A$1:$I$89,3,0)*0.475*44/12</f>
        <v>7.2222281071701104</v>
      </c>
      <c r="AX181" s="21">
        <f t="shared" si="166"/>
        <v>158.10589802717192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251.26046400000078</v>
      </c>
      <c r="BF181" s="13">
        <f t="shared" si="167"/>
        <v>60.855771194207591</v>
      </c>
      <c r="BG181" s="20">
        <f t="shared" si="168"/>
        <v>543.60244296324618</v>
      </c>
      <c r="BH181" s="59">
        <f t="shared" si="116"/>
        <v>832.86774647472635</v>
      </c>
      <c r="BI181" s="59">
        <f ca="1">AVERAGE(OFFSET($BH$3,0,0,'Données projet'!$E$11+1,1))-AVERAGE(OFFSET($H$3,0,0,'Données projet'!$E$11+1,1))</f>
        <v>711.91538686535682</v>
      </c>
      <c r="BJ181" s="59">
        <f t="shared" si="146"/>
        <v>313.24593837351722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117.52645142705563</v>
      </c>
      <c r="BQ181" s="21">
        <f>EXP(-LN(2)/25)*BQ180+(1-EXP(-LN(2)/25))/(LN(2)/25)*Calculateur!BL181*Calculateur!BN181*VLOOKUP('Données projet'!$B$11,Paramètres!$A$1:$I$89,3,0)*0.475*44/12</f>
        <v>24.072069574792149</v>
      </c>
      <c r="BR181" s="21">
        <f>EXP(-LN(2)/2)*BR180+(1-EXP(-LN(2)/2))/(LN(2)/2)*BL181*BO181*VLOOKUP('Données projet'!$B$11,Paramètres!$A$1:$I$89,3,0)*0.475*44/12</f>
        <v>6.7777833005750256</v>
      </c>
      <c r="BS181" s="22">
        <f t="shared" si="169"/>
        <v>148.37630430242282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3.76000000000001</v>
      </c>
      <c r="BY181" s="12">
        <f>IF('Données projet'!$A$114&gt;35,BY180+BX181-CG180,IF(A181&lt;'Données projet'!$A$114,$BV$205^A181,IF(A181='Données projet'!$A$114,'Données projet'!$B$114,BY180+BX181-CG180)))</f>
        <v>264.04000000000082</v>
      </c>
      <c r="BZ181" s="13">
        <f>BY181*VLOOKUP('Données projet'!$B$12,Paramètres!$A$1:$I$89,3,0)*VLOOKUP('Données projet'!$B$12,Paramètres!$A$1:$I$89,5,0)</f>
        <v>255.3794880000008</v>
      </c>
      <c r="CA181" s="13">
        <f t="shared" si="170"/>
        <v>61.736446043268934</v>
      </c>
      <c r="CB181" s="20">
        <f t="shared" si="171"/>
        <v>552.31025179202811</v>
      </c>
      <c r="CC181" s="59">
        <f t="shared" si="119"/>
        <v>841.57555530350828</v>
      </c>
      <c r="CD181" s="59">
        <f ca="1">AVERAGE(OFFSET($CC$3,0,0,'Données projet'!$E$12+1,1))-AVERAGE(OFFSET($H$3,0,0,'Données projet'!$E$12+1,1))</f>
        <v>722.05521609092671</v>
      </c>
      <c r="CE181" s="59">
        <f t="shared" si="148"/>
        <v>317.36319714884644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119.45311456520412</v>
      </c>
      <c r="CL181" s="21">
        <f>EXP(-LN(2)/25)*CL180+(1-EXP(-LN(2)/25))/(LN(2)/25)*Calculateur!CG181*Calculateur!CI181*VLOOKUP('Données projet'!$B$12,Paramètres!$A$1:$I$89,3,0)*0.475*44/12</f>
        <v>24.466693666182191</v>
      </c>
      <c r="CM181" s="21">
        <f>EXP(-LN(2)/2)*CM180+(1-EXP(-LN(2)/2))/(LN(2)/2)*CG181*CJ181*VLOOKUP('Données projet'!$B$12,Paramètres!$A$1:$I$89,3,0)*0.475*44/12</f>
        <v>6.8888945022237955</v>
      </c>
      <c r="CN181" s="22">
        <f t="shared" si="172"/>
        <v>150.80870273361009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3.76000000000001</v>
      </c>
      <c r="CT181" s="12">
        <f>IF('Données projet'!$A$140&gt;35,CT180+CS181-DB180,IF(A181&lt;'Données projet'!$A$140,$CQ$205^A181,IF(A181='Données projet'!$A$140,'Données projet'!$B$140,CT180+CS181-DB180)))</f>
        <v>264.04000000000082</v>
      </c>
      <c r="CU181" s="17">
        <f>CT181*VLOOKUP('Données projet'!$B$13,Paramètres!$A$1:$I$89,3,0)*VLOOKUP('Données projet'!$B$13,Paramètres!$A$1:$I$89,5,0)</f>
        <v>284.21265600000083</v>
      </c>
      <c r="CV181" s="13">
        <f t="shared" si="173"/>
        <v>67.856488988661411</v>
      </c>
      <c r="CW181" s="20">
        <f t="shared" si="174"/>
        <v>613.18709418858668</v>
      </c>
      <c r="CX181" s="59">
        <f t="shared" si="122"/>
        <v>902.45239770006685</v>
      </c>
      <c r="CY181" s="59">
        <f ca="1">AVERAGE(OFFSET($CX$3,0,0,'Données projet'!$E$13+1,1))-AVERAGE(OFFSET($H$3,0,0,'Données projet'!$E$13+1,1))</f>
        <v>792.94606354161886</v>
      </c>
      <c r="CZ181" s="59">
        <f t="shared" si="150"/>
        <v>346.14443498270919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132.93975653224325</v>
      </c>
      <c r="DG181" s="21">
        <f>EXP(-LN(2)/25)*DG180+(1-EXP(-LN(2)/25))/(LN(2)/25)*Calculateur!DB181*Calculateur!DD181*VLOOKUP('Données projet'!$B$13,Paramètres!$A$1:$I$89,3,0)*0.475*44/12</f>
        <v>27.229062305912439</v>
      </c>
      <c r="DH181" s="21">
        <f>EXP(-LN(2)/2)*DH180+(1-EXP(-LN(2)/2))/(LN(2)/2)*DB181*DE181*VLOOKUP('Données projet'!$B$13,Paramètres!$A$1:$I$89,3,0)*0.475*44/12</f>
        <v>7.6666729137651908</v>
      </c>
      <c r="DI181" s="22">
        <f t="shared" si="175"/>
        <v>167.83549175192087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269.21114382490202</v>
      </c>
      <c r="DU181" s="59">
        <f t="shared" si="152"/>
        <v>233.07776944102309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1.8928375605313126</v>
      </c>
      <c r="EB181" s="21">
        <f>EXP(-LN(2)/25)*EB180+(1-EXP(-LN(2)/25))/(LN(2)/25)*Calculateur!DW181*Calculateur!DY181*VLOOKUP('Données projet'!$B$14,Paramètres!$A$1:$I$89,3,0)*0.475*44/12</f>
        <v>5.5670264931886182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7.4598640537199312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3.76000000000001</v>
      </c>
      <c r="FE181" s="12">
        <f>IF('Données projet'!$A$218&gt;35,FE180+FD181-FM180,IF(A181&lt;'Données projet'!$A$218,$FB$205^A181,IF(A181='Données projet'!$A$218,'Données projet'!$B$218,FE180+FD181-FM180)))</f>
        <v>264.04000000000082</v>
      </c>
      <c r="FF181" s="17">
        <f>FE181*VLOOKUP('Données projet'!$B$16,Paramètres!$A$1:$I$89,3,0)*VLOOKUP('Données projet'!$B$16,Paramètres!$A$1:$I$89,5,0)</f>
        <v>300.68875200000093</v>
      </c>
      <c r="FG181" s="13">
        <f t="shared" si="182"/>
        <v>71.320833073671324</v>
      </c>
      <c r="FH181" s="20">
        <f t="shared" si="183"/>
        <v>647.9166940033125</v>
      </c>
      <c r="FI181" s="59">
        <f t="shared" si="131"/>
        <v>937.18199751479267</v>
      </c>
      <c r="FJ181" s="59">
        <f ca="1">AVERAGE(OFFSET($FI$3,0,0,'Données projet'!$E$16+1,1))-AVERAGE(OFFSET($H$3,0,0,'Données projet'!$E$16+1,1))</f>
        <v>833.39050463936144</v>
      </c>
      <c r="FK181" s="59">
        <f t="shared" si="156"/>
        <v>362.56178526355507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140.64640908483707</v>
      </c>
      <c r="FR181" s="21">
        <f>EXP(-LN(2)/25)*FR180+(1-EXP(-LN(2)/25))/(LN(2)/25)*Calculateur!FM181*Calculateur!FO181*VLOOKUP('Données projet'!$B$16,Paramètres!$A$1:$I$89,3,0)*0.475*44/12</f>
        <v>28.807558671472588</v>
      </c>
      <c r="FS181" s="21">
        <f>EXP(-LN(2)/2)*FS180+(1-EXP(-LN(2)/2))/(LN(2)/2)*FM181*FP181*VLOOKUP('Données projet'!$B$16,Paramètres!$A$1:$I$89,3,0)*0.475*44/12</f>
        <v>8.1111177203602765</v>
      </c>
      <c r="FT181" s="22">
        <f t="shared" si="184"/>
        <v>177.56508547666994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813.99679679762676</v>
      </c>
      <c r="S182" s="59">
        <f ca="1">AVERAGE(OFFSET($R$3,0,0,'Données projet'!$E$9+1,1))-AVERAGE(OFFSET($H$3,0,0,'Données projet'!$E$9+1,1))</f>
        <v>681.47578137804555</v>
      </c>
      <c r="T182" s="59">
        <f t="shared" si="142"/>
        <v>300.88511065995885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271.54920000000084</v>
      </c>
      <c r="AK182" s="13">
        <f t="shared" si="164"/>
        <v>65.177939068610073</v>
      </c>
      <c r="AL182" s="20">
        <f t="shared" si="165"/>
        <v>586.46643387783058</v>
      </c>
      <c r="AM182" s="59">
        <f t="shared" si="113"/>
        <v>875.80230861196765</v>
      </c>
      <c r="AN182" s="59">
        <f ca="1">AVERAGE(OFFSET($AM$3,0,0,'Données projet'!$E$10+1,1))-AVERAGE(OFFSET($H$3,0,0,'Données projet'!$E$10+1,1))</f>
        <v>752.45542076695506</v>
      </c>
      <c r="AO182" s="59">
        <f t="shared" si="144"/>
        <v>329.70629768420724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122.77735919525963</v>
      </c>
      <c r="AV182" s="21">
        <f>EXP(-LN(2)/25)*AV181+(1-EXP(-LN(2)/25))/(LN(2)/25)*Calculateur!AQ182*Calculateur!AS182*VLOOKUP('Données projet'!$B$10,Paramètres!$A$1:$I$89,3,0)*0.475*44/12</f>
        <v>24.949149865808735</v>
      </c>
      <c r="AW182" s="21">
        <f>EXP(-LN(2)/2)*AW181+(1-EXP(-LN(2)/2))/(LN(2)/2)*AQ182*AT182*VLOOKUP('Données projet'!$B$10,Paramètres!$A$1:$I$89,3,0)*0.475*44/12</f>
        <v>5.106886469856069</v>
      </c>
      <c r="AX182" s="21">
        <f t="shared" si="166"/>
        <v>152.83339553092446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254.83848000000077</v>
      </c>
      <c r="BF182" s="13">
        <f t="shared" si="167"/>
        <v>61.620869795145929</v>
      </c>
      <c r="BG182" s="20">
        <f t="shared" si="168"/>
        <v>551.16670089321383</v>
      </c>
      <c r="BH182" s="59">
        <f t="shared" si="116"/>
        <v>840.50257562735101</v>
      </c>
      <c r="BI182" s="59">
        <f ca="1">AVERAGE(OFFSET($BH$3,0,0,'Données projet'!$E$11+1,1))-AVERAGE(OFFSET($H$3,0,0,'Données projet'!$E$11+1,1))</f>
        <v>711.91538686535682</v>
      </c>
      <c r="BJ182" s="59">
        <f t="shared" si="146"/>
        <v>313.24593837351722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115.22182939862823</v>
      </c>
      <c r="BQ182" s="21">
        <f>EXP(-LN(2)/25)*BQ181+(1-EXP(-LN(2)/25))/(LN(2)/25)*Calculateur!BL182*Calculateur!BN182*VLOOKUP('Données projet'!$B$11,Paramètres!$A$1:$I$89,3,0)*0.475*44/12</f>
        <v>23.413817566374338</v>
      </c>
      <c r="BR182" s="21">
        <f>EXP(-LN(2)/2)*BR181+(1-EXP(-LN(2)/2))/(LN(2)/2)*BL182*BO182*VLOOKUP('Données projet'!$B$11,Paramètres!$A$1:$I$89,3,0)*0.475*44/12</f>
        <v>4.7926165332495412</v>
      </c>
      <c r="BS182" s="22">
        <f t="shared" si="169"/>
        <v>143.42826349825211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3.76000000000001</v>
      </c>
      <c r="BY182" s="12">
        <f>IF('Données projet'!$A$114&gt;35,BY181+BX182-CG181,IF(A182&lt;'Données projet'!$A$114,$BV$205^A182,IF(A182='Données projet'!$A$114,'Données projet'!$B$114,BY181+BX182-CG181)))</f>
        <v>267.80000000000081</v>
      </c>
      <c r="BZ182" s="13">
        <f>BY182*VLOOKUP('Données projet'!$B$12,Paramètres!$A$1:$I$89,3,0)*VLOOKUP('Données projet'!$B$12,Paramètres!$A$1:$I$89,5,0)</f>
        <v>259.01616000000081</v>
      </c>
      <c r="CA182" s="13">
        <f t="shared" si="170"/>
        <v>62.512616775603782</v>
      </c>
      <c r="CB182" s="20">
        <f t="shared" si="171"/>
        <v>559.99595288417788</v>
      </c>
      <c r="CC182" s="59">
        <f t="shared" si="119"/>
        <v>849.33182761831495</v>
      </c>
      <c r="CD182" s="59">
        <f ca="1">AVERAGE(OFFSET($CC$3,0,0,'Données projet'!$E$12+1,1))-AVERAGE(OFFSET($H$3,0,0,'Données projet'!$E$12+1,1))</f>
        <v>722.05521609092671</v>
      </c>
      <c r="CE182" s="59">
        <f t="shared" si="148"/>
        <v>317.36319714884644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117.11071184778611</v>
      </c>
      <c r="CL182" s="21">
        <f>EXP(-LN(2)/25)*CL181+(1-EXP(-LN(2)/25))/(LN(2)/25)*Calculateur!CG182*Calculateur!CI182*VLOOKUP('Données projet'!$B$12,Paramètres!$A$1:$I$89,3,0)*0.475*44/12</f>
        <v>23.797650641232938</v>
      </c>
      <c r="CM182" s="21">
        <f>EXP(-LN(2)/2)*CM181+(1-EXP(-LN(2)/2))/(LN(2)/2)*CG182*CJ182*VLOOKUP('Données projet'!$B$12,Paramètres!$A$1:$I$89,3,0)*0.475*44/12</f>
        <v>4.8711840174011716</v>
      </c>
      <c r="CN182" s="22">
        <f t="shared" si="172"/>
        <v>145.77954650642022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3.76000000000001</v>
      </c>
      <c r="CT182" s="12">
        <f>IF('Données projet'!$A$140&gt;35,CT181+CS182-DB181,IF(A182&lt;'Données projet'!$A$140,$CQ$205^A182,IF(A182='Données projet'!$A$140,'Données projet'!$B$140,CT181+CS182-DB181)))</f>
        <v>267.80000000000081</v>
      </c>
      <c r="CU182" s="17">
        <f>CT182*VLOOKUP('Données projet'!$B$13,Paramètres!$A$1:$I$89,3,0)*VLOOKUP('Données projet'!$B$13,Paramètres!$A$1:$I$89,5,0)</f>
        <v>288.25992000000088</v>
      </c>
      <c r="CV182" s="13">
        <f t="shared" si="173"/>
        <v>68.709602896693767</v>
      </c>
      <c r="CW182" s="20">
        <f t="shared" si="174"/>
        <v>621.72191904507645</v>
      </c>
      <c r="CX182" s="59">
        <f t="shared" si="122"/>
        <v>911.05779377921363</v>
      </c>
      <c r="CY182" s="59">
        <f ca="1">AVERAGE(OFFSET($CX$3,0,0,'Données projet'!$E$13+1,1))-AVERAGE(OFFSET($H$3,0,0,'Données projet'!$E$13+1,1))</f>
        <v>792.94606354161886</v>
      </c>
      <c r="CZ182" s="59">
        <f t="shared" si="150"/>
        <v>346.14443498270919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130.33288899189094</v>
      </c>
      <c r="DG182" s="21">
        <f>EXP(-LN(2)/25)*DG181+(1-EXP(-LN(2)/25))/(LN(2)/25)*Calculateur!DB182*Calculateur!DD182*VLOOKUP('Données projet'!$B$13,Paramètres!$A$1:$I$89,3,0)*0.475*44/12</f>
        <v>26.484482165243111</v>
      </c>
      <c r="DH182" s="21">
        <f>EXP(-LN(2)/2)*DH181+(1-EXP(-LN(2)/2))/(LN(2)/2)*DB182*DE182*VLOOKUP('Données projet'!$B$13,Paramètres!$A$1:$I$89,3,0)*0.475*44/12</f>
        <v>5.4211564064625941</v>
      </c>
      <c r="DI182" s="22">
        <f t="shared" si="175"/>
        <v>162.23852756359665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269.21114382490202</v>
      </c>
      <c r="DU182" s="59">
        <f t="shared" si="152"/>
        <v>233.07776944102309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1.8557201704862063</v>
      </c>
      <c r="EB182" s="21">
        <f>EXP(-LN(2)/25)*EB181+(1-EXP(-LN(2)/25))/(LN(2)/25)*Calculateur!DW182*Calculateur!DY182*VLOOKUP('Données projet'!$B$14,Paramètres!$A$1:$I$89,3,0)*0.475*44/12</f>
        <v>5.4147958609751754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7.2705160314613817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3.76000000000001</v>
      </c>
      <c r="FE182" s="12">
        <f>IF('Données projet'!$A$218&gt;35,FE181+FD182-FM181,IF(A182&lt;'Données projet'!$A$218,$FB$205^A182,IF(A182='Données projet'!$A$218,'Données projet'!$B$218,FE181+FD182-FM181)))</f>
        <v>267.80000000000081</v>
      </c>
      <c r="FF182" s="17">
        <f>FE182*VLOOKUP('Données projet'!$B$16,Paramètres!$A$1:$I$89,3,0)*VLOOKUP('Données projet'!$B$16,Paramètres!$A$1:$I$89,5,0)</f>
        <v>304.97064000000097</v>
      </c>
      <c r="FG182" s="13">
        <f t="shared" si="182"/>
        <v>72.217501845286733</v>
      </c>
      <c r="FH182" s="20">
        <f t="shared" si="183"/>
        <v>656.93601371387604</v>
      </c>
      <c r="FI182" s="59">
        <f t="shared" si="131"/>
        <v>946.27188844801321</v>
      </c>
      <c r="FJ182" s="59">
        <f ca="1">AVERAGE(OFFSET($FI$3,0,0,'Données projet'!$E$16+1,1))-AVERAGE(OFFSET($H$3,0,0,'Données projet'!$E$16+1,1))</f>
        <v>833.39050463936144</v>
      </c>
      <c r="FK182" s="59">
        <f t="shared" si="156"/>
        <v>362.56178526355507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137.8884187885223</v>
      </c>
      <c r="FR182" s="21">
        <f>EXP(-LN(2)/25)*FR181+(1-EXP(-LN(2)/25))/(LN(2)/25)*Calculateur!FM182*Calculateur!FO182*VLOOKUP('Données projet'!$B$16,Paramètres!$A$1:$I$89,3,0)*0.475*44/12</f>
        <v>28.019814464677498</v>
      </c>
      <c r="FS182" s="21">
        <f>EXP(-LN(2)/2)*FS181+(1-EXP(-LN(2)/2))/(LN(2)/2)*FM182*FP182*VLOOKUP('Données projet'!$B$16,Paramètres!$A$1:$I$89,3,0)*0.475*44/12</f>
        <v>5.7354263430691228</v>
      </c>
      <c r="FT182" s="22">
        <f t="shared" si="184"/>
        <v>171.64365959626892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821.26376720295116</v>
      </c>
      <c r="S183" s="59">
        <f ca="1">AVERAGE(OFFSET($R$3,0,0,'Données projet'!$E$9+1,1))-AVERAGE(OFFSET($H$3,0,0,'Données projet'!$E$9+1,1))</f>
        <v>681.47578137804555</v>
      </c>
      <c r="T183" s="59">
        <f t="shared" si="142"/>
        <v>300.88511065995885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275.36184000000083</v>
      </c>
      <c r="AK183" s="13">
        <f t="shared" si="164"/>
        <v>65.985881501741488</v>
      </c>
      <c r="AL183" s="20">
        <f t="shared" si="165"/>
        <v>594.51394828220111</v>
      </c>
      <c r="AM183" s="59">
        <f t="shared" si="113"/>
        <v>883.91916998605575</v>
      </c>
      <c r="AN183" s="59">
        <f ca="1">AVERAGE(OFFSET($AM$3,0,0,'Données projet'!$E$10+1,1))-AVERAGE(OFFSET($H$3,0,0,'Données projet'!$E$10+1,1))</f>
        <v>752.45542076695506</v>
      </c>
      <c r="AO183" s="59">
        <f t="shared" si="144"/>
        <v>329.70629768420724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139.23384465081122</v>
      </c>
      <c r="AV183" s="21">
        <f>EXP(-LN(2)/25)*AV182+(1-EXP(-LN(2)/25))/(LN(2)/25)*Calculateur!AQ183*Calculateur!AS183*VLOOKUP('Données projet'!$B$10,Paramètres!$A$1:$I$89,3,0)*0.475*44/12</f>
        <v>26.35466955439481</v>
      </c>
      <c r="AW183" s="21">
        <f>EXP(-LN(2)/2)*AW182+(1-EXP(-LN(2)/2))/(LN(2)/2)*AQ183*AT183*VLOOKUP('Données projet'!$B$10,Paramètres!$A$1:$I$89,3,0)*0.475*44/12</f>
        <v>7.771481816780847</v>
      </c>
      <c r="AX183" s="21">
        <f t="shared" si="166"/>
        <v>173.35999602198686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258.41649600000079</v>
      </c>
      <c r="BF183" s="13">
        <f t="shared" si="167"/>
        <v>62.384718977636233</v>
      </c>
      <c r="BG183" s="20">
        <f t="shared" si="168"/>
        <v>558.72878275271785</v>
      </c>
      <c r="BH183" s="59">
        <f t="shared" si="116"/>
        <v>848.13400445657248</v>
      </c>
      <c r="BI183" s="59">
        <f ca="1">AVERAGE(OFFSET($BH$3,0,0,'Données projet'!$E$11+1,1))-AVERAGE(OFFSET($H$3,0,0,'Données projet'!$E$11+1,1))</f>
        <v>711.91538686535682</v>
      </c>
      <c r="BJ183" s="59">
        <f t="shared" si="146"/>
        <v>313.24593837351722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130.66560805691512</v>
      </c>
      <c r="BQ183" s="21">
        <f>EXP(-LN(2)/25)*BQ182+(1-EXP(-LN(2)/25))/(LN(2)/25)*Calculateur!BL183*Calculateur!BN183*VLOOKUP('Données projet'!$B$11,Paramètres!$A$1:$I$89,3,0)*0.475*44/12</f>
        <v>24.732843735662808</v>
      </c>
      <c r="BR183" s="21">
        <f>EXP(-LN(2)/2)*BR182+(1-EXP(-LN(2)/2))/(LN(2)/2)*BL183*BO183*VLOOKUP('Données projet'!$B$11,Paramètres!$A$1:$I$89,3,0)*0.475*44/12</f>
        <v>7.2932367819020261</v>
      </c>
      <c r="BS183" s="22">
        <f t="shared" si="169"/>
        <v>162.69168857447997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3.76000000000001</v>
      </c>
      <c r="BX183" s="12">
        <f t="array" ref="BX183">INDEX(BW:BW,MIN(IF(ISNUMBER(BW183:BW379),ROW(BW183:BW379),"")))</f>
        <v>3.76000000000001</v>
      </c>
      <c r="BY183" s="12">
        <f>IF('Données projet'!$A$114&gt;35,BY182+BX183-CG182,IF(A183&lt;'Données projet'!$A$114,$BV$205^A183,IF(A183='Données projet'!$A$114,'Données projet'!$B$114,BY182+BX183-CG182)))</f>
        <v>271.5600000000008</v>
      </c>
      <c r="BZ183" s="13">
        <f>BY183*VLOOKUP('Données projet'!$B$12,Paramètres!$A$1:$I$89,3,0)*VLOOKUP('Données projet'!$B$12,Paramètres!$A$1:$I$89,5,0)</f>
        <v>262.65283200000079</v>
      </c>
      <c r="CA183" s="13">
        <f t="shared" si="170"/>
        <v>63.287520008520112</v>
      </c>
      <c r="CB183" s="20">
        <f t="shared" si="171"/>
        <v>567.67944641484053</v>
      </c>
      <c r="CC183" s="59">
        <f t="shared" si="119"/>
        <v>857.08466811869516</v>
      </c>
      <c r="CD183" s="59">
        <f ca="1">AVERAGE(OFFSET($CC$3,0,0,'Données projet'!$E$12+1,1))-AVERAGE(OFFSET($H$3,0,0,'Données projet'!$E$12+1,1))</f>
        <v>722.05521609092671</v>
      </c>
      <c r="CE183" s="59">
        <f t="shared" si="148"/>
        <v>317.36319714884644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86.97</v>
      </c>
      <c r="CH183" s="16">
        <f>IF(ISNA(VLOOKUP(A183,'Données projet'!$A$113:$I$133,5,0)),0%,VLOOKUP(A183,'Données projet'!$A$113:$I$133,5,0)*VLOOKUP('Données projet'!$B$12,Paramètres!$A$1:$I$89,7,0))</f>
        <v>0.19350000000000001</v>
      </c>
      <c r="CI183" s="16">
        <f>IF(ISNA(VLOOKUP(A183,'Données projet'!$A$113:$I$133,6,0)),0%,VLOOKUP(A183,'Données projet'!$A$113:$I$133,6,0)*VLOOKUP('Données projet'!$B$12,Paramètres!$A$1:$I$89,7,0))</f>
        <v>2.1500000000000002E-2</v>
      </c>
      <c r="CJ183" s="16">
        <f>IF(ISNA(VLOOKUP(A183,'Données projet'!$A$113:$I$133,7,0)),0%,VLOOKUP(A183,'Données projet'!$A$113:$I$133,7,0))</f>
        <v>0.05</v>
      </c>
      <c r="CK183" s="21">
        <f>EXP(-LN(2)/35)*CK182+(1-EXP(-LN(2)/35))/(LN(2)/35)*CG183*CH183*VLOOKUP('Données projet'!$B$12,Paramètres!$A$1:$I$89,3,0)*0.475*44/12</f>
        <v>132.80766720538918</v>
      </c>
      <c r="CL183" s="21">
        <f>EXP(-LN(2)/25)*CL182+(1-EXP(-LN(2)/25))/(LN(2)/25)*Calculateur!CG183*Calculateur!CI183*VLOOKUP('Données projet'!$B$12,Paramètres!$A$1:$I$89,3,0)*0.475*44/12</f>
        <v>25.138300190345809</v>
      </c>
      <c r="CM183" s="21">
        <f>EXP(-LN(2)/2)*CM182+(1-EXP(-LN(2)/2))/(LN(2)/2)*CG183*CJ183*VLOOKUP('Données projet'!$B$12,Paramètres!$A$1:$I$89,3,0)*0.475*44/12</f>
        <v>7.4127980406217304</v>
      </c>
      <c r="CN183" s="22">
        <f t="shared" si="172"/>
        <v>165.35876543635672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271.56</v>
      </c>
      <c r="CR183" s="12">
        <f>VLOOKUP(A183,'Données projet'!$A$139:$I$159,9,0)</f>
        <v>3.76000000000001</v>
      </c>
      <c r="CS183" s="12">
        <f t="array" ref="CS183">INDEX(CR:CR,MIN(IF(ISNUMBER(CR183:CR379),ROW(CR183:CR379),"")))</f>
        <v>3.76000000000001</v>
      </c>
      <c r="CT183" s="12">
        <f>IF('Données projet'!$A$140&gt;35,CT182+CS183-DB182,IF(A183&lt;'Données projet'!$A$140,$CQ$205^A183,IF(A183='Données projet'!$A$140,'Données projet'!$B$140,CT182+CS183-DB182)))</f>
        <v>271.5600000000008</v>
      </c>
      <c r="CU183" s="17">
        <f>CT183*VLOOKUP('Données projet'!$B$13,Paramètres!$A$1:$I$89,3,0)*VLOOKUP('Données projet'!$B$13,Paramètres!$A$1:$I$89,5,0)</f>
        <v>292.30718400000086</v>
      </c>
      <c r="CV183" s="13">
        <f t="shared" si="173"/>
        <v>69.561323655851353</v>
      </c>
      <c r="CW183" s="20">
        <f t="shared" si="174"/>
        <v>630.2543175006092</v>
      </c>
      <c r="CX183" s="59">
        <f t="shared" si="122"/>
        <v>919.65953920446384</v>
      </c>
      <c r="CY183" s="59">
        <f ca="1">AVERAGE(OFFSET($CX$3,0,0,'Données projet'!$E$13+1,1))-AVERAGE(OFFSET($H$3,0,0,'Données projet'!$E$13+1,1))</f>
        <v>792.94606354161886</v>
      </c>
      <c r="CZ183" s="59">
        <f t="shared" si="150"/>
        <v>346.14443498270919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86.97</v>
      </c>
      <c r="DC183" s="16">
        <f>IF(ISNA(VLOOKUP(A183,'Données projet'!$A$139:$I$159,5,0)),0%,VLOOKUP(A183,'Données projet'!$A$139:$I$159,5,0)*VLOOKUP('Données projet'!$B$13,Paramètres!$A$1:$I$89,7,0))</f>
        <v>0.19350000000000001</v>
      </c>
      <c r="DD183" s="16">
        <f>IF(ISNA(VLOOKUP(A183,'Données projet'!$A$139:$I$159,6,0)),0%,VLOOKUP(A183,'Données projet'!$A$139:$I$159,6,0)*VLOOKUP('Données projet'!$B$13,Paramètres!$A$1:$I$89,7,0))</f>
        <v>2.1500000000000002E-2</v>
      </c>
      <c r="DE183" s="16">
        <f>IF(ISNA(VLOOKUP(A183,'Données projet'!$A$139:$I$159,7,0)),0%,VLOOKUP(A183,'Données projet'!$A$139:$I$159,7,0))</f>
        <v>0.05</v>
      </c>
      <c r="DF183" s="21">
        <f>EXP(-LN(2)/35)*DF182+(1-EXP(-LN(2)/35))/(LN(2)/35)*DB183*DC183*VLOOKUP('Données projet'!$B$13,Paramètres!$A$1:$I$89,3,0)*0.475*44/12</f>
        <v>147.80208124470724</v>
      </c>
      <c r="DG183" s="21">
        <f>EXP(-LN(2)/25)*DG182+(1-EXP(-LN(2)/25))/(LN(2)/25)*Calculateur!DB183*Calculateur!DD183*VLOOKUP('Données projet'!$B$13,Paramètres!$A$1:$I$89,3,0)*0.475*44/12</f>
        <v>27.976495373126792</v>
      </c>
      <c r="DH183" s="21">
        <f>EXP(-LN(2)/2)*DH182+(1-EXP(-LN(2)/2))/(LN(2)/2)*DB183*DE183*VLOOKUP('Données projet'!$B$13,Paramètres!$A$1:$I$89,3,0)*0.475*44/12</f>
        <v>8.249726851659668</v>
      </c>
      <c r="DI183" s="22">
        <f t="shared" si="175"/>
        <v>184.02830346949369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269.21114382490202</v>
      </c>
      <c r="DU183" s="59">
        <f t="shared" si="152"/>
        <v>233.07776944102309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1.8193306298205121</v>
      </c>
      <c r="EB183" s="21">
        <f>EXP(-LN(2)/25)*EB182+(1-EXP(-LN(2)/25))/(LN(2)/25)*Calculateur!DW183*Calculateur!DY183*VLOOKUP('Données projet'!$B$14,Paramètres!$A$1:$I$89,3,0)*0.475*44/12</f>
        <v>5.2667279834050706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7.0860586132255827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>
        <f>VLOOKUP(A183,'Données projet'!$A$217:$I$237,2,0)</f>
        <v>271.56</v>
      </c>
      <c r="FC183" s="12">
        <f>VLOOKUP(A183,'Données projet'!$A$217:$I$237,9,0)</f>
        <v>3.76000000000001</v>
      </c>
      <c r="FD183" s="12">
        <f t="array" ref="FD183">INDEX(FC:FC,MIN(IF(ISNUMBER(FC183:FC379),ROW(FC183:FC379),"")))</f>
        <v>3.76000000000001</v>
      </c>
      <c r="FE183" s="12">
        <f>IF('Données projet'!$A$218&gt;35,FE182+FD183-FM182,IF(A183&lt;'Données projet'!$A$218,$FB$205^A183,IF(A183='Données projet'!$A$218,'Données projet'!$B$218,FE182+FD183-FM182)))</f>
        <v>271.5600000000008</v>
      </c>
      <c r="FF183" s="17">
        <f>FE183*VLOOKUP('Données projet'!$B$16,Paramètres!$A$1:$I$89,3,0)*VLOOKUP('Données projet'!$B$16,Paramètres!$A$1:$I$89,5,0)</f>
        <v>309.25252800000089</v>
      </c>
      <c r="FG183" s="13">
        <f t="shared" si="182"/>
        <v>73.112706342227469</v>
      </c>
      <c r="FH183" s="20">
        <f t="shared" si="183"/>
        <v>665.95278314604775</v>
      </c>
      <c r="FI183" s="59">
        <f t="shared" si="131"/>
        <v>955.35800484990239</v>
      </c>
      <c r="FJ183" s="59">
        <f ca="1">AVERAGE(OFFSET($FI$3,0,0,'Données projet'!$E$16+1,1))-AVERAGE(OFFSET($H$3,0,0,'Données projet'!$E$16+1,1))</f>
        <v>833.39050463936144</v>
      </c>
      <c r="FK183" s="59">
        <f t="shared" si="156"/>
        <v>362.56178526355507</v>
      </c>
      <c r="FL183" s="15">
        <f>IF(ISNA(VLOOKUP(A183,'Données projet'!$A$217:$I$237,3,0)),0,VLOOKUP(A183,'Données projet'!$A$217:$I$237,3,0))</f>
        <v>17</v>
      </c>
      <c r="FM183" s="15">
        <f>IF(ISNA(VLOOKUP(A183,'Données projet'!$A$217:$I$237,4,0)),0,VLOOKUP(A183,'Données projet'!$A$217:$I$237,4,0))</f>
        <v>86.97</v>
      </c>
      <c r="FN183" s="16">
        <f>IF(ISNA(VLOOKUP(A183,'Données projet'!$A$217:$I$237,5,0)),0%,VLOOKUP(A183,'Données projet'!$A$217:$I$237,5,0)*VLOOKUP('Données projet'!$B$16,Paramètres!$A$1:$I$89,7,0))</f>
        <v>0.19350000000000001</v>
      </c>
      <c r="FO183" s="16">
        <f>IF(ISNA(VLOOKUP(A183,'Données projet'!$A$217:$I$237,6,0)),0%,VLOOKUP(A183,'Données projet'!$A$217:$I$237,6,0)*VLOOKUP('Données projet'!$B$16,Paramètres!$A$1:$I$89,7,0))</f>
        <v>2.1500000000000002E-2</v>
      </c>
      <c r="FP183" s="16">
        <f>IF(ISNA(VLOOKUP(A183,'Données projet'!$A$217:$I$237,7,0)),0%,VLOOKUP(A183,'Données projet'!$A$217:$I$237,7,0))</f>
        <v>0.05</v>
      </c>
      <c r="FQ183" s="21">
        <f>EXP(-LN(2)/35)*FQ182+(1-EXP(-LN(2)/35))/(LN(2)/35)*FM183*FN183*VLOOKUP('Données projet'!$B$16,Paramètres!$A$1:$I$89,3,0)*0.475*44/12</f>
        <v>156.37031783860331</v>
      </c>
      <c r="FR183" s="21">
        <f>EXP(-LN(2)/25)*FR182+(1-EXP(-LN(2)/25))/(LN(2)/25)*Calculateur!FM183*Calculateur!FO183*VLOOKUP('Données projet'!$B$16,Paramètres!$A$1:$I$89,3,0)*0.475*44/12</f>
        <v>29.598321191858783</v>
      </c>
      <c r="FS183" s="21">
        <f>EXP(-LN(2)/2)*FS182+(1-EXP(-LN(2)/2))/(LN(2)/2)*FM183*FP183*VLOOKUP('Données projet'!$B$16,Paramètres!$A$1:$I$89,3,0)*0.475*44/12</f>
        <v>8.7279718865384908</v>
      </c>
      <c r="FT183" s="22">
        <f t="shared" si="184"/>
        <v>194.69661091700058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658.66950990201644</v>
      </c>
      <c r="S184" s="59">
        <f ca="1">AVERAGE(OFFSET($R$3,0,0,'Données projet'!$E$9+1,1))-AVERAGE(OFFSET($H$3,0,0,'Données projet'!$E$9+1,1))</f>
        <v>681.47578137804555</v>
      </c>
      <c r="T184" s="59">
        <f t="shared" si="142"/>
        <v>300.88511065995885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189.49970000000084</v>
      </c>
      <c r="AK184" s="13">
        <f t="shared" si="164"/>
        <v>47.42932665712091</v>
      </c>
      <c r="AL184" s="20">
        <f t="shared" si="165"/>
        <v>412.651388094487</v>
      </c>
      <c r="AM184" s="59">
        <f t="shared" si="113"/>
        <v>702.12475375317103</v>
      </c>
      <c r="AN184" s="59">
        <f ca="1">AVERAGE(OFFSET($AM$3,0,0,'Données projet'!$E$10+1,1))-AVERAGE(OFFSET($H$3,0,0,'Données projet'!$E$10+1,1))</f>
        <v>752.45542076695506</v>
      </c>
      <c r="AO184" s="59">
        <f t="shared" si="144"/>
        <v>329.70629768420724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136.50355388146846</v>
      </c>
      <c r="AV184" s="21">
        <f>EXP(-LN(2)/25)*AV183+(1-EXP(-LN(2)/25))/(LN(2)/25)*Calculateur!AQ184*Calculateur!AS184*VLOOKUP('Données projet'!$B$10,Paramètres!$A$1:$I$89,3,0)*0.475*44/12</f>
        <v>25.633999729498047</v>
      </c>
      <c r="AW184" s="21">
        <f>EXP(-LN(2)/2)*AW183+(1-EXP(-LN(2)/2))/(LN(2)/2)*AQ184*AT184*VLOOKUP('Données projet'!$B$10,Paramètres!$A$1:$I$89,3,0)*0.475*44/12</f>
        <v>5.4952674925136877</v>
      </c>
      <c r="AX184" s="21">
        <f t="shared" si="166"/>
        <v>167.63282110348018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177.83818000000079</v>
      </c>
      <c r="BF184" s="13">
        <f t="shared" si="167"/>
        <v>44.840883344491083</v>
      </c>
      <c r="BG184" s="20">
        <f t="shared" si="168"/>
        <v>387.83270199165668</v>
      </c>
      <c r="BH184" s="59">
        <f t="shared" si="116"/>
        <v>677.30606765034076</v>
      </c>
      <c r="BI184" s="59">
        <f ca="1">AVERAGE(OFFSET($BH$3,0,0,'Données projet'!$E$11+1,1))-AVERAGE(OFFSET($H$3,0,0,'Données projet'!$E$11+1,1))</f>
        <v>711.91538686535682</v>
      </c>
      <c r="BJ184" s="59">
        <f t="shared" si="146"/>
        <v>313.24593837351722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128.10333518107038</v>
      </c>
      <c r="BQ184" s="21">
        <f>EXP(-LN(2)/25)*BQ183+(1-EXP(-LN(2)/25))/(LN(2)/25)*Calculateur!BL184*Calculateur!BN184*VLOOKUP('Données projet'!$B$11,Paramètres!$A$1:$I$89,3,0)*0.475*44/12</f>
        <v>24.056522823067382</v>
      </c>
      <c r="BR184" s="21">
        <f>EXP(-LN(2)/2)*BR183+(1-EXP(-LN(2)/2))/(LN(2)/2)*BL184*BO184*VLOOKUP('Données projet'!$B$11,Paramètres!$A$1:$I$89,3,0)*0.475*44/12</f>
        <v>5.1570971852820762</v>
      </c>
      <c r="BS184" s="22">
        <f t="shared" si="169"/>
        <v>157.31695518941984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2.2933333333333317</v>
      </c>
      <c r="BY184" s="12">
        <f>IF('Données projet'!$A$114&gt;35,BY183+BX184-CG183,IF(A184&lt;'Données projet'!$A$114,$BV$205^A184,IF(A184='Données projet'!$A$114,'Données projet'!$B$114,BY183+BX184-CG183)))</f>
        <v>186.88333333333415</v>
      </c>
      <c r="BZ184" s="13">
        <f>BY184*VLOOKUP('Données projet'!$B$12,Paramètres!$A$1:$I$89,3,0)*VLOOKUP('Données projet'!$B$12,Paramètres!$A$1:$I$89,5,0)</f>
        <v>180.75356000000079</v>
      </c>
      <c r="CA184" s="13">
        <f t="shared" si="170"/>
        <v>45.489798597658492</v>
      </c>
      <c r="CB184" s="20">
        <f t="shared" si="171"/>
        <v>394.04051622425658</v>
      </c>
      <c r="CC184" s="59">
        <f t="shared" si="119"/>
        <v>683.51388188294072</v>
      </c>
      <c r="CD184" s="59">
        <f ca="1">AVERAGE(OFFSET($CC$3,0,0,'Données projet'!$E$12+1,1))-AVERAGE(OFFSET($H$3,0,0,'Données projet'!$E$12+1,1))</f>
        <v>722.05521609092671</v>
      </c>
      <c r="CE184" s="59">
        <f t="shared" si="148"/>
        <v>317.36319714884644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130.20338985616993</v>
      </c>
      <c r="CL184" s="21">
        <f>EXP(-LN(2)/25)*CL183+(1-EXP(-LN(2)/25))/(LN(2)/25)*Calculateur!CG184*Calculateur!CI184*VLOOKUP('Données projet'!$B$12,Paramètres!$A$1:$I$89,3,0)*0.475*44/12</f>
        <v>24.450892049675051</v>
      </c>
      <c r="CM184" s="21">
        <f>EXP(-LN(2)/2)*CM183+(1-EXP(-LN(2)/2))/(LN(2)/2)*CG184*CJ184*VLOOKUP('Données projet'!$B$12,Paramètres!$A$1:$I$89,3,0)*0.475*44/12</f>
        <v>5.2416397620899788</v>
      </c>
      <c r="CN184" s="22">
        <f t="shared" si="172"/>
        <v>159.89592166793497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2.2933333333333317</v>
      </c>
      <c r="CT184" s="12">
        <f>IF('Données projet'!$A$140&gt;35,CT183+CS184-DB183,IF(A184&lt;'Données projet'!$A$140,$CQ$205^A184,IF(A184='Données projet'!$A$140,'Données projet'!$B$140,CT183+CS184-DB183)))</f>
        <v>186.88333333333415</v>
      </c>
      <c r="CU184" s="17">
        <f>CT184*VLOOKUP('Données projet'!$B$13,Paramètres!$A$1:$I$89,3,0)*VLOOKUP('Données projet'!$B$13,Paramètres!$A$1:$I$89,5,0)</f>
        <v>201.16122000000084</v>
      </c>
      <c r="CV184" s="13">
        <f t="shared" si="173"/>
        <v>49.999282684251376</v>
      </c>
      <c r="CW184" s="20">
        <f t="shared" si="174"/>
        <v>437.43787550840597</v>
      </c>
      <c r="CX184" s="59">
        <f t="shared" si="122"/>
        <v>726.91124116709011</v>
      </c>
      <c r="CY184" s="59">
        <f ca="1">AVERAGE(OFFSET($CX$3,0,0,'Données projet'!$E$13+1,1))-AVERAGE(OFFSET($H$3,0,0,'Données projet'!$E$13+1,1))</f>
        <v>792.94606354161886</v>
      </c>
      <c r="CZ184" s="59">
        <f t="shared" si="150"/>
        <v>346.14443498270919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144.90377258186649</v>
      </c>
      <c r="DG184" s="21">
        <f>EXP(-LN(2)/25)*DG183+(1-EXP(-LN(2)/25))/(LN(2)/25)*Calculateur!DB184*Calculateur!DD184*VLOOKUP('Données projet'!$B$13,Paramètres!$A$1:$I$89,3,0)*0.475*44/12</f>
        <v>27.21147663592869</v>
      </c>
      <c r="DH184" s="21">
        <f>EXP(-LN(2)/2)*DH183+(1-EXP(-LN(2)/2))/(LN(2)/2)*DB184*DE184*VLOOKUP('Données projet'!$B$13,Paramètres!$A$1:$I$89,3,0)*0.475*44/12</f>
        <v>5.8334377997452993</v>
      </c>
      <c r="DI184" s="22">
        <f t="shared" si="175"/>
        <v>177.94868701754046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269.21114382490202</v>
      </c>
      <c r="DU184" s="59">
        <f t="shared" si="152"/>
        <v>233.07776944102309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1.783654665851844</v>
      </c>
      <c r="EB184" s="21">
        <f>EXP(-LN(2)/25)*EB183+(1-EXP(-LN(2)/25))/(LN(2)/25)*Calculateur!DW184*Calculateur!DY184*VLOOKUP('Données projet'!$B$14,Paramètres!$A$1:$I$89,3,0)*0.475*44/12</f>
        <v>5.1227090297336719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6.9063636955855161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2.2933333333333317</v>
      </c>
      <c r="FE184" s="12">
        <f>IF('Données projet'!$A$218&gt;35,FE183+FD184-FM183,IF(A184&lt;'Données projet'!$A$218,$FB$205^A184,IF(A184='Données projet'!$A$218,'Données projet'!$B$218,FE183+FD184-FM183)))</f>
        <v>186.88333333333415</v>
      </c>
      <c r="FF184" s="17">
        <f>FE184*VLOOKUP('Données projet'!$B$16,Paramètres!$A$1:$I$89,3,0)*VLOOKUP('Données projet'!$B$16,Paramètres!$A$1:$I$89,5,0)</f>
        <v>212.82274000000095</v>
      </c>
      <c r="FG184" s="13">
        <f t="shared" si="182"/>
        <v>52.551945249077981</v>
      </c>
      <c r="FH184" s="20">
        <f t="shared" si="183"/>
        <v>462.19424347547914</v>
      </c>
      <c r="FI184" s="59">
        <f t="shared" si="131"/>
        <v>751.66760913416329</v>
      </c>
      <c r="FJ184" s="59">
        <f ca="1">AVERAGE(OFFSET($FI$3,0,0,'Données projet'!$E$16+1,1))-AVERAGE(OFFSET($H$3,0,0,'Données projet'!$E$16+1,1))</f>
        <v>833.39050463936144</v>
      </c>
      <c r="FK184" s="59">
        <f t="shared" si="156"/>
        <v>362.56178526355507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153.30399128226455</v>
      </c>
      <c r="FR184" s="21">
        <f>EXP(-LN(2)/25)*FR183+(1-EXP(-LN(2)/25))/(LN(2)/25)*Calculateur!FM184*Calculateur!FO184*VLOOKUP('Données projet'!$B$16,Paramètres!$A$1:$I$89,3,0)*0.475*44/12</f>
        <v>28.788953542359341</v>
      </c>
      <c r="FS184" s="21">
        <f>EXP(-LN(2)/2)*FS183+(1-EXP(-LN(2)/2))/(LN(2)/2)*FM184*FP184*VLOOKUP('Données projet'!$B$16,Paramètres!$A$1:$I$89,3,0)*0.475*44/12</f>
        <v>6.1716081069769118</v>
      </c>
      <c r="FT184" s="22">
        <f t="shared" si="184"/>
        <v>188.2645529316008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663.15978243301083</v>
      </c>
      <c r="S185" s="59">
        <f ca="1">AVERAGE(OFFSET($R$3,0,0,'Données projet'!$E$9+1,1))-AVERAGE(OFFSET($H$3,0,0,'Données projet'!$E$9+1,1))</f>
        <v>681.47578137804555</v>
      </c>
      <c r="T185" s="59">
        <f t="shared" si="142"/>
        <v>300.88511065995885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191.82514000000083</v>
      </c>
      <c r="AK185" s="13">
        <f t="shared" si="164"/>
        <v>47.943240602417134</v>
      </c>
      <c r="AL185" s="20">
        <f t="shared" si="165"/>
        <v>417.59659621587792</v>
      </c>
      <c r="AM185" s="59">
        <f t="shared" si="113"/>
        <v>707.13692368412239</v>
      </c>
      <c r="AN185" s="59">
        <f ca="1">AVERAGE(OFFSET($AM$3,0,0,'Données projet'!$E$10+1,1))-AVERAGE(OFFSET($H$3,0,0,'Données projet'!$E$10+1,1))</f>
        <v>752.45542076695506</v>
      </c>
      <c r="AO185" s="59">
        <f t="shared" si="144"/>
        <v>329.70629768420724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133.82680244879958</v>
      </c>
      <c r="AV185" s="21">
        <f>EXP(-LN(2)/25)*AV184+(1-EXP(-LN(2)/25))/(LN(2)/25)*Calculateur!AQ185*Calculateur!AS185*VLOOKUP('Données projet'!$B$10,Paramètres!$A$1:$I$89,3,0)*0.475*44/12</f>
        <v>24.933036658861464</v>
      </c>
      <c r="AW185" s="21">
        <f>EXP(-LN(2)/2)*AW184+(1-EXP(-LN(2)/2))/(LN(2)/2)*AQ185*AT185*VLOOKUP('Données projet'!$B$10,Paramètres!$A$1:$I$89,3,0)*0.475*44/12</f>
        <v>3.885740908390424</v>
      </c>
      <c r="AX185" s="21">
        <f t="shared" si="166"/>
        <v>162.64558001605147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180.02051600000075</v>
      </c>
      <c r="BF185" s="13">
        <f t="shared" si="167"/>
        <v>45.326750568302394</v>
      </c>
      <c r="BG185" s="20">
        <f t="shared" si="168"/>
        <v>392.47982260646131</v>
      </c>
      <c r="BH185" s="59">
        <f t="shared" si="116"/>
        <v>682.02015007470573</v>
      </c>
      <c r="BI185" s="59">
        <f ca="1">AVERAGE(OFFSET($BH$3,0,0,'Données projet'!$E$11+1,1))-AVERAGE(OFFSET($H$3,0,0,'Données projet'!$E$11+1,1))</f>
        <v>711.91538686535682</v>
      </c>
      <c r="BJ185" s="59">
        <f t="shared" si="146"/>
        <v>313.24593837351722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125.59130691348882</v>
      </c>
      <c r="BQ185" s="21">
        <f>EXP(-LN(2)/25)*BQ184+(1-EXP(-LN(2)/25))/(LN(2)/25)*Calculateur!BL185*Calculateur!BN185*VLOOKUP('Données projet'!$B$11,Paramètres!$A$1:$I$89,3,0)*0.475*44/12</f>
        <v>23.398695941393051</v>
      </c>
      <c r="BR185" s="21">
        <f>EXP(-LN(2)/2)*BR184+(1-EXP(-LN(2)/2))/(LN(2)/2)*BL185*BO185*VLOOKUP('Données projet'!$B$11,Paramètres!$A$1:$I$89,3,0)*0.475*44/12</f>
        <v>3.6466183909510135</v>
      </c>
      <c r="BS185" s="22">
        <f t="shared" si="169"/>
        <v>152.63662124583288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2.2933333333333317</v>
      </c>
      <c r="BY185" s="12">
        <f>IF('Données projet'!$A$114&gt;35,BY184+BX185-CG184,IF(A185&lt;'Données projet'!$A$114,$BV$205^A185,IF(A185='Données projet'!$A$114,'Données projet'!$B$114,BY184+BX185-CG184)))</f>
        <v>189.17666666666747</v>
      </c>
      <c r="BZ185" s="13">
        <f>BY185*VLOOKUP('Données projet'!$B$12,Paramètres!$A$1:$I$89,3,0)*VLOOKUP('Données projet'!$B$12,Paramètres!$A$1:$I$89,5,0)</f>
        <v>182.97167200000078</v>
      </c>
      <c r="CA185" s="13">
        <f t="shared" si="170"/>
        <v>45.98269705344007</v>
      </c>
      <c r="CB185" s="20">
        <f t="shared" si="171"/>
        <v>398.76219276807609</v>
      </c>
      <c r="CC185" s="59">
        <f t="shared" si="119"/>
        <v>688.30252023632056</v>
      </c>
      <c r="CD185" s="59">
        <f ca="1">AVERAGE(OFFSET($CC$3,0,0,'Données projet'!$E$12+1,1))-AVERAGE(OFFSET($H$3,0,0,'Données projet'!$E$12+1,1))</f>
        <v>722.05521609092671</v>
      </c>
      <c r="CE185" s="59">
        <f t="shared" si="148"/>
        <v>317.36319714884644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127.65018079731655</v>
      </c>
      <c r="CL185" s="21">
        <f>EXP(-LN(2)/25)*CL184+(1-EXP(-LN(2)/25))/(LN(2)/25)*Calculateur!CG185*Calculateur!CI185*VLOOKUP('Données projet'!$B$12,Paramètres!$A$1:$I$89,3,0)*0.475*44/12</f>
        <v>23.782281120760157</v>
      </c>
      <c r="CM185" s="21">
        <f>EXP(-LN(2)/2)*CM184+(1-EXP(-LN(2)/2))/(LN(2)/2)*CG185*CJ185*VLOOKUP('Données projet'!$B$12,Paramètres!$A$1:$I$89,3,0)*0.475*44/12</f>
        <v>3.7063990203108661</v>
      </c>
      <c r="CN185" s="22">
        <f t="shared" si="172"/>
        <v>155.13886093838758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2.2933333333333317</v>
      </c>
      <c r="CT185" s="12">
        <f>IF('Données projet'!$A$140&gt;35,CT184+CS185-DB184,IF(A185&lt;'Données projet'!$A$140,$CQ$205^A185,IF(A185='Données projet'!$A$140,'Données projet'!$B$140,CT184+CS185-DB184)))</f>
        <v>189.17666666666747</v>
      </c>
      <c r="CU185" s="17">
        <f>CT185*VLOOKUP('Données projet'!$B$13,Paramètres!$A$1:$I$89,3,0)*VLOOKUP('Données projet'!$B$13,Paramètres!$A$1:$I$89,5,0)</f>
        <v>203.62976400000085</v>
      </c>
      <c r="CV185" s="13">
        <f t="shared" si="173"/>
        <v>50.541043034593379</v>
      </c>
      <c r="CW185" s="20">
        <f t="shared" si="174"/>
        <v>442.68082225191824</v>
      </c>
      <c r="CX185" s="59">
        <f t="shared" si="122"/>
        <v>732.22114972016266</v>
      </c>
      <c r="CY185" s="59">
        <f ca="1">AVERAGE(OFFSET($CX$3,0,0,'Données projet'!$E$13+1,1))-AVERAGE(OFFSET($H$3,0,0,'Données projet'!$E$13+1,1))</f>
        <v>792.94606354161886</v>
      </c>
      <c r="CZ185" s="59">
        <f t="shared" si="150"/>
        <v>346.14443498270919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142.0622979841103</v>
      </c>
      <c r="DG185" s="21">
        <f>EXP(-LN(2)/25)*DG184+(1-EXP(-LN(2)/25))/(LN(2)/25)*Calculateur!DB185*Calculateur!DD185*VLOOKUP('Données projet'!$B$13,Paramètres!$A$1:$I$89,3,0)*0.475*44/12</f>
        <v>26.467377376329857</v>
      </c>
      <c r="DH185" s="21">
        <f>EXP(-LN(2)/2)*DH184+(1-EXP(-LN(2)/2))/(LN(2)/2)*DB185*DE185*VLOOKUP('Données projet'!$B$13,Paramètres!$A$1:$I$89,3,0)*0.475*44/12</f>
        <v>4.1248634258298349</v>
      </c>
      <c r="DI185" s="22">
        <f t="shared" si="175"/>
        <v>172.65453878627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269.21114382490202</v>
      </c>
      <c r="DU185" s="59">
        <f t="shared" si="152"/>
        <v>233.07776944102309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1.748678285776412</v>
      </c>
      <c r="EB185" s="21">
        <f>EXP(-LN(2)/25)*EB184+(1-EXP(-LN(2)/25))/(LN(2)/25)*Calculateur!DW185*Calculateur!DY185*VLOOKUP('Données projet'!$B$14,Paramètres!$A$1:$I$89,3,0)*0.475*44/12</f>
        <v>4.9826282819240451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6.7313065677004573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2.2933333333333317</v>
      </c>
      <c r="FE185" s="12">
        <f>IF('Données projet'!$A$218&gt;35,FE184+FD185-FM184,IF(A185&lt;'Données projet'!$A$218,$FB$205^A185,IF(A185='Données projet'!$A$218,'Données projet'!$B$218,FE184+FD185-FM184)))</f>
        <v>189.17666666666747</v>
      </c>
      <c r="FF185" s="17">
        <f>FE185*VLOOKUP('Données projet'!$B$16,Paramètres!$A$1:$I$89,3,0)*VLOOKUP('Données projet'!$B$16,Paramètres!$A$1:$I$89,5,0)</f>
        <v>215.43438800000092</v>
      </c>
      <c r="FG185" s="13">
        <f t="shared" si="182"/>
        <v>53.121364623533509</v>
      </c>
      <c r="FH185" s="20">
        <f t="shared" si="183"/>
        <v>467.73460248598911</v>
      </c>
      <c r="FI185" s="59">
        <f t="shared" si="131"/>
        <v>757.27492995423358</v>
      </c>
      <c r="FJ185" s="59">
        <f ca="1">AVERAGE(OFFSET($FI$3,0,0,'Données projet'!$E$16+1,1))-AVERAGE(OFFSET($H$3,0,0,'Données projet'!$E$16+1,1))</f>
        <v>833.39050463936144</v>
      </c>
      <c r="FK185" s="59">
        <f t="shared" si="156"/>
        <v>362.56178526355507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150.29779351942105</v>
      </c>
      <c r="FR185" s="21">
        <f>EXP(-LN(2)/25)*FR184+(1-EXP(-LN(2)/25))/(LN(2)/25)*Calculateur!FM185*Calculateur!FO185*VLOOKUP('Données projet'!$B$16,Paramètres!$A$1:$I$89,3,0)*0.475*44/12</f>
        <v>28.001718093798257</v>
      </c>
      <c r="FS185" s="21">
        <f>EXP(-LN(2)/2)*FS184+(1-EXP(-LN(2)/2))/(LN(2)/2)*FM185*FP185*VLOOKUP('Données projet'!$B$16,Paramètres!$A$1:$I$89,3,0)*0.475*44/12</f>
        <v>4.3639859432692463</v>
      </c>
      <c r="FT185" s="22">
        <f t="shared" si="184"/>
        <v>182.66349755648855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667.6477520583062</v>
      </c>
      <c r="S186" s="59">
        <f ca="1">AVERAGE(OFFSET($R$3,0,0,'Données projet'!$E$9+1,1))-AVERAGE(OFFSET($H$3,0,0,'Données projet'!$E$9+1,1))</f>
        <v>681.47578137804555</v>
      </c>
      <c r="T186" s="59">
        <f t="shared" si="142"/>
        <v>300.88511065995885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194.15058000000082</v>
      </c>
      <c r="AK186" s="13">
        <f t="shared" si="164"/>
        <v>48.456429865053252</v>
      </c>
      <c r="AL186" s="20">
        <f t="shared" si="165"/>
        <v>422.54054218163583</v>
      </c>
      <c r="AM186" s="59">
        <f t="shared" si="113"/>
        <v>712.14666982174879</v>
      </c>
      <c r="AN186" s="59">
        <f ca="1">AVERAGE(OFFSET($AM$3,0,0,'Données projet'!$E$10+1,1))-AVERAGE(OFFSET($H$3,0,0,'Données projet'!$E$10+1,1))</f>
        <v>752.45542076695506</v>
      </c>
      <c r="AO186" s="59">
        <f t="shared" si="144"/>
        <v>329.70629768420724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172.73300340106223</v>
      </c>
      <c r="AV186" s="21">
        <f>EXP(-LN(2)/25)*AV185+(1-EXP(-LN(2)/25))/(LN(2)/25)*Calculateur!AQ186*Calculateur!AS186*VLOOKUP('Données projet'!$B$10,Paramètres!$A$1:$I$89,3,0)*0.475*44/12</f>
        <v>28.847568311933841</v>
      </c>
      <c r="AW186" s="21">
        <f>EXP(-LN(2)/2)*AW185+(1-EXP(-LN(2)/2))/(LN(2)/2)*AQ186*AT186*VLOOKUP('Données projet'!$B$10,Paramètres!$A$1:$I$89,3,0)*0.475*44/12</f>
        <v>11.906948632069174</v>
      </c>
      <c r="AX186" s="21">
        <f t="shared" si="166"/>
        <v>213.48752034506524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182.20285200000077</v>
      </c>
      <c r="BF186" s="13">
        <f t="shared" si="167"/>
        <v>45.811932658823523</v>
      </c>
      <c r="BG186" s="20">
        <f t="shared" si="168"/>
        <v>397.12574994745228</v>
      </c>
      <c r="BH186" s="59">
        <f t="shared" si="116"/>
        <v>686.73187758756524</v>
      </c>
      <c r="BI186" s="59">
        <f ca="1">AVERAGE(OFFSET($BH$3,0,0,'Données projet'!$E$11+1,1))-AVERAGE(OFFSET($H$3,0,0,'Données projet'!$E$11+1,1))</f>
        <v>711.91538686535682</v>
      </c>
      <c r="BJ186" s="59">
        <f t="shared" si="146"/>
        <v>313.24593837351722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162.10328011484302</v>
      </c>
      <c r="BQ186" s="21">
        <f>EXP(-LN(2)/25)*BQ185+(1-EXP(-LN(2)/25))/(LN(2)/25)*Calculateur!BL186*Calculateur!BN186*VLOOKUP('Données projet'!$B$11,Paramètres!$A$1:$I$89,3,0)*0.475*44/12</f>
        <v>27.072333338891738</v>
      </c>
      <c r="BR186" s="21">
        <f>EXP(-LN(2)/2)*BR185+(1-EXP(-LN(2)/2))/(LN(2)/2)*BL186*BO186*VLOOKUP('Données projet'!$B$11,Paramètres!$A$1:$I$89,3,0)*0.475*44/12</f>
        <v>11.174213331634148</v>
      </c>
      <c r="BS186" s="22">
        <f t="shared" si="169"/>
        <v>200.34982678536889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2.2933333333333317</v>
      </c>
      <c r="BX186" s="12">
        <f t="array" ref="BX186">INDEX(BW:BW,MIN(IF(ISNUMBER(BW186:BW382),ROW(BW186:BW382),"")))</f>
        <v>2.2933333333333317</v>
      </c>
      <c r="BY186" s="12">
        <f>IF('Données projet'!$A$114&gt;35,BY185+BX186-CG185,IF(A186&lt;'Données projet'!$A$114,$BV$205^A186,IF(A186='Données projet'!$A$114,'Données projet'!$B$114,BY185+BX186-CG185)))</f>
        <v>191.47000000000079</v>
      </c>
      <c r="BZ186" s="13">
        <f>BY186*VLOOKUP('Données projet'!$B$12,Paramètres!$A$1:$I$89,3,0)*VLOOKUP('Données projet'!$B$12,Paramètres!$A$1:$I$89,5,0)</f>
        <v>185.18978400000077</v>
      </c>
      <c r="CA186" s="13">
        <f t="shared" si="170"/>
        <v>46.474900461018727</v>
      </c>
      <c r="CB186" s="20">
        <f t="shared" si="171"/>
        <v>403.48265876960892</v>
      </c>
      <c r="CC186" s="59">
        <f t="shared" si="119"/>
        <v>693.08878640972193</v>
      </c>
      <c r="CD186" s="59">
        <f ca="1">AVERAGE(OFFSET($CC$3,0,0,'Données projet'!$E$12+1,1))-AVERAGE(OFFSET($H$3,0,0,'Données projet'!$E$12+1,1))</f>
        <v>722.05521609092671</v>
      </c>
      <c r="CE186" s="59">
        <f t="shared" si="148"/>
        <v>317.36319714884644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191.47</v>
      </c>
      <c r="CH186" s="16">
        <f>IF(ISNA(VLOOKUP(A186,'Données projet'!$A$113:$I$133,5,0)),0%,VLOOKUP(A186,'Données projet'!$A$113:$I$133,5,0)*VLOOKUP('Données projet'!$B$12,Paramètres!$A$1:$I$89,7,0))</f>
        <v>0.19350000000000001</v>
      </c>
      <c r="CI186" s="16">
        <f>IF(ISNA(VLOOKUP(A186,'Données projet'!$A$113:$I$133,6,0)),0%,VLOOKUP(A186,'Données projet'!$A$113:$I$133,6,0)*VLOOKUP('Données projet'!$B$12,Paramètres!$A$1:$I$89,7,0))</f>
        <v>2.1500000000000002E-2</v>
      </c>
      <c r="CJ186" s="16">
        <f>IF(ISNA(VLOOKUP(A186,'Données projet'!$A$113:$I$133,7,0)),0%,VLOOKUP(A186,'Données projet'!$A$113:$I$133,7,0))</f>
        <v>0.05</v>
      </c>
      <c r="CK186" s="21">
        <f>EXP(-LN(2)/35)*CK185+(1-EXP(-LN(2)/35))/(LN(2)/35)*CG186*CH186*VLOOKUP('Données projet'!$B$12,Paramètres!$A$1:$I$89,3,0)*0.475*44/12</f>
        <v>164.76071093639786</v>
      </c>
      <c r="CL186" s="21">
        <f>EXP(-LN(2)/25)*CL185+(1-EXP(-LN(2)/25))/(LN(2)/25)*Calculateur!CG186*Calculateur!CI186*VLOOKUP('Données projet'!$B$12,Paramètres!$A$1:$I$89,3,0)*0.475*44/12</f>
        <v>27.516142082152271</v>
      </c>
      <c r="CM186" s="21">
        <f>EXP(-LN(2)/2)*CM185+(1-EXP(-LN(2)/2))/(LN(2)/2)*CG186*CJ186*VLOOKUP('Données projet'!$B$12,Paramètres!$A$1:$I$89,3,0)*0.475*44/12</f>
        <v>11.357397156742906</v>
      </c>
      <c r="CN186" s="22">
        <f t="shared" si="172"/>
        <v>203.63425017529303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191.47</v>
      </c>
      <c r="CR186" s="12">
        <f>VLOOKUP(A186,'Données projet'!$A$139:$I$159,9,0)</f>
        <v>2.2933333333333317</v>
      </c>
      <c r="CS186" s="12">
        <f t="array" ref="CS186">INDEX(CR:CR,MIN(IF(ISNUMBER(CR186:CR382),ROW(CR186:CR382),"")))</f>
        <v>2.2933333333333317</v>
      </c>
      <c r="CT186" s="12">
        <f>IF('Données projet'!$A$140&gt;35,CT185+CS186-DB185,IF(A186&lt;'Données projet'!$A$140,$CQ$205^A186,IF(A186='Données projet'!$A$140,'Données projet'!$B$140,CT185+CS186-DB185)))</f>
        <v>191.47000000000079</v>
      </c>
      <c r="CU186" s="17">
        <f>CT186*VLOOKUP('Données projet'!$B$13,Paramètres!$A$1:$I$89,3,0)*VLOOKUP('Données projet'!$B$13,Paramètres!$A$1:$I$89,5,0)</f>
        <v>206.09830800000083</v>
      </c>
      <c r="CV186" s="13">
        <f t="shared" si="173"/>
        <v>51.08203943537638</v>
      </c>
      <c r="CW186" s="20">
        <f t="shared" si="174"/>
        <v>447.92243844994863</v>
      </c>
      <c r="CX186" s="59">
        <f t="shared" si="122"/>
        <v>737.52856609006153</v>
      </c>
      <c r="CY186" s="59">
        <f ca="1">AVERAGE(OFFSET($CX$3,0,0,'Données projet'!$E$13+1,1))-AVERAGE(OFFSET($H$3,0,0,'Données projet'!$E$13+1,1))</f>
        <v>792.94606354161886</v>
      </c>
      <c r="CZ186" s="59">
        <f t="shared" si="150"/>
        <v>346.14443498270919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191.47</v>
      </c>
      <c r="DC186" s="16">
        <f>IF(ISNA(VLOOKUP(A186,'Données projet'!$A$139:$I$159,5,0)),0%,VLOOKUP(A186,'Données projet'!$A$139:$I$159,5,0)*VLOOKUP('Données projet'!$B$13,Paramètres!$A$1:$I$89,7,0))</f>
        <v>0.19350000000000001</v>
      </c>
      <c r="DD186" s="16">
        <f>IF(ISNA(VLOOKUP(A186,'Données projet'!$A$139:$I$159,6,0)),0%,VLOOKUP(A186,'Données projet'!$A$139:$I$159,6,0)*VLOOKUP('Données projet'!$B$13,Paramètres!$A$1:$I$89,7,0))</f>
        <v>2.1500000000000002E-2</v>
      </c>
      <c r="DE186" s="16">
        <f>IF(ISNA(VLOOKUP(A186,'Données projet'!$A$139:$I$159,7,0)),0%,VLOOKUP(A186,'Données projet'!$A$139:$I$159,7,0))</f>
        <v>0.05</v>
      </c>
      <c r="DF186" s="21">
        <f>EXP(-LN(2)/35)*DF185+(1-EXP(-LN(2)/35))/(LN(2)/35)*DB186*DC186*VLOOKUP('Données projet'!$B$13,Paramètres!$A$1:$I$89,3,0)*0.475*44/12</f>
        <v>183.36272668728142</v>
      </c>
      <c r="DG186" s="21">
        <f>EXP(-LN(2)/25)*DG185+(1-EXP(-LN(2)/25))/(LN(2)/25)*Calculateur!DB186*Calculateur!DD186*VLOOKUP('Données projet'!$B$13,Paramètres!$A$1:$I$89,3,0)*0.475*44/12</f>
        <v>30.622803284975916</v>
      </c>
      <c r="DH186" s="21">
        <f>EXP(-LN(2)/2)*DH185+(1-EXP(-LN(2)/2))/(LN(2)/2)*DB186*DE186*VLOOKUP('Données projet'!$B$13,Paramètres!$A$1:$I$89,3,0)*0.475*44/12</f>
        <v>12.6396839325042</v>
      </c>
      <c r="DI186" s="22">
        <f t="shared" si="175"/>
        <v>226.62521390476152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269.21114382490202</v>
      </c>
      <c r="DU186" s="59">
        <f t="shared" si="152"/>
        <v>233.07776944102309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1.714387771180774</v>
      </c>
      <c r="EB186" s="21">
        <f>EXP(-LN(2)/25)*EB185+(1-EXP(-LN(2)/25))/(LN(2)/25)*Calculateur!DW186*Calculateur!DY186*VLOOKUP('Données projet'!$B$14,Paramètres!$A$1:$I$89,3,0)*0.475*44/12</f>
        <v>4.8463780495297986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6.5607658207105723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>
        <f>VLOOKUP(A186,'Données projet'!$A$217:$I$237,2,0)</f>
        <v>191.47</v>
      </c>
      <c r="FC186" s="12">
        <f>VLOOKUP(A186,'Données projet'!$A$217:$I$237,9,0)</f>
        <v>2.2933333333333317</v>
      </c>
      <c r="FD186" s="12">
        <f t="array" ref="FD186">INDEX(FC:FC,MIN(IF(ISNUMBER(FC186:FC382),ROW(FC186:FC382),"")))</f>
        <v>2.2933333333333317</v>
      </c>
      <c r="FE186" s="12">
        <f>IF('Données projet'!$A$218&gt;35,FE185+FD186-FM185,IF(A186&lt;'Données projet'!$A$218,$FB$205^A186,IF(A186='Données projet'!$A$218,'Données projet'!$B$218,FE185+FD186-FM185)))</f>
        <v>191.47000000000079</v>
      </c>
      <c r="FF186" s="17">
        <f>FE186*VLOOKUP('Données projet'!$B$16,Paramètres!$A$1:$I$89,3,0)*VLOOKUP('Données projet'!$B$16,Paramètres!$A$1:$I$89,5,0)</f>
        <v>218.0460360000009</v>
      </c>
      <c r="FG186" s="13">
        <f t="shared" si="182"/>
        <v>53.689981045761776</v>
      </c>
      <c r="FH186" s="20">
        <f t="shared" si="183"/>
        <v>473.27356302136991</v>
      </c>
      <c r="FI186" s="59">
        <f t="shared" si="131"/>
        <v>762.87969066148287</v>
      </c>
      <c r="FJ186" s="59">
        <f ca="1">AVERAGE(OFFSET($FI$3,0,0,'Données projet'!$E$16+1,1))-AVERAGE(OFFSET($H$3,0,0,'Données projet'!$E$16+1,1))</f>
        <v>833.39050463936144</v>
      </c>
      <c r="FK186" s="59">
        <f t="shared" si="156"/>
        <v>362.56178526355507</v>
      </c>
      <c r="FL186" s="15">
        <f>IF(ISNA(VLOOKUP(A186,'Données projet'!$A$217:$I$237,3,0)),0,VLOOKUP(A186,'Données projet'!$A$217:$I$237,3,0))</f>
        <v>18</v>
      </c>
      <c r="FM186" s="15">
        <f>IF(ISNA(VLOOKUP(A186,'Données projet'!$A$217:$I$237,4,0)),0,VLOOKUP(A186,'Données projet'!$A$217:$I$237,4,0))</f>
        <v>191.47</v>
      </c>
      <c r="FN186" s="16">
        <f>IF(ISNA(VLOOKUP(A186,'Données projet'!$A$217:$I$237,5,0)),0%,VLOOKUP(A186,'Données projet'!$A$217:$I$237,5,0)*VLOOKUP('Données projet'!$B$16,Paramètres!$A$1:$I$89,7,0))</f>
        <v>0.19350000000000001</v>
      </c>
      <c r="FO186" s="16">
        <f>IF(ISNA(VLOOKUP(A186,'Données projet'!$A$217:$I$237,6,0)),0%,VLOOKUP(A186,'Données projet'!$A$217:$I$237,6,0)*VLOOKUP('Données projet'!$B$16,Paramètres!$A$1:$I$89,7,0))</f>
        <v>2.1500000000000002E-2</v>
      </c>
      <c r="FP186" s="16">
        <f>IF(ISNA(VLOOKUP(A186,'Données projet'!$A$217:$I$237,7,0)),0%,VLOOKUP(A186,'Données projet'!$A$217:$I$237,7,0))</f>
        <v>0.05</v>
      </c>
      <c r="FQ186" s="21">
        <f>EXP(-LN(2)/35)*FQ185+(1-EXP(-LN(2)/35))/(LN(2)/35)*FM186*FN186*VLOOKUP('Données projet'!$B$16,Paramètres!$A$1:$I$89,3,0)*0.475*44/12</f>
        <v>193.99244997350067</v>
      </c>
      <c r="FR186" s="21">
        <f>EXP(-LN(2)/25)*FR185+(1-EXP(-LN(2)/25))/(LN(2)/25)*Calculateur!FM186*Calculateur!FO186*VLOOKUP('Données projet'!$B$16,Paramètres!$A$1:$I$89,3,0)*0.475*44/12</f>
        <v>32.398038258018005</v>
      </c>
      <c r="FS186" s="21">
        <f>EXP(-LN(2)/2)*FS185+(1-EXP(-LN(2)/2))/(LN(2)/2)*FM186*FP186*VLOOKUP('Données projet'!$B$16,Paramètres!$A$1:$I$89,3,0)*0.475*44/12</f>
        <v>13.372419232939226</v>
      </c>
      <c r="FT186" s="22">
        <f t="shared" si="184"/>
        <v>239.7629074644579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289.67078632612294</v>
      </c>
      <c r="S187" s="59">
        <f ca="1">AVERAGE(OFFSET($R$3,0,0,'Données projet'!$E$9+1,1))-AVERAGE(OFFSET($H$3,0,0,'Données projet'!$E$9+1,1))</f>
        <v>681.47578137804555</v>
      </c>
      <c r="T187" s="59">
        <f t="shared" si="142"/>
        <v>300.88511065995885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8.0694917414803056E-13</v>
      </c>
      <c r="AK187" s="13">
        <f t="shared" si="164"/>
        <v>9.5069530861628001E-12</v>
      </c>
      <c r="AL187" s="20">
        <f t="shared" si="165"/>
        <v>1.7963379770041364E-11</v>
      </c>
      <c r="AM187" s="59">
        <f t="shared" si="113"/>
        <v>289.6707863261247</v>
      </c>
      <c r="AN187" s="59">
        <f ca="1">AVERAGE(OFFSET($AM$3,0,0,'Données projet'!$E$10+1,1))-AVERAGE(OFFSET($H$3,0,0,'Données projet'!$E$10+1,1))</f>
        <v>752.45542076695506</v>
      </c>
      <c r="AO187" s="59">
        <f t="shared" si="144"/>
        <v>329.70629768420724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169.34581456109638</v>
      </c>
      <c r="AV187" s="21">
        <f>EXP(-LN(2)/25)*AV186+(1-EXP(-LN(2)/25))/(LN(2)/25)*Calculateur!AQ187*Calculateur!AS187*VLOOKUP('Données projet'!$B$10,Paramètres!$A$1:$I$89,3,0)*0.475*44/12</f>
        <v>28.058730039416325</v>
      </c>
      <c r="AW187" s="21">
        <f>EXP(-LN(2)/2)*AW186+(1-EXP(-LN(2)/2))/(LN(2)/2)*AQ187*AT187*VLOOKUP('Données projet'!$B$10,Paramètres!$A$1:$I$89,3,0)*0.475*44/12</f>
        <v>8.4194841209759996</v>
      </c>
      <c r="AX187" s="21">
        <f t="shared" si="166"/>
        <v>205.8240287214887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7.572907634312286E-13</v>
      </c>
      <c r="BF187" s="13">
        <f t="shared" si="167"/>
        <v>8.9881135648416407E-12</v>
      </c>
      <c r="BG187" s="20">
        <f t="shared" si="168"/>
        <v>1.6973245871741914E-11</v>
      </c>
      <c r="BH187" s="59">
        <f t="shared" si="116"/>
        <v>289.67078632612373</v>
      </c>
      <c r="BI187" s="59">
        <f ca="1">AVERAGE(OFFSET($BH$3,0,0,'Données projet'!$E$11+1,1))-AVERAGE(OFFSET($H$3,0,0,'Données projet'!$E$11+1,1))</f>
        <v>711.91538686535682</v>
      </c>
      <c r="BJ187" s="59">
        <f t="shared" si="146"/>
        <v>313.24593837351722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158.92453366502889</v>
      </c>
      <c r="BQ187" s="21">
        <f>EXP(-LN(2)/25)*BQ186+(1-EXP(-LN(2)/25))/(LN(2)/25)*Calculateur!BL187*Calculateur!BN187*VLOOKUP('Données projet'!$B$11,Paramètres!$A$1:$I$89,3,0)*0.475*44/12</f>
        <v>26.332038960067607</v>
      </c>
      <c r="BR187" s="21">
        <f>EXP(-LN(2)/2)*BR186+(1-EXP(-LN(2)/2))/(LN(2)/2)*BL187*BO187*VLOOKUP('Données projet'!$B$11,Paramètres!$A$1:$I$89,3,0)*0.475*44/12</f>
        <v>7.9013620212236297</v>
      </c>
      <c r="BS187" s="22">
        <f t="shared" si="169"/>
        <v>193.15793464632014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7.9580786405131221E-13</v>
      </c>
      <c r="BZ187" s="13">
        <f>BY187*VLOOKUP('Données projet'!$B$12,Paramètres!$A$1:$I$89,3,0)*VLOOKUP('Données projet'!$B$12,Paramètres!$A$1:$I$89,5,0)</f>
        <v>7.6970536611042922E-13</v>
      </c>
      <c r="CA187" s="13">
        <f t="shared" si="170"/>
        <v>9.1181851324470472E-12</v>
      </c>
      <c r="CB187" s="20">
        <f t="shared" si="171"/>
        <v>1.7221409284987601E-11</v>
      </c>
      <c r="CC187" s="59">
        <f t="shared" si="119"/>
        <v>289.67078632612396</v>
      </c>
      <c r="CD187" s="59">
        <f ca="1">AVERAGE(OFFSET($CC$3,0,0,'Données projet'!$E$12+1,1))-AVERAGE(OFFSET($H$3,0,0,'Données projet'!$E$12+1,1))</f>
        <v>722.05521609092671</v>
      </c>
      <c r="CE187" s="59">
        <f t="shared" si="148"/>
        <v>317.36319714884644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161.5298538890458</v>
      </c>
      <c r="CL187" s="21">
        <f>EXP(-LN(2)/25)*CL186+(1-EXP(-LN(2)/25))/(LN(2)/25)*Calculateur!CG187*Calculateur!CI187*VLOOKUP('Données projet'!$B$12,Paramètres!$A$1:$I$89,3,0)*0.475*44/12</f>
        <v>26.763711729904795</v>
      </c>
      <c r="CM187" s="21">
        <f>EXP(-LN(2)/2)*CM186+(1-EXP(-LN(2)/2))/(LN(2)/2)*CG187*CJ187*VLOOKUP('Données projet'!$B$12,Paramètres!$A$1:$I$89,3,0)*0.475*44/12</f>
        <v>8.0308925461617235</v>
      </c>
      <c r="CN187" s="22">
        <f t="shared" si="172"/>
        <v>196.32445816511233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7.9580786405131221E-13</v>
      </c>
      <c r="CU187" s="17">
        <f>CT187*VLOOKUP('Données projet'!$B$13,Paramètres!$A$1:$I$89,3,0)*VLOOKUP('Données projet'!$B$13,Paramètres!$A$1:$I$89,5,0)</f>
        <v>8.5660758486483253E-13</v>
      </c>
      <c r="CV187" s="13">
        <f t="shared" si="173"/>
        <v>1.0022086930673386E-11</v>
      </c>
      <c r="CW187" s="20">
        <f t="shared" si="174"/>
        <v>1.8947059614562397E-11</v>
      </c>
      <c r="CX187" s="59">
        <f t="shared" si="122"/>
        <v>289.67078632612566</v>
      </c>
      <c r="CY187" s="59">
        <f ca="1">AVERAGE(OFFSET($CX$3,0,0,'Données projet'!$E$13+1,1))-AVERAGE(OFFSET($H$3,0,0,'Données projet'!$E$13+1,1))</f>
        <v>792.94606354161886</v>
      </c>
      <c r="CZ187" s="59">
        <f t="shared" si="150"/>
        <v>346.14443498270919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179.7670954571638</v>
      </c>
      <c r="DG187" s="21">
        <f>EXP(-LN(2)/25)*DG186+(1-EXP(-LN(2)/25))/(LN(2)/25)*Calculateur!DB187*Calculateur!DD187*VLOOKUP('Données projet'!$B$13,Paramètres!$A$1:$I$89,3,0)*0.475*44/12</f>
        <v>29.785421118765015</v>
      </c>
      <c r="DH187" s="21">
        <f>EXP(-LN(2)/2)*DH186+(1-EXP(-LN(2)/2))/(LN(2)/2)*DB187*DE187*VLOOKUP('Données projet'!$B$13,Paramètres!$A$1:$I$89,3,0)*0.475*44/12</f>
        <v>8.9376062207283677</v>
      </c>
      <c r="DI187" s="22">
        <f t="shared" si="175"/>
        <v>218.49012279665718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269.21114382490202</v>
      </c>
      <c r="DU187" s="59">
        <f t="shared" si="152"/>
        <v>233.07776944102309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1.6807696726612078</v>
      </c>
      <c r="EB187" s="21">
        <f>EXP(-LN(2)/25)*EB186+(1-EXP(-LN(2)/25))/(LN(2)/25)*Calculateur!DW187*Calculateur!DY187*VLOOKUP('Données projet'!$B$14,Paramètres!$A$1:$I$89,3,0)*0.475*44/12</f>
        <v>4.7138535869054614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6.3946232595666697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7.9580786405131221E-13</v>
      </c>
      <c r="FF187" s="17">
        <f>FE187*VLOOKUP('Données projet'!$B$16,Paramètres!$A$1:$I$89,3,0)*VLOOKUP('Données projet'!$B$16,Paramètres!$A$1:$I$89,5,0)</f>
        <v>9.0626599558163429E-13</v>
      </c>
      <c r="FG187" s="13">
        <f t="shared" si="182"/>
        <v>1.053375439380333E-11</v>
      </c>
      <c r="FH187" s="20">
        <f t="shared" si="183"/>
        <v>1.9924702178178812E-11</v>
      </c>
      <c r="FI187" s="59">
        <f t="shared" si="131"/>
        <v>289.67078632612669</v>
      </c>
      <c r="FJ187" s="59">
        <f ca="1">AVERAGE(OFFSET($FI$3,0,0,'Données projet'!$E$16+1,1))-AVERAGE(OFFSET($H$3,0,0,'Données projet'!$E$16+1,1))</f>
        <v>833.39050463936144</v>
      </c>
      <c r="FK187" s="59">
        <f t="shared" si="156"/>
        <v>362.56178526355507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190.18837635323132</v>
      </c>
      <c r="FR187" s="21">
        <f>EXP(-LN(2)/25)*FR186+(1-EXP(-LN(2)/25))/(LN(2)/25)*Calculateur!FM187*Calculateur!FO187*VLOOKUP('Données projet'!$B$16,Paramètres!$A$1:$I$89,3,0)*0.475*44/12</f>
        <v>31.512112198113716</v>
      </c>
      <c r="FS187" s="21">
        <f>EXP(-LN(2)/2)*FS186+(1-EXP(-LN(2)/2))/(LN(2)/2)*FM187*FP187*VLOOKUP('Données projet'!$B$16,Paramètres!$A$1:$I$89,3,0)*0.475*44/12</f>
        <v>9.4557283204807376</v>
      </c>
      <c r="FT187" s="22">
        <f t="shared" si="184"/>
        <v>231.15621687182579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289.73432332846994</v>
      </c>
      <c r="S188" s="59">
        <f ca="1">AVERAGE(OFFSET($R$3,0,0,'Données projet'!$E$9+1,1))-AVERAGE(OFFSET($H$3,0,0,'Données projet'!$E$9+1,1))</f>
        <v>681.47578137804555</v>
      </c>
      <c r="T188" s="59">
        <f t="shared" si="142"/>
        <v>300.88511065995885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8.0694917414803056E-13</v>
      </c>
      <c r="AK188" s="13">
        <f t="shared" si="164"/>
        <v>9.5069530861628001E-12</v>
      </c>
      <c r="AL188" s="20">
        <f t="shared" si="165"/>
        <v>1.7963379770041364E-11</v>
      </c>
      <c r="AM188" s="59">
        <f t="shared" si="113"/>
        <v>289.7343233284717</v>
      </c>
      <c r="AN188" s="59">
        <f ca="1">AVERAGE(OFFSET($AM$3,0,0,'Données projet'!$E$10+1,1))-AVERAGE(OFFSET($H$3,0,0,'Données projet'!$E$10+1,1))</f>
        <v>752.45542076695506</v>
      </c>
      <c r="AO188" s="59">
        <f t="shared" si="144"/>
        <v>329.70629768420724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166.02504642830104</v>
      </c>
      <c r="AV188" s="21">
        <f>EXP(-LN(2)/25)*AV187+(1-EXP(-LN(2)/25))/(LN(2)/25)*Calculateur!AQ188*Calculateur!AS188*VLOOKUP('Données projet'!$B$10,Paramètres!$A$1:$I$89,3,0)*0.475*44/12</f>
        <v>27.291462590944001</v>
      </c>
      <c r="AW188" s="21">
        <f>EXP(-LN(2)/2)*AW187+(1-EXP(-LN(2)/2))/(LN(2)/2)*AQ188*AT188*VLOOKUP('Données projet'!$B$10,Paramètres!$A$1:$I$89,3,0)*0.475*44/12</f>
        <v>5.9534743160345878</v>
      </c>
      <c r="AX188" s="21">
        <f t="shared" si="166"/>
        <v>199.26998333527965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7.572907634312286E-13</v>
      </c>
      <c r="BF188" s="13">
        <f t="shared" si="167"/>
        <v>8.9881135648416407E-12</v>
      </c>
      <c r="BG188" s="20">
        <f t="shared" si="168"/>
        <v>1.6973245871741914E-11</v>
      </c>
      <c r="BH188" s="59">
        <f t="shared" si="116"/>
        <v>289.73432332847074</v>
      </c>
      <c r="BI188" s="59">
        <f ca="1">AVERAGE(OFFSET($BH$3,0,0,'Données projet'!$E$11+1,1))-AVERAGE(OFFSET($H$3,0,0,'Données projet'!$E$11+1,1))</f>
        <v>711.91538686535682</v>
      </c>
      <c r="BJ188" s="59">
        <f t="shared" si="146"/>
        <v>313.24593837351722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155.80812049425174</v>
      </c>
      <c r="BQ188" s="21">
        <f>EXP(-LN(2)/25)*BQ187+(1-EXP(-LN(2)/25))/(LN(2)/25)*Calculateur!BL188*Calculateur!BN188*VLOOKUP('Données projet'!$B$11,Paramètres!$A$1:$I$89,3,0)*0.475*44/12</f>
        <v>25.611987969962811</v>
      </c>
      <c r="BR188" s="21">
        <f>EXP(-LN(2)/2)*BR187+(1-EXP(-LN(2)/2))/(LN(2)/2)*BL188*BO188*VLOOKUP('Données projet'!$B$11,Paramètres!$A$1:$I$89,3,0)*0.475*44/12</f>
        <v>5.5871066658170747</v>
      </c>
      <c r="BS188" s="22">
        <f t="shared" si="169"/>
        <v>187.00721513003162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7.9580786405131221E-13</v>
      </c>
      <c r="BZ188" s="13">
        <f>BY188*VLOOKUP('Données projet'!$B$12,Paramètres!$A$1:$I$89,3,0)*VLOOKUP('Données projet'!$B$12,Paramètres!$A$1:$I$89,5,0)</f>
        <v>7.6970536611042922E-13</v>
      </c>
      <c r="CA188" s="13">
        <f t="shared" si="170"/>
        <v>9.1181851324470472E-12</v>
      </c>
      <c r="CB188" s="20">
        <f t="shared" si="171"/>
        <v>1.7221409284987601E-11</v>
      </c>
      <c r="CC188" s="59">
        <f t="shared" si="119"/>
        <v>289.73432332847096</v>
      </c>
      <c r="CD188" s="59">
        <f ca="1">AVERAGE(OFFSET($CC$3,0,0,'Données projet'!$E$12+1,1))-AVERAGE(OFFSET($H$3,0,0,'Données projet'!$E$12+1,1))</f>
        <v>722.05521609092671</v>
      </c>
      <c r="CE188" s="59">
        <f t="shared" si="148"/>
        <v>317.36319714884644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158.36235197776409</v>
      </c>
      <c r="CL188" s="21">
        <f>EXP(-LN(2)/25)*CL187+(1-EXP(-LN(2)/25))/(LN(2)/25)*Calculateur!CG188*Calculateur!CI188*VLOOKUP('Données projet'!$B$12,Paramètres!$A$1:$I$89,3,0)*0.475*44/12</f>
        <v>26.031856625208118</v>
      </c>
      <c r="CM188" s="21">
        <f>EXP(-LN(2)/2)*CM187+(1-EXP(-LN(2)/2))/(LN(2)/2)*CG188*CJ188*VLOOKUP('Données projet'!$B$12,Paramètres!$A$1:$I$89,3,0)*0.475*44/12</f>
        <v>5.6786985783714536</v>
      </c>
      <c r="CN188" s="22">
        <f t="shared" si="172"/>
        <v>190.07290718134368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7.9580786405131221E-13</v>
      </c>
      <c r="CU188" s="17">
        <f>CT188*VLOOKUP('Données projet'!$B$13,Paramètres!$A$1:$I$89,3,0)*VLOOKUP('Données projet'!$B$13,Paramètres!$A$1:$I$89,5,0)</f>
        <v>8.5660758486483253E-13</v>
      </c>
      <c r="CV188" s="13">
        <f t="shared" si="173"/>
        <v>1.0022086930673386E-11</v>
      </c>
      <c r="CW188" s="20">
        <f t="shared" si="174"/>
        <v>1.8947059614562397E-11</v>
      </c>
      <c r="CX188" s="59">
        <f t="shared" si="122"/>
        <v>289.73432332847267</v>
      </c>
      <c r="CY188" s="59">
        <f ca="1">AVERAGE(OFFSET($CX$3,0,0,'Données projet'!$E$13+1,1))-AVERAGE(OFFSET($H$3,0,0,'Données projet'!$E$13+1,1))</f>
        <v>792.94606354161886</v>
      </c>
      <c r="CZ188" s="59">
        <f t="shared" si="150"/>
        <v>346.14443498270919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176.24197236235031</v>
      </c>
      <c r="DG188" s="21">
        <f>EXP(-LN(2)/25)*DG187+(1-EXP(-LN(2)/25))/(LN(2)/25)*Calculateur!DB188*Calculateur!DD188*VLOOKUP('Données projet'!$B$13,Paramètres!$A$1:$I$89,3,0)*0.475*44/12</f>
        <v>28.970937211925165</v>
      </c>
      <c r="DH188" s="21">
        <f>EXP(-LN(2)/2)*DH187+(1-EXP(-LN(2)/2))/(LN(2)/2)*DB188*DE188*VLOOKUP('Données projet'!$B$13,Paramètres!$A$1:$I$89,3,0)*0.475*44/12</f>
        <v>6.3198419662520999</v>
      </c>
      <c r="DI188" s="22">
        <f t="shared" si="175"/>
        <v>211.53275154052758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269.21114382490202</v>
      </c>
      <c r="DU188" s="59">
        <f t="shared" si="152"/>
        <v>233.07776944102309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1.6478108045485949</v>
      </c>
      <c r="EB188" s="21">
        <f>EXP(-LN(2)/25)*EB187+(1-EXP(-LN(2)/25))/(LN(2)/25)*Calculateur!DW188*Calculateur!DY188*VLOOKUP('Données projet'!$B$14,Paramètres!$A$1:$I$89,3,0)*0.475*44/12</f>
        <v>4.584953012680745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6.2327638172293396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7.9580786405131221E-13</v>
      </c>
      <c r="FF188" s="17">
        <f>FE188*VLOOKUP('Données projet'!$B$16,Paramètres!$A$1:$I$89,3,0)*VLOOKUP('Données projet'!$B$16,Paramètres!$A$1:$I$89,5,0)</f>
        <v>9.0626599558163429E-13</v>
      </c>
      <c r="FG188" s="13">
        <f t="shared" si="182"/>
        <v>1.053375439380333E-11</v>
      </c>
      <c r="FH188" s="20">
        <f t="shared" si="183"/>
        <v>1.9924702178178812E-11</v>
      </c>
      <c r="FI188" s="59">
        <f t="shared" si="131"/>
        <v>289.73432332847369</v>
      </c>
      <c r="FJ188" s="59">
        <f ca="1">AVERAGE(OFFSET($FI$3,0,0,'Données projet'!$E$16+1,1))-AVERAGE(OFFSET($H$3,0,0,'Données projet'!$E$16+1,1))</f>
        <v>833.39050463936144</v>
      </c>
      <c r="FK188" s="59">
        <f t="shared" si="156"/>
        <v>362.56178526355507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186.45889829639964</v>
      </c>
      <c r="FR188" s="21">
        <f>EXP(-LN(2)/25)*FR187+(1-EXP(-LN(2)/25))/(LN(2)/25)*Calculateur!FM188*Calculateur!FO188*VLOOKUP('Données projet'!$B$16,Paramètres!$A$1:$I$89,3,0)*0.475*44/12</f>
        <v>30.650411832906336</v>
      </c>
      <c r="FS188" s="21">
        <f>EXP(-LN(2)/2)*FS187+(1-EXP(-LN(2)/2))/(LN(2)/2)*FM188*FP188*VLOOKUP('Données projet'!$B$16,Paramètres!$A$1:$I$89,3,0)*0.475*44/12</f>
        <v>6.6862096164696139</v>
      </c>
      <c r="FT188" s="22">
        <f t="shared" si="184"/>
        <v>223.79551974577561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289.79675810587361</v>
      </c>
      <c r="S189" s="59">
        <f ca="1">AVERAGE(OFFSET($R$3,0,0,'Données projet'!$E$9+1,1))-AVERAGE(OFFSET($H$3,0,0,'Données projet'!$E$9+1,1))</f>
        <v>681.47578137804555</v>
      </c>
      <c r="T189" s="59">
        <f t="shared" si="142"/>
        <v>300.88511065995885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8.0694917414803056E-13</v>
      </c>
      <c r="AK189" s="13">
        <f t="shared" si="164"/>
        <v>9.5069530861628001E-12</v>
      </c>
      <c r="AL189" s="20">
        <f t="shared" si="165"/>
        <v>1.7963379770041364E-11</v>
      </c>
      <c r="AM189" s="59">
        <f t="shared" si="113"/>
        <v>289.79675810587537</v>
      </c>
      <c r="AN189" s="59">
        <f ca="1">AVERAGE(OFFSET($AM$3,0,0,'Données projet'!$E$10+1,1))-AVERAGE(OFFSET($H$3,0,0,'Données projet'!$E$10+1,1))</f>
        <v>752.45542076695506</v>
      </c>
      <c r="AO189" s="59">
        <f t="shared" si="144"/>
        <v>329.70629768420724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162.76939653312127</v>
      </c>
      <c r="AV189" s="21">
        <f>EXP(-LN(2)/25)*AV188+(1-EXP(-LN(2)/25))/(LN(2)/25)*Calculateur!AQ189*Calculateur!AS189*VLOOKUP('Données projet'!$B$10,Paramètres!$A$1:$I$89,3,0)*0.475*44/12</f>
        <v>26.545176111198995</v>
      </c>
      <c r="AW189" s="21">
        <f>EXP(-LN(2)/2)*AW188+(1-EXP(-LN(2)/2))/(LN(2)/2)*AQ189*AT189*VLOOKUP('Données projet'!$B$10,Paramètres!$A$1:$I$89,3,0)*0.475*44/12</f>
        <v>4.2097420604879998</v>
      </c>
      <c r="AX189" s="21">
        <f t="shared" si="166"/>
        <v>193.52431470480826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7.572907634312286E-13</v>
      </c>
      <c r="BF189" s="13">
        <f t="shared" si="167"/>
        <v>8.9881135648416407E-12</v>
      </c>
      <c r="BG189" s="20">
        <f t="shared" si="168"/>
        <v>1.6973245871741914E-11</v>
      </c>
      <c r="BH189" s="59">
        <f t="shared" si="116"/>
        <v>289.7967581058744</v>
      </c>
      <c r="BI189" s="59">
        <f ca="1">AVERAGE(OFFSET($BH$3,0,0,'Données projet'!$E$11+1,1))-AVERAGE(OFFSET($H$3,0,0,'Données projet'!$E$11+1,1))</f>
        <v>711.91538686535682</v>
      </c>
      <c r="BJ189" s="59">
        <f t="shared" si="146"/>
        <v>313.24593837351722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152.75281828492919</v>
      </c>
      <c r="BQ189" s="21">
        <f>EXP(-LN(2)/25)*BQ188+(1-EXP(-LN(2)/25))/(LN(2)/25)*Calculateur!BL189*Calculateur!BN189*VLOOKUP('Données projet'!$B$11,Paramètres!$A$1:$I$89,3,0)*0.475*44/12</f>
        <v>24.911626812048269</v>
      </c>
      <c r="BR189" s="21">
        <f>EXP(-LN(2)/2)*BR188+(1-EXP(-LN(2)/2))/(LN(2)/2)*BL189*BO189*VLOOKUP('Données projet'!$B$11,Paramètres!$A$1:$I$89,3,0)*0.475*44/12</f>
        <v>3.9506810106118158</v>
      </c>
      <c r="BS189" s="22">
        <f t="shared" si="169"/>
        <v>181.61512610758928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7.9580786405131221E-13</v>
      </c>
      <c r="BZ189" s="13">
        <f>BY189*VLOOKUP('Données projet'!$B$12,Paramètres!$A$1:$I$89,3,0)*VLOOKUP('Données projet'!$B$12,Paramètres!$A$1:$I$89,5,0)</f>
        <v>7.6970536611042922E-13</v>
      </c>
      <c r="CA189" s="13">
        <f t="shared" si="170"/>
        <v>9.1181851324470472E-12</v>
      </c>
      <c r="CB189" s="20">
        <f t="shared" si="171"/>
        <v>1.7221409284987601E-11</v>
      </c>
      <c r="CC189" s="59">
        <f t="shared" si="119"/>
        <v>289.79675810587463</v>
      </c>
      <c r="CD189" s="59">
        <f ca="1">AVERAGE(OFFSET($CC$3,0,0,'Données projet'!$E$12+1,1))-AVERAGE(OFFSET($H$3,0,0,'Données projet'!$E$12+1,1))</f>
        <v>722.05521609092671</v>
      </c>
      <c r="CE189" s="59">
        <f t="shared" si="148"/>
        <v>317.36319714884644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155.25696284697722</v>
      </c>
      <c r="CL189" s="21">
        <f>EXP(-LN(2)/25)*CL188+(1-EXP(-LN(2)/25))/(LN(2)/25)*Calculateur!CG189*Calculateur!CI189*VLOOKUP('Données projet'!$B$12,Paramètres!$A$1:$I$89,3,0)*0.475*44/12</f>
        <v>25.320014136835958</v>
      </c>
      <c r="CM189" s="21">
        <f>EXP(-LN(2)/2)*CM188+(1-EXP(-LN(2)/2))/(LN(2)/2)*CG189*CJ189*VLOOKUP('Données projet'!$B$12,Paramètres!$A$1:$I$89,3,0)*0.475*44/12</f>
        <v>4.0154462730808627</v>
      </c>
      <c r="CN189" s="22">
        <f t="shared" si="172"/>
        <v>184.59242325689405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7.9580786405131221E-13</v>
      </c>
      <c r="CU189" s="17">
        <f>CT189*VLOOKUP('Données projet'!$B$13,Paramètres!$A$1:$I$89,3,0)*VLOOKUP('Données projet'!$B$13,Paramètres!$A$1:$I$89,5,0)</f>
        <v>8.5660758486483253E-13</v>
      </c>
      <c r="CV189" s="13">
        <f t="shared" si="173"/>
        <v>1.0022086930673386E-11</v>
      </c>
      <c r="CW189" s="20">
        <f t="shared" si="174"/>
        <v>1.8947059614562397E-11</v>
      </c>
      <c r="CX189" s="59">
        <f t="shared" si="122"/>
        <v>289.79675810587634</v>
      </c>
      <c r="CY189" s="59">
        <f ca="1">AVERAGE(OFFSET($CX$3,0,0,'Données projet'!$E$13+1,1))-AVERAGE(OFFSET($H$3,0,0,'Données projet'!$E$13+1,1))</f>
        <v>792.94606354161886</v>
      </c>
      <c r="CZ189" s="59">
        <f t="shared" si="150"/>
        <v>346.14443498270919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172.78597478131331</v>
      </c>
      <c r="DG189" s="21">
        <f>EXP(-LN(2)/25)*DG188+(1-EXP(-LN(2)/25))/(LN(2)/25)*Calculateur!DB189*Calculateur!DD189*VLOOKUP('Données projet'!$B$13,Paramètres!$A$1:$I$89,3,0)*0.475*44/12</f>
        <v>28.178725410349696</v>
      </c>
      <c r="DH189" s="21">
        <f>EXP(-LN(2)/2)*DH188+(1-EXP(-LN(2)/2))/(LN(2)/2)*DB189*DE189*VLOOKUP('Données projet'!$B$13,Paramètres!$A$1:$I$89,3,0)*0.475*44/12</f>
        <v>4.4688031103641839</v>
      </c>
      <c r="DI189" s="22">
        <f t="shared" si="175"/>
        <v>205.43350330202719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269.21114382490202</v>
      </c>
      <c r="DU189" s="59">
        <f t="shared" si="152"/>
        <v>233.07776944102309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1.6154982397367457</v>
      </c>
      <c r="EB189" s="21">
        <f>EXP(-LN(2)/25)*EB188+(1-EXP(-LN(2)/25))/(LN(2)/25)*Calculateur!DW189*Calculateur!DY189*VLOOKUP('Données projet'!$B$14,Paramètres!$A$1:$I$89,3,0)*0.475*44/12</f>
        <v>4.4595772314367901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6.0750754711735357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7.9580786405131221E-13</v>
      </c>
      <c r="FF189" s="17">
        <f>FE189*VLOOKUP('Données projet'!$B$16,Paramètres!$A$1:$I$89,3,0)*VLOOKUP('Données projet'!$B$16,Paramètres!$A$1:$I$89,5,0)</f>
        <v>9.0626599558163429E-13</v>
      </c>
      <c r="FG189" s="13">
        <f t="shared" si="182"/>
        <v>1.053375439380333E-11</v>
      </c>
      <c r="FH189" s="20">
        <f t="shared" si="183"/>
        <v>1.9924702178178812E-11</v>
      </c>
      <c r="FI189" s="59">
        <f t="shared" si="131"/>
        <v>289.79675810587736</v>
      </c>
      <c r="FJ189" s="59">
        <f ca="1">AVERAGE(OFFSET($FI$3,0,0,'Données projet'!$E$16+1,1))-AVERAGE(OFFSET($H$3,0,0,'Données projet'!$E$16+1,1))</f>
        <v>833.39050463936144</v>
      </c>
      <c r="FK189" s="59">
        <f t="shared" si="156"/>
        <v>362.56178526355507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182.80255302950542</v>
      </c>
      <c r="FR189" s="21">
        <f>EXP(-LN(2)/25)*FR188+(1-EXP(-LN(2)/25))/(LN(2)/25)*Calculateur!FM189*Calculateur!FO189*VLOOKUP('Données projet'!$B$16,Paramètres!$A$1:$I$89,3,0)*0.475*44/12</f>
        <v>29.812274709500407</v>
      </c>
      <c r="FS189" s="21">
        <f>EXP(-LN(2)/2)*FS188+(1-EXP(-LN(2)/2))/(LN(2)/2)*FM189*FP189*VLOOKUP('Données projet'!$B$16,Paramètres!$A$1:$I$89,3,0)*0.475*44/12</f>
        <v>4.7278641602403697</v>
      </c>
      <c r="FT189" s="22">
        <f t="shared" si="184"/>
        <v>217.34269189924618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289.85810977947261</v>
      </c>
      <c r="S190" s="59">
        <f ca="1">AVERAGE(OFFSET($R$3,0,0,'Données projet'!$E$9+1,1))-AVERAGE(OFFSET($H$3,0,0,'Données projet'!$E$9+1,1))</f>
        <v>681.47578137804555</v>
      </c>
      <c r="T190" s="59">
        <f t="shared" si="142"/>
        <v>300.88511065995885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8.0694917414803056E-13</v>
      </c>
      <c r="AK190" s="13">
        <f t="shared" si="164"/>
        <v>9.5069530861628001E-12</v>
      </c>
      <c r="AL190" s="20">
        <f t="shared" si="165"/>
        <v>1.7963379770041364E-11</v>
      </c>
      <c r="AM190" s="59">
        <f t="shared" si="113"/>
        <v>289.85810977947438</v>
      </c>
      <c r="AN190" s="59">
        <f ca="1">AVERAGE(OFFSET($AM$3,0,0,'Données projet'!$E$10+1,1))-AVERAGE(OFFSET($H$3,0,0,'Données projet'!$E$10+1,1))</f>
        <v>752.45542076695506</v>
      </c>
      <c r="AO190" s="59">
        <f t="shared" si="144"/>
        <v>329.70629768420724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159.57758794663562</v>
      </c>
      <c r="AV190" s="21">
        <f>EXP(-LN(2)/25)*AV189+(1-EXP(-LN(2)/25))/(LN(2)/25)*Calculateur!AQ190*Calculateur!AS190*VLOOKUP('Données projet'!$B$10,Paramètres!$A$1:$I$89,3,0)*0.475*44/12</f>
        <v>25.819296874488117</v>
      </c>
      <c r="AW190" s="21">
        <f>EXP(-LN(2)/2)*AW189+(1-EXP(-LN(2)/2))/(LN(2)/2)*AQ190*AT190*VLOOKUP('Données projet'!$B$10,Paramètres!$A$1:$I$89,3,0)*0.475*44/12</f>
        <v>2.9767371580172939</v>
      </c>
      <c r="AX190" s="21">
        <f t="shared" si="166"/>
        <v>188.37362197914103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7.572907634312286E-13</v>
      </c>
      <c r="BF190" s="13">
        <f t="shared" si="167"/>
        <v>8.9881135648416407E-12</v>
      </c>
      <c r="BG190" s="20">
        <f t="shared" si="168"/>
        <v>1.6973245871741914E-11</v>
      </c>
      <c r="BH190" s="59">
        <f t="shared" si="116"/>
        <v>289.85810977947341</v>
      </c>
      <c r="BI190" s="59">
        <f ca="1">AVERAGE(OFFSET($BH$3,0,0,'Données projet'!$E$11+1,1))-AVERAGE(OFFSET($H$3,0,0,'Données projet'!$E$11+1,1))</f>
        <v>711.91538686535682</v>
      </c>
      <c r="BJ190" s="59">
        <f t="shared" si="146"/>
        <v>313.24593837351722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149.75742868838111</v>
      </c>
      <c r="BQ190" s="21">
        <f>EXP(-LN(2)/25)*BQ189+(1-EXP(-LN(2)/25))/(LN(2)/25)*Calculateur!BL190*Calculateur!BN190*VLOOKUP('Données projet'!$B$11,Paramètres!$A$1:$I$89,3,0)*0.475*44/12</f>
        <v>24.23041706682729</v>
      </c>
      <c r="BR190" s="21">
        <f>EXP(-LN(2)/2)*BR189+(1-EXP(-LN(2)/2))/(LN(2)/2)*BL190*BO190*VLOOKUP('Données projet'!$B$11,Paramètres!$A$1:$I$89,3,0)*0.475*44/12</f>
        <v>2.7935533329085378</v>
      </c>
      <c r="BS190" s="22">
        <f t="shared" si="169"/>
        <v>176.78139908811696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7.9580786405131221E-13</v>
      </c>
      <c r="BZ190" s="13">
        <f>BY190*VLOOKUP('Données projet'!$B$12,Paramètres!$A$1:$I$89,3,0)*VLOOKUP('Données projet'!$B$12,Paramètres!$A$1:$I$89,5,0)</f>
        <v>7.6970536611042922E-13</v>
      </c>
      <c r="CA190" s="13">
        <f t="shared" si="170"/>
        <v>9.1181851324470472E-12</v>
      </c>
      <c r="CB190" s="20">
        <f t="shared" si="171"/>
        <v>1.7221409284987601E-11</v>
      </c>
      <c r="CC190" s="59">
        <f t="shared" si="119"/>
        <v>289.85810977947364</v>
      </c>
      <c r="CD190" s="59">
        <f ca="1">AVERAGE(OFFSET($CC$3,0,0,'Données projet'!$E$12+1,1))-AVERAGE(OFFSET($H$3,0,0,'Données projet'!$E$12+1,1))</f>
        <v>722.05521609092671</v>
      </c>
      <c r="CE190" s="59">
        <f t="shared" si="148"/>
        <v>317.36319714884644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152.21246850294474</v>
      </c>
      <c r="CL190" s="21">
        <f>EXP(-LN(2)/25)*CL189+(1-EXP(-LN(2)/25))/(LN(2)/25)*Calculateur!CG190*Calculateur!CI190*VLOOKUP('Données projet'!$B$12,Paramètres!$A$1:$I$89,3,0)*0.475*44/12</f>
        <v>24.627637018742504</v>
      </c>
      <c r="CM190" s="21">
        <f>EXP(-LN(2)/2)*CM189+(1-EXP(-LN(2)/2))/(LN(2)/2)*CG190*CJ190*VLOOKUP('Données projet'!$B$12,Paramètres!$A$1:$I$89,3,0)*0.475*44/12</f>
        <v>2.8393492891857277</v>
      </c>
      <c r="CN190" s="22">
        <f t="shared" si="172"/>
        <v>179.67945481087295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7.9580786405131221E-13</v>
      </c>
      <c r="CU190" s="17">
        <f>CT190*VLOOKUP('Données projet'!$B$13,Paramètres!$A$1:$I$89,3,0)*VLOOKUP('Données projet'!$B$13,Paramètres!$A$1:$I$89,5,0)</f>
        <v>8.5660758486483253E-13</v>
      </c>
      <c r="CV190" s="13">
        <f t="shared" si="173"/>
        <v>1.0022086930673386E-11</v>
      </c>
      <c r="CW190" s="20">
        <f t="shared" si="174"/>
        <v>1.8947059614562397E-11</v>
      </c>
      <c r="CX190" s="59">
        <f t="shared" si="122"/>
        <v>289.85810977947534</v>
      </c>
      <c r="CY190" s="59">
        <f ca="1">AVERAGE(OFFSET($CX$3,0,0,'Données projet'!$E$13+1,1))-AVERAGE(OFFSET($H$3,0,0,'Données projet'!$E$13+1,1))</f>
        <v>792.94606354161886</v>
      </c>
      <c r="CZ190" s="59">
        <f t="shared" si="150"/>
        <v>346.14443498270919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169.39774720489007</v>
      </c>
      <c r="DG190" s="21">
        <f>EXP(-LN(2)/25)*DG189+(1-EXP(-LN(2)/25))/(LN(2)/25)*Calculateur!DB190*Calculateur!DD190*VLOOKUP('Données projet'!$B$13,Paramètres!$A$1:$I$89,3,0)*0.475*44/12</f>
        <v>27.408176682148916</v>
      </c>
      <c r="DH190" s="21">
        <f>EXP(-LN(2)/2)*DH189+(1-EXP(-LN(2)/2))/(LN(2)/2)*DB190*DE190*VLOOKUP('Données projet'!$B$13,Paramètres!$A$1:$I$89,3,0)*0.475*44/12</f>
        <v>3.15992098312605</v>
      </c>
      <c r="DI190" s="22">
        <f t="shared" si="175"/>
        <v>199.96584487016503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269.21114382490202</v>
      </c>
      <c r="DU190" s="59">
        <f t="shared" si="152"/>
        <v>233.07776944102309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1.5838193046121385</v>
      </c>
      <c r="EB190" s="21">
        <f>EXP(-LN(2)/25)*EB189+(1-EXP(-LN(2)/25))/(LN(2)/25)*Calculateur!DW190*Calculateur!DY190*VLOOKUP('Données projet'!$B$14,Paramètres!$A$1:$I$89,3,0)*0.475*44/12</f>
        <v>4.3376298575241767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5.921449162136315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7.9580786405131221E-13</v>
      </c>
      <c r="FF190" s="17">
        <f>FE190*VLOOKUP('Données projet'!$B$16,Paramètres!$A$1:$I$89,3,0)*VLOOKUP('Données projet'!$B$16,Paramètres!$A$1:$I$89,5,0)</f>
        <v>9.0626599558163429E-13</v>
      </c>
      <c r="FG190" s="13">
        <f t="shared" si="182"/>
        <v>1.053375439380333E-11</v>
      </c>
      <c r="FH190" s="20">
        <f t="shared" si="183"/>
        <v>1.9924702178178812E-11</v>
      </c>
      <c r="FI190" s="59">
        <f t="shared" si="131"/>
        <v>289.85810977947637</v>
      </c>
      <c r="FJ190" s="59">
        <f ca="1">AVERAGE(OFFSET($FI$3,0,0,'Données projet'!$E$16+1,1))-AVERAGE(OFFSET($H$3,0,0,'Données projet'!$E$16+1,1))</f>
        <v>833.39050463936144</v>
      </c>
      <c r="FK190" s="59">
        <f t="shared" si="156"/>
        <v>362.56178526355507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179.2179064631446</v>
      </c>
      <c r="FR190" s="21">
        <f>EXP(-LN(2)/25)*FR189+(1-EXP(-LN(2)/25))/(LN(2)/25)*Calculateur!FM190*Calculateur!FO190*VLOOKUP('Données projet'!$B$16,Paramètres!$A$1:$I$89,3,0)*0.475*44/12</f>
        <v>28.997056489809729</v>
      </c>
      <c r="FS190" s="21">
        <f>EXP(-LN(2)/2)*FS189+(1-EXP(-LN(2)/2))/(LN(2)/2)*FM190*FP190*VLOOKUP('Données projet'!$B$16,Paramètres!$A$1:$I$89,3,0)*0.475*44/12</f>
        <v>3.3431048082348074</v>
      </c>
      <c r="FT190" s="22">
        <f t="shared" si="184"/>
        <v>211.55806776118914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289.91839713869643</v>
      </c>
      <c r="S191" s="59">
        <f ca="1">AVERAGE(OFFSET($R$3,0,0,'Données projet'!$E$9+1,1))-AVERAGE(OFFSET($H$3,0,0,'Données projet'!$E$9+1,1))</f>
        <v>681.47578137804555</v>
      </c>
      <c r="T191" s="59">
        <f t="shared" si="142"/>
        <v>300.88511065995885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8.0694917414803056E-13</v>
      </c>
      <c r="AK191" s="13">
        <f t="shared" si="164"/>
        <v>9.5069530861628001E-12</v>
      </c>
      <c r="AL191" s="20">
        <f t="shared" si="165"/>
        <v>1.7963379770041364E-11</v>
      </c>
      <c r="AM191" s="59">
        <f t="shared" si="113"/>
        <v>289.9183971386982</v>
      </c>
      <c r="AN191" s="59">
        <f ca="1">AVERAGE(OFFSET($AM$3,0,0,'Données projet'!$E$10+1,1))-AVERAGE(OFFSET($H$3,0,0,'Données projet'!$E$10+1,1))</f>
        <v>752.45542076695506</v>
      </c>
      <c r="AO191" s="59">
        <f t="shared" si="144"/>
        <v>329.70629768420724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156.44836877971994</v>
      </c>
      <c r="AV191" s="21">
        <f>EXP(-LN(2)/25)*AV190+(1-EXP(-LN(2)/25))/(LN(2)/25)*Calculateur!AQ191*Calculateur!AS191*VLOOKUP('Données projet'!$B$10,Paramètres!$A$1:$I$89,3,0)*0.475*44/12</f>
        <v>25.113266843677426</v>
      </c>
      <c r="AW191" s="21">
        <f>EXP(-LN(2)/2)*AW190+(1-EXP(-LN(2)/2))/(LN(2)/2)*AQ191*AT191*VLOOKUP('Données projet'!$B$10,Paramètres!$A$1:$I$89,3,0)*0.475*44/12</f>
        <v>2.1048710302439999</v>
      </c>
      <c r="AX191" s="21">
        <f t="shared" si="166"/>
        <v>183.66650665364136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7.572907634312286E-13</v>
      </c>
      <c r="BF191" s="13">
        <f t="shared" si="167"/>
        <v>8.9881135648416407E-12</v>
      </c>
      <c r="BG191" s="20">
        <f t="shared" si="168"/>
        <v>1.6973245871741914E-11</v>
      </c>
      <c r="BH191" s="59">
        <f t="shared" si="116"/>
        <v>289.91839713869723</v>
      </c>
      <c r="BI191" s="59">
        <f ca="1">AVERAGE(OFFSET($BH$3,0,0,'Données projet'!$E$11+1,1))-AVERAGE(OFFSET($H$3,0,0,'Données projet'!$E$11+1,1))</f>
        <v>711.91538686535682</v>
      </c>
      <c r="BJ191" s="59">
        <f t="shared" si="146"/>
        <v>313.24593837351722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146.82077685481408</v>
      </c>
      <c r="BQ191" s="21">
        <f>EXP(-LN(2)/25)*BQ190+(1-EXP(-LN(2)/25))/(LN(2)/25)*Calculateur!BL191*Calculateur!BN191*VLOOKUP('Données projet'!$B$11,Paramètres!$A$1:$I$89,3,0)*0.475*44/12</f>
        <v>23.567835037912644</v>
      </c>
      <c r="BR191" s="21">
        <f>EXP(-LN(2)/2)*BR190+(1-EXP(-LN(2)/2))/(LN(2)/2)*BL191*BO191*VLOOKUP('Données projet'!$B$11,Paramètres!$A$1:$I$89,3,0)*0.475*44/12</f>
        <v>1.9753405053059081</v>
      </c>
      <c r="BS191" s="22">
        <f t="shared" si="169"/>
        <v>172.36395239803261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7.9580786405131221E-13</v>
      </c>
      <c r="BZ191" s="13">
        <f>BY191*VLOOKUP('Données projet'!$B$12,Paramètres!$A$1:$I$89,3,0)*VLOOKUP('Données projet'!$B$12,Paramètres!$A$1:$I$89,5,0)</f>
        <v>7.6970536611042922E-13</v>
      </c>
      <c r="CA191" s="13">
        <f t="shared" si="170"/>
        <v>9.1181851324470472E-12</v>
      </c>
      <c r="CB191" s="20">
        <f t="shared" si="171"/>
        <v>1.7221409284987601E-11</v>
      </c>
      <c r="CC191" s="59">
        <f t="shared" si="119"/>
        <v>289.91839713869746</v>
      </c>
      <c r="CD191" s="59">
        <f ca="1">AVERAGE(OFFSET($CC$3,0,0,'Données projet'!$E$12+1,1))-AVERAGE(OFFSET($H$3,0,0,'Données projet'!$E$12+1,1))</f>
        <v>722.05521609092671</v>
      </c>
      <c r="CE191" s="59">
        <f t="shared" si="148"/>
        <v>317.36319714884644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149.22767483604056</v>
      </c>
      <c r="CL191" s="21">
        <f>EXP(-LN(2)/25)*CL190+(1-EXP(-LN(2)/25))/(LN(2)/25)*Calculateur!CG191*Calculateur!CI191*VLOOKUP('Données projet'!$B$12,Paramètres!$A$1:$I$89,3,0)*0.475*44/12</f>
        <v>23.954192989353846</v>
      </c>
      <c r="CM191" s="21">
        <f>EXP(-LN(2)/2)*CM190+(1-EXP(-LN(2)/2))/(LN(2)/2)*CG191*CJ191*VLOOKUP('Données projet'!$B$12,Paramètres!$A$1:$I$89,3,0)*0.475*44/12</f>
        <v>2.0077231365404318</v>
      </c>
      <c r="CN191" s="22">
        <f t="shared" si="172"/>
        <v>175.18959096193484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7.9580786405131221E-13</v>
      </c>
      <c r="CU191" s="17">
        <f>CT191*VLOOKUP('Données projet'!$B$13,Paramètres!$A$1:$I$89,3,0)*VLOOKUP('Données projet'!$B$13,Paramètres!$A$1:$I$89,5,0)</f>
        <v>8.5660758486483253E-13</v>
      </c>
      <c r="CV191" s="13">
        <f t="shared" si="173"/>
        <v>1.0022086930673386E-11</v>
      </c>
      <c r="CW191" s="20">
        <f t="shared" si="174"/>
        <v>1.8947059614562397E-11</v>
      </c>
      <c r="CX191" s="59">
        <f t="shared" si="122"/>
        <v>289.91839713869916</v>
      </c>
      <c r="CY191" s="59">
        <f ca="1">AVERAGE(OFFSET($CX$3,0,0,'Données projet'!$E$13+1,1))-AVERAGE(OFFSET($H$3,0,0,'Données projet'!$E$13+1,1))</f>
        <v>792.94606354161886</v>
      </c>
      <c r="CZ191" s="59">
        <f t="shared" si="150"/>
        <v>346.14443498270919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166.07596070462571</v>
      </c>
      <c r="DG191" s="21">
        <f>EXP(-LN(2)/25)*DG190+(1-EXP(-LN(2)/25))/(LN(2)/25)*Calculateur!DB191*Calculateur!DD191*VLOOKUP('Données projet'!$B$13,Paramètres!$A$1:$I$89,3,0)*0.475*44/12</f>
        <v>26.658698649442183</v>
      </c>
      <c r="DH191" s="21">
        <f>EXP(-LN(2)/2)*DH190+(1-EXP(-LN(2)/2))/(LN(2)/2)*DB191*DE191*VLOOKUP('Données projet'!$B$13,Paramètres!$A$1:$I$89,3,0)*0.475*44/12</f>
        <v>2.2344015551820919</v>
      </c>
      <c r="DI191" s="22">
        <f t="shared" si="175"/>
        <v>194.96906090925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269.21114382490202</v>
      </c>
      <c r="DU191" s="59">
        <f t="shared" si="152"/>
        <v>233.07776944102309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1.5527615740830822</v>
      </c>
      <c r="EB191" s="21">
        <f>EXP(-LN(2)/25)*EB190+(1-EXP(-LN(2)/25))/(LN(2)/25)*Calculateur!DW191*Calculateur!DY191*VLOOKUP('Données projet'!$B$14,Paramètres!$A$1:$I$89,3,0)*0.475*44/12</f>
        <v>4.2190171409641373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5.7717787150472191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7.9580786405131221E-13</v>
      </c>
      <c r="FF191" s="17">
        <f>FE191*VLOOKUP('Données projet'!$B$16,Paramètres!$A$1:$I$89,3,0)*VLOOKUP('Données projet'!$B$16,Paramètres!$A$1:$I$89,5,0)</f>
        <v>9.0626599558163429E-13</v>
      </c>
      <c r="FG191" s="13">
        <f t="shared" si="182"/>
        <v>1.053375439380333E-11</v>
      </c>
      <c r="FH191" s="20">
        <f t="shared" si="183"/>
        <v>1.9924702178178812E-11</v>
      </c>
      <c r="FI191" s="59">
        <f t="shared" si="131"/>
        <v>289.91839713870019</v>
      </c>
      <c r="FJ191" s="59">
        <f ca="1">AVERAGE(OFFSET($FI$3,0,0,'Données projet'!$E$16+1,1))-AVERAGE(OFFSET($H$3,0,0,'Données projet'!$E$16+1,1))</f>
        <v>833.39050463936144</v>
      </c>
      <c r="FK191" s="59">
        <f t="shared" si="156"/>
        <v>362.56178526355507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175.7035526295316</v>
      </c>
      <c r="FR191" s="21">
        <f>EXP(-LN(2)/25)*FR190+(1-EXP(-LN(2)/25))/(LN(2)/25)*Calculateur!FM191*Calculateur!FO191*VLOOKUP('Données projet'!$B$16,Paramètres!$A$1:$I$89,3,0)*0.475*44/12</f>
        <v>28.204130455206954</v>
      </c>
      <c r="FS191" s="21">
        <f>EXP(-LN(2)/2)*FS190+(1-EXP(-LN(2)/2))/(LN(2)/2)*FM191*FP191*VLOOKUP('Données projet'!$B$16,Paramètres!$A$1:$I$89,3,0)*0.475*44/12</f>
        <v>2.3639320801201849</v>
      </c>
      <c r="FT191" s="22">
        <f t="shared" si="184"/>
        <v>206.27161516485873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289.97763864702006</v>
      </c>
      <c r="S192" s="59">
        <f ca="1">AVERAGE(OFFSET($R$3,0,0,'Données projet'!$E$9+1,1))-AVERAGE(OFFSET($H$3,0,0,'Données projet'!$E$9+1,1))</f>
        <v>681.47578137804555</v>
      </c>
      <c r="T192" s="59">
        <f t="shared" si="142"/>
        <v>300.88511065995885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8.0694917414803056E-13</v>
      </c>
      <c r="AK192" s="13">
        <f t="shared" si="164"/>
        <v>9.5069530861628001E-12</v>
      </c>
      <c r="AL192" s="20">
        <f t="shared" si="165"/>
        <v>1.7963379770041364E-11</v>
      </c>
      <c r="AM192" s="59">
        <f t="shared" si="113"/>
        <v>289.97763864702182</v>
      </c>
      <c r="AN192" s="59">
        <f ca="1">AVERAGE(OFFSET($AM$3,0,0,'Données projet'!$E$10+1,1))-AVERAGE(OFFSET($H$3,0,0,'Données projet'!$E$10+1,1))</f>
        <v>752.45542076695506</v>
      </c>
      <c r="AO192" s="59">
        <f t="shared" si="144"/>
        <v>329.70629768420724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153.38051169203226</v>
      </c>
      <c r="AV192" s="21">
        <f>EXP(-LN(2)/25)*AV191+(1-EXP(-LN(2)/25))/(LN(2)/25)*Calculateur!AQ192*Calculateur!AS192*VLOOKUP('Données projet'!$B$10,Paramètres!$A$1:$I$89,3,0)*0.475*44/12</f>
        <v>24.426543241187762</v>
      </c>
      <c r="AW192" s="21">
        <f>EXP(-LN(2)/2)*AW191+(1-EXP(-LN(2)/2))/(LN(2)/2)*AQ192*AT192*VLOOKUP('Données projet'!$B$10,Paramètres!$A$1:$I$89,3,0)*0.475*44/12</f>
        <v>1.4883685790086469</v>
      </c>
      <c r="AX192" s="21">
        <f t="shared" si="166"/>
        <v>179.29542351222867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7.572907634312286E-13</v>
      </c>
      <c r="BF192" s="13">
        <f t="shared" si="167"/>
        <v>8.9881135648416407E-12</v>
      </c>
      <c r="BG192" s="20">
        <f t="shared" si="168"/>
        <v>1.6973245871741914E-11</v>
      </c>
      <c r="BH192" s="59">
        <f t="shared" si="116"/>
        <v>289.97763864702085</v>
      </c>
      <c r="BI192" s="59">
        <f ca="1">AVERAGE(OFFSET($BH$3,0,0,'Données projet'!$E$11+1,1))-AVERAGE(OFFSET($H$3,0,0,'Données projet'!$E$11+1,1))</f>
        <v>711.91538686535682</v>
      </c>
      <c r="BJ192" s="59">
        <f t="shared" si="146"/>
        <v>313.24593837351722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143.94171097252254</v>
      </c>
      <c r="BQ192" s="21">
        <f>EXP(-LN(2)/25)*BQ191+(1-EXP(-LN(2)/25))/(LN(2)/25)*Calculateur!BL192*Calculateur!BN192*VLOOKUP('Données projet'!$B$11,Paramètres!$A$1:$I$89,3,0)*0.475*44/12</f>
        <v>22.923371349422343</v>
      </c>
      <c r="BR192" s="21">
        <f>EXP(-LN(2)/2)*BR191+(1-EXP(-LN(2)/2))/(LN(2)/2)*BL192*BO192*VLOOKUP('Données projet'!$B$11,Paramètres!$A$1:$I$89,3,0)*0.475*44/12</f>
        <v>1.3967766664542691</v>
      </c>
      <c r="BS192" s="22">
        <f t="shared" si="169"/>
        <v>168.26185898839915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7.9580786405131221E-13</v>
      </c>
      <c r="BZ192" s="13">
        <f>BY192*VLOOKUP('Données projet'!$B$12,Paramètres!$A$1:$I$89,3,0)*VLOOKUP('Données projet'!$B$12,Paramètres!$A$1:$I$89,5,0)</f>
        <v>7.6970536611042922E-13</v>
      </c>
      <c r="CA192" s="13">
        <f t="shared" si="170"/>
        <v>9.1181851324470472E-12</v>
      </c>
      <c r="CB192" s="20">
        <f t="shared" si="171"/>
        <v>1.7221409284987601E-11</v>
      </c>
      <c r="CC192" s="59">
        <f t="shared" si="119"/>
        <v>289.97763864702108</v>
      </c>
      <c r="CD192" s="59">
        <f ca="1">AVERAGE(OFFSET($CC$3,0,0,'Données projet'!$E$12+1,1))-AVERAGE(OFFSET($H$3,0,0,'Données projet'!$E$12+1,1))</f>
        <v>722.05521609092671</v>
      </c>
      <c r="CE192" s="59">
        <f t="shared" si="148"/>
        <v>317.36319714884644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146.30141115239999</v>
      </c>
      <c r="CL192" s="21">
        <f>EXP(-LN(2)/25)*CL191+(1-EXP(-LN(2)/25))/(LN(2)/25)*Calculateur!CG192*Calculateur!CI192*VLOOKUP('Données projet'!$B$12,Paramètres!$A$1:$I$89,3,0)*0.475*44/12</f>
        <v>23.299164322363705</v>
      </c>
      <c r="CM192" s="21">
        <f>EXP(-LN(2)/2)*CM191+(1-EXP(-LN(2)/2))/(LN(2)/2)*CG192*CJ192*VLOOKUP('Données projet'!$B$12,Paramètres!$A$1:$I$89,3,0)*0.475*44/12</f>
        <v>1.4196746445928641</v>
      </c>
      <c r="CN192" s="22">
        <f t="shared" si="172"/>
        <v>171.02025011935658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7.9580786405131221E-13</v>
      </c>
      <c r="CU192" s="17">
        <f>CT192*VLOOKUP('Données projet'!$B$13,Paramètres!$A$1:$I$89,3,0)*VLOOKUP('Données projet'!$B$13,Paramètres!$A$1:$I$89,5,0)</f>
        <v>8.5660758486483253E-13</v>
      </c>
      <c r="CV192" s="13">
        <f t="shared" si="173"/>
        <v>1.0022086930673386E-11</v>
      </c>
      <c r="CW192" s="20">
        <f t="shared" si="174"/>
        <v>1.8947059614562397E-11</v>
      </c>
      <c r="CX192" s="59">
        <f t="shared" si="122"/>
        <v>289.97763864702279</v>
      </c>
      <c r="CY192" s="59">
        <f ca="1">AVERAGE(OFFSET($CX$3,0,0,'Données projet'!$E$13+1,1))-AVERAGE(OFFSET($H$3,0,0,'Données projet'!$E$13+1,1))</f>
        <v>792.94606354161886</v>
      </c>
      <c r="CZ192" s="59">
        <f t="shared" si="150"/>
        <v>346.14443498270919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162.81931241154186</v>
      </c>
      <c r="DG192" s="21">
        <f>EXP(-LN(2)/25)*DG191+(1-EXP(-LN(2)/25))/(LN(2)/25)*Calculateur!DB192*Calculateur!DD192*VLOOKUP('Données projet'!$B$13,Paramètres!$A$1:$I$89,3,0)*0.475*44/12</f>
        <v>25.929715132953152</v>
      </c>
      <c r="DH192" s="21">
        <f>EXP(-LN(2)/2)*DH191+(1-EXP(-LN(2)/2))/(LN(2)/2)*DB192*DE192*VLOOKUP('Données projet'!$B$13,Paramètres!$A$1:$I$89,3,0)*0.475*44/12</f>
        <v>1.579960491563025</v>
      </c>
      <c r="DI192" s="22">
        <f t="shared" si="175"/>
        <v>190.32898803605804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269.21114382490202</v>
      </c>
      <c r="DU192" s="59">
        <f t="shared" si="152"/>
        <v>233.07776944102309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1.5223128667063557</v>
      </c>
      <c r="EB192" s="21">
        <f>EXP(-LN(2)/25)*EB191+(1-EXP(-LN(2)/25))/(LN(2)/25)*Calculateur!DW192*Calculateur!DY192*VLOOKUP('Données projet'!$B$14,Paramètres!$A$1:$I$89,3,0)*0.475*44/12</f>
        <v>4.1036478953760041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5.62596076208236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7.9580786405131221E-13</v>
      </c>
      <c r="FF192" s="17">
        <f>FE192*VLOOKUP('Données projet'!$B$16,Paramètres!$A$1:$I$89,3,0)*VLOOKUP('Données projet'!$B$16,Paramètres!$A$1:$I$89,5,0)</f>
        <v>9.0626599558163429E-13</v>
      </c>
      <c r="FG192" s="13">
        <f t="shared" si="182"/>
        <v>1.053375439380333E-11</v>
      </c>
      <c r="FH192" s="20">
        <f t="shared" si="183"/>
        <v>1.9924702178178812E-11</v>
      </c>
      <c r="FI192" s="59">
        <f t="shared" si="131"/>
        <v>289.97763864702381</v>
      </c>
      <c r="FJ192" s="59">
        <f ca="1">AVERAGE(OFFSET($FI$3,0,0,'Données projet'!$E$16+1,1))-AVERAGE(OFFSET($H$3,0,0,'Données projet'!$E$16+1,1))</f>
        <v>833.39050463936144</v>
      </c>
      <c r="FK192" s="59">
        <f t="shared" si="156"/>
        <v>362.56178526355507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172.25811313105157</v>
      </c>
      <c r="FR192" s="21">
        <f>EXP(-LN(2)/25)*FR191+(1-EXP(-LN(2)/25))/(LN(2)/25)*Calculateur!FM192*Calculateur!FO192*VLOOKUP('Données projet'!$B$16,Paramètres!$A$1:$I$89,3,0)*0.475*44/12</f>
        <v>27.432887024718561</v>
      </c>
      <c r="FS192" s="21">
        <f>EXP(-LN(2)/2)*FS191+(1-EXP(-LN(2)/2))/(LN(2)/2)*FM192*FP192*VLOOKUP('Données projet'!$B$16,Paramètres!$A$1:$I$89,3,0)*0.475*44/12</f>
        <v>1.6715524041174037</v>
      </c>
      <c r="FT192" s="22">
        <f t="shared" si="184"/>
        <v>201.36255255988752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290.03585244761848</v>
      </c>
      <c r="S193" s="59">
        <f ca="1">AVERAGE(OFFSET($R$3,0,0,'Données projet'!$E$9+1,1))-AVERAGE(OFFSET($H$3,0,0,'Données projet'!$E$9+1,1))</f>
        <v>681.47578137804555</v>
      </c>
      <c r="T193" s="59">
        <f t="shared" si="142"/>
        <v>300.88511065995885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8.0694917414803056E-13</v>
      </c>
      <c r="AK193" s="13">
        <f t="shared" si="164"/>
        <v>9.5069530861628001E-12</v>
      </c>
      <c r="AL193" s="20">
        <f t="shared" si="165"/>
        <v>1.7963379770041364E-11</v>
      </c>
      <c r="AM193" s="59">
        <f t="shared" si="113"/>
        <v>290.03585244762024</v>
      </c>
      <c r="AN193" s="59">
        <f ca="1">AVERAGE(OFFSET($AM$3,0,0,'Données projet'!$E$10+1,1))-AVERAGE(OFFSET($H$3,0,0,'Données projet'!$E$10+1,1))</f>
        <v>752.45542076695506</v>
      </c>
      <c r="AO193" s="59">
        <f t="shared" si="144"/>
        <v>329.70629768420724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150.37281341062607</v>
      </c>
      <c r="AV193" s="21">
        <f>EXP(-LN(2)/25)*AV192+(1-EXP(-LN(2)/25))/(LN(2)/25)*Calculateur!AQ193*Calculateur!AS193*VLOOKUP('Données projet'!$B$10,Paramètres!$A$1:$I$89,3,0)*0.475*44/12</f>
        <v>23.758598131721403</v>
      </c>
      <c r="AW193" s="21">
        <f>EXP(-LN(2)/2)*AW192+(1-EXP(-LN(2)/2))/(LN(2)/2)*AQ193*AT193*VLOOKUP('Données projet'!$B$10,Paramètres!$A$1:$I$89,3,0)*0.475*44/12</f>
        <v>1.052435515122</v>
      </c>
      <c r="AX193" s="21">
        <f t="shared" si="166"/>
        <v>175.18384705746948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7.572907634312286E-13</v>
      </c>
      <c r="BF193" s="13">
        <f t="shared" si="167"/>
        <v>8.9881135648416407E-12</v>
      </c>
      <c r="BG193" s="20">
        <f t="shared" si="168"/>
        <v>1.6973245871741914E-11</v>
      </c>
      <c r="BH193" s="59">
        <f t="shared" si="116"/>
        <v>290.03585244761928</v>
      </c>
      <c r="BI193" s="59">
        <f ca="1">AVERAGE(OFFSET($BH$3,0,0,'Données projet'!$E$11+1,1))-AVERAGE(OFFSET($H$3,0,0,'Données projet'!$E$11+1,1))</f>
        <v>711.91538686535682</v>
      </c>
      <c r="BJ193" s="59">
        <f t="shared" si="146"/>
        <v>313.24593837351722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141.11910181612595</v>
      </c>
      <c r="BQ193" s="21">
        <f>EXP(-LN(2)/25)*BQ192+(1-EXP(-LN(2)/25))/(LN(2)/25)*Calculateur!BL193*Calculateur!BN193*VLOOKUP('Données projet'!$B$11,Paramètres!$A$1:$I$89,3,0)*0.475*44/12</f>
        <v>22.296530554384681</v>
      </c>
      <c r="BR193" s="21">
        <f>EXP(-LN(2)/2)*BR192+(1-EXP(-LN(2)/2))/(LN(2)/2)*BL193*BO193*VLOOKUP('Données projet'!$B$11,Paramètres!$A$1:$I$89,3,0)*0.475*44/12</f>
        <v>0.98767025265295427</v>
      </c>
      <c r="BS193" s="22">
        <f t="shared" si="169"/>
        <v>164.40330262316357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7.9580786405131221E-13</v>
      </c>
      <c r="BZ193" s="13">
        <f>BY193*VLOOKUP('Données projet'!$B$12,Paramètres!$A$1:$I$89,3,0)*VLOOKUP('Données projet'!$B$12,Paramètres!$A$1:$I$89,5,0)</f>
        <v>7.6970536611042922E-13</v>
      </c>
      <c r="CA193" s="13">
        <f t="shared" si="170"/>
        <v>9.1181851324470472E-12</v>
      </c>
      <c r="CB193" s="20">
        <f t="shared" si="171"/>
        <v>1.7221409284987601E-11</v>
      </c>
      <c r="CC193" s="59">
        <f t="shared" si="119"/>
        <v>290.0358524476195</v>
      </c>
      <c r="CD193" s="59">
        <f ca="1">AVERAGE(OFFSET($CC$3,0,0,'Données projet'!$E$12+1,1))-AVERAGE(OFFSET($H$3,0,0,'Données projet'!$E$12+1,1))</f>
        <v>722.05521609092671</v>
      </c>
      <c r="CE193" s="59">
        <f t="shared" si="148"/>
        <v>317.36319714884644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143.43252971475101</v>
      </c>
      <c r="CL193" s="21">
        <f>EXP(-LN(2)/25)*CL192+(1-EXP(-LN(2)/25))/(LN(2)/25)*Calculateur!CG193*Calculateur!CI193*VLOOKUP('Données projet'!$B$12,Paramètres!$A$1:$I$89,3,0)*0.475*44/12</f>
        <v>22.662047448718869</v>
      </c>
      <c r="CM193" s="21">
        <f>EXP(-LN(2)/2)*CM192+(1-EXP(-LN(2)/2))/(LN(2)/2)*CG193*CJ193*VLOOKUP('Données projet'!$B$12,Paramètres!$A$1:$I$89,3,0)*0.475*44/12</f>
        <v>1.0038615682702161</v>
      </c>
      <c r="CN193" s="22">
        <f t="shared" si="172"/>
        <v>167.09843873174012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7.9580786405131221E-13</v>
      </c>
      <c r="CU193" s="17">
        <f>CT193*VLOOKUP('Données projet'!$B$13,Paramètres!$A$1:$I$89,3,0)*VLOOKUP('Données projet'!$B$13,Paramètres!$A$1:$I$89,5,0)</f>
        <v>8.5660758486483253E-13</v>
      </c>
      <c r="CV193" s="13">
        <f t="shared" si="173"/>
        <v>1.0022086930673386E-11</v>
      </c>
      <c r="CW193" s="20">
        <f t="shared" si="174"/>
        <v>1.8947059614562397E-11</v>
      </c>
      <c r="CX193" s="59">
        <f t="shared" si="122"/>
        <v>290.03585244762121</v>
      </c>
      <c r="CY193" s="59">
        <f ca="1">AVERAGE(OFFSET($CX$3,0,0,'Données projet'!$E$13+1,1))-AVERAGE(OFFSET($H$3,0,0,'Données projet'!$E$13+1,1))</f>
        <v>792.94606354161886</v>
      </c>
      <c r="CZ193" s="59">
        <f t="shared" si="150"/>
        <v>346.14443498270919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159.62652500512604</v>
      </c>
      <c r="DG193" s="21">
        <f>EXP(-LN(2)/25)*DG192+(1-EXP(-LN(2)/25))/(LN(2)/25)*Calculateur!DB193*Calculateur!DD193*VLOOKUP('Données projet'!$B$13,Paramètres!$A$1:$I$89,3,0)*0.475*44/12</f>
        <v>25.220665709058093</v>
      </c>
      <c r="DH193" s="21">
        <f>EXP(-LN(2)/2)*DH192+(1-EXP(-LN(2)/2))/(LN(2)/2)*DB193*DE193*VLOOKUP('Données projet'!$B$13,Paramètres!$A$1:$I$89,3,0)*0.475*44/12</f>
        <v>1.117200777591046</v>
      </c>
      <c r="DI193" s="22">
        <f t="shared" si="175"/>
        <v>185.96439149177519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269.21114382490202</v>
      </c>
      <c r="DU193" s="59">
        <f t="shared" si="152"/>
        <v>233.07776944102309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1.492461239909409</v>
      </c>
      <c r="EB193" s="21">
        <f>EXP(-LN(2)/25)*EB192+(1-EXP(-LN(2)/25))/(LN(2)/25)*Calculateur!DW193*Calculateur!DY193*VLOOKUP('Données projet'!$B$14,Paramètres!$A$1:$I$89,3,0)*0.475*44/12</f>
        <v>3.9914334278754833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5.4838946677848925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7.9580786405131221E-13</v>
      </c>
      <c r="FF193" s="17">
        <f>FE193*VLOOKUP('Données projet'!$B$16,Paramètres!$A$1:$I$89,3,0)*VLOOKUP('Données projet'!$B$16,Paramètres!$A$1:$I$89,5,0)</f>
        <v>9.0626599558163429E-13</v>
      </c>
      <c r="FG193" s="13">
        <f t="shared" si="182"/>
        <v>1.053375439380333E-11</v>
      </c>
      <c r="FH193" s="20">
        <f t="shared" si="183"/>
        <v>1.9924702178178812E-11</v>
      </c>
      <c r="FI193" s="59">
        <f t="shared" si="131"/>
        <v>290.03585244762223</v>
      </c>
      <c r="FJ193" s="59">
        <f ca="1">AVERAGE(OFFSET($FI$3,0,0,'Données projet'!$E$16+1,1))-AVERAGE(OFFSET($H$3,0,0,'Données projet'!$E$16+1,1))</f>
        <v>833.39050463936144</v>
      </c>
      <c r="FK193" s="59">
        <f t="shared" si="156"/>
        <v>362.56178526355507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168.88023659962616</v>
      </c>
      <c r="FR193" s="21">
        <f>EXP(-LN(2)/25)*FR192+(1-EXP(-LN(2)/25))/(LN(2)/25)*Calculateur!FM193*Calculateur!FO193*VLOOKUP('Données projet'!$B$16,Paramètres!$A$1:$I$89,3,0)*0.475*44/12</f>
        <v>26.6827332863948</v>
      </c>
      <c r="FS193" s="21">
        <f>EXP(-LN(2)/2)*FS192+(1-EXP(-LN(2)/2))/(LN(2)/2)*FM193*FP193*VLOOKUP('Données projet'!$B$16,Paramètres!$A$1:$I$89,3,0)*0.475*44/12</f>
        <v>1.1819660400600924</v>
      </c>
      <c r="FT193" s="22">
        <f t="shared" si="184"/>
        <v>196.74493592608107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290.09305636892304</v>
      </c>
      <c r="S194" s="59">
        <f ca="1">AVERAGE(OFFSET($R$3,0,0,'Données projet'!$E$9+1,1))-AVERAGE(OFFSET($H$3,0,0,'Données projet'!$E$9+1,1))</f>
        <v>681.47578137804555</v>
      </c>
      <c r="T194" s="59">
        <f t="shared" si="142"/>
        <v>300.88511065995885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8.0694917414803056E-13</v>
      </c>
      <c r="AK194" s="13">
        <f t="shared" si="164"/>
        <v>9.5069530861628001E-12</v>
      </c>
      <c r="AL194" s="20">
        <f t="shared" si="165"/>
        <v>1.7963379770041364E-11</v>
      </c>
      <c r="AM194" s="59">
        <f t="shared" si="113"/>
        <v>290.09305636892481</v>
      </c>
      <c r="AN194" s="59">
        <f ca="1">AVERAGE(OFFSET($AM$3,0,0,'Données projet'!$E$10+1,1))-AVERAGE(OFFSET($H$3,0,0,'Données projet'!$E$10+1,1))</f>
        <v>752.45542076695506</v>
      </c>
      <c r="AO194" s="59">
        <f t="shared" si="144"/>
        <v>329.70629768420724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147.42409425800344</v>
      </c>
      <c r="AV194" s="21">
        <f>EXP(-LN(2)/25)*AV193+(1-EXP(-LN(2)/25))/(LN(2)/25)*Calculateur!AQ194*Calculateur!AS194*VLOOKUP('Données projet'!$B$10,Paramètres!$A$1:$I$89,3,0)*0.475*44/12</f>
        <v>23.108918016399105</v>
      </c>
      <c r="AW194" s="21">
        <f>EXP(-LN(2)/2)*AW193+(1-EXP(-LN(2)/2))/(LN(2)/2)*AQ194*AT194*VLOOKUP('Données projet'!$B$10,Paramètres!$A$1:$I$89,3,0)*0.475*44/12</f>
        <v>0.74418428950432347</v>
      </c>
      <c r="AX194" s="21">
        <f t="shared" si="166"/>
        <v>171.27719656390687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7.572907634312286E-13</v>
      </c>
      <c r="BF194" s="13">
        <f t="shared" si="167"/>
        <v>8.9881135648416407E-12</v>
      </c>
      <c r="BG194" s="20">
        <f t="shared" si="168"/>
        <v>1.6973245871741914E-11</v>
      </c>
      <c r="BH194" s="59">
        <f t="shared" si="116"/>
        <v>290.09305636892384</v>
      </c>
      <c r="BI194" s="59">
        <f ca="1">AVERAGE(OFFSET($BH$3,0,0,'Données projet'!$E$11+1,1))-AVERAGE(OFFSET($H$3,0,0,'Données projet'!$E$11+1,1))</f>
        <v>711.91538686535682</v>
      </c>
      <c r="BJ194" s="59">
        <f t="shared" si="146"/>
        <v>313.24593837351722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138.35184230366471</v>
      </c>
      <c r="BQ194" s="21">
        <f>EXP(-LN(2)/25)*BQ193+(1-EXP(-LN(2)/25))/(LN(2)/25)*Calculateur!BL194*Calculateur!BN194*VLOOKUP('Données projet'!$B$11,Paramètres!$A$1:$I$89,3,0)*0.475*44/12</f>
        <v>21.686830753851449</v>
      </c>
      <c r="BR194" s="21">
        <f>EXP(-LN(2)/2)*BR193+(1-EXP(-LN(2)/2))/(LN(2)/2)*BL194*BO194*VLOOKUP('Données projet'!$B$11,Paramètres!$A$1:$I$89,3,0)*0.475*44/12</f>
        <v>0.69838833322713467</v>
      </c>
      <c r="BS194" s="22">
        <f t="shared" si="169"/>
        <v>160.73706139074329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7.9580786405131221E-13</v>
      </c>
      <c r="BZ194" s="13">
        <f>BY194*VLOOKUP('Données projet'!$B$12,Paramètres!$A$1:$I$89,3,0)*VLOOKUP('Données projet'!$B$12,Paramètres!$A$1:$I$89,5,0)</f>
        <v>7.6970536611042922E-13</v>
      </c>
      <c r="CA194" s="13">
        <f t="shared" si="170"/>
        <v>9.1181851324470472E-12</v>
      </c>
      <c r="CB194" s="20">
        <f t="shared" si="171"/>
        <v>1.7221409284987601E-11</v>
      </c>
      <c r="CC194" s="59">
        <f t="shared" si="119"/>
        <v>290.09305636892407</v>
      </c>
      <c r="CD194" s="59">
        <f ca="1">AVERAGE(OFFSET($CC$3,0,0,'Données projet'!$E$12+1,1))-AVERAGE(OFFSET($H$3,0,0,'Données projet'!$E$12+1,1))</f>
        <v>722.05521609092671</v>
      </c>
      <c r="CE194" s="59">
        <f t="shared" si="148"/>
        <v>317.36319714884644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140.61990529224943</v>
      </c>
      <c r="CL194" s="21">
        <f>EXP(-LN(2)/25)*CL193+(1-EXP(-LN(2)/25))/(LN(2)/25)*Calculateur!CG194*Calculateur!CI194*VLOOKUP('Données projet'!$B$12,Paramètres!$A$1:$I$89,3,0)*0.475*44/12</f>
        <v>22.042352569488372</v>
      </c>
      <c r="CM194" s="21">
        <f>EXP(-LN(2)/2)*CM193+(1-EXP(-LN(2)/2))/(LN(2)/2)*CG194*CJ194*VLOOKUP('Données projet'!$B$12,Paramètres!$A$1:$I$89,3,0)*0.475*44/12</f>
        <v>0.70983732229643215</v>
      </c>
      <c r="CN194" s="22">
        <f t="shared" si="172"/>
        <v>163.37209518403424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7.9580786405131221E-13</v>
      </c>
      <c r="CU194" s="17">
        <f>CT194*VLOOKUP('Données projet'!$B$13,Paramètres!$A$1:$I$89,3,0)*VLOOKUP('Données projet'!$B$13,Paramètres!$A$1:$I$89,5,0)</f>
        <v>8.5660758486483253E-13</v>
      </c>
      <c r="CV194" s="13">
        <f t="shared" si="173"/>
        <v>1.0022086930673386E-11</v>
      </c>
      <c r="CW194" s="20">
        <f t="shared" si="174"/>
        <v>1.8947059614562397E-11</v>
      </c>
      <c r="CX194" s="59">
        <f t="shared" si="122"/>
        <v>290.09305636892577</v>
      </c>
      <c r="CY194" s="59">
        <f ca="1">AVERAGE(OFFSET($CX$3,0,0,'Données projet'!$E$13+1,1))-AVERAGE(OFFSET($H$3,0,0,'Données projet'!$E$13+1,1))</f>
        <v>792.94606354161886</v>
      </c>
      <c r="CZ194" s="59">
        <f t="shared" si="150"/>
        <v>346.14443498270919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156.49634621234202</v>
      </c>
      <c r="DG194" s="21">
        <f>EXP(-LN(2)/25)*DG193+(1-EXP(-LN(2)/25))/(LN(2)/25)*Calculateur!DB194*Calculateur!DD194*VLOOKUP('Données projet'!$B$13,Paramètres!$A$1:$I$89,3,0)*0.475*44/12</f>
        <v>24.531005278946733</v>
      </c>
      <c r="DH194" s="21">
        <f>EXP(-LN(2)/2)*DH193+(1-EXP(-LN(2)/2))/(LN(2)/2)*DB194*DE194*VLOOKUP('Données projet'!$B$13,Paramètres!$A$1:$I$89,3,0)*0.475*44/12</f>
        <v>0.78998024578151249</v>
      </c>
      <c r="DI194" s="22">
        <f t="shared" si="175"/>
        <v>181.81733173707028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269.21114382490202</v>
      </c>
      <c r="DU194" s="59">
        <f t="shared" si="152"/>
        <v>233.07776944102309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1.463194985306256</v>
      </c>
      <c r="EB194" s="21">
        <f>EXP(-LN(2)/25)*EB193+(1-EXP(-LN(2)/25))/(LN(2)/25)*Calculateur!DW194*Calculateur!DY194*VLOOKUP('Données projet'!$B$14,Paramètres!$A$1:$I$89,3,0)*0.475*44/12</f>
        <v>3.8822874708898669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5.3454824561961232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7.9580786405131221E-13</v>
      </c>
      <c r="FF194" s="17">
        <f>FE194*VLOOKUP('Données projet'!$B$16,Paramètres!$A$1:$I$89,3,0)*VLOOKUP('Données projet'!$B$16,Paramètres!$A$1:$I$89,5,0)</f>
        <v>9.0626599558163429E-13</v>
      </c>
      <c r="FG194" s="13">
        <f t="shared" si="182"/>
        <v>1.053375439380333E-11</v>
      </c>
      <c r="FH194" s="20">
        <f t="shared" si="183"/>
        <v>1.9924702178178812E-11</v>
      </c>
      <c r="FI194" s="59">
        <f t="shared" si="131"/>
        <v>290.0930563689268</v>
      </c>
      <c r="FJ194" s="59">
        <f ca="1">AVERAGE(OFFSET($FI$3,0,0,'Données projet'!$E$16+1,1))-AVERAGE(OFFSET($H$3,0,0,'Données projet'!$E$16+1,1))</f>
        <v>833.39050463936144</v>
      </c>
      <c r="FK194" s="59">
        <f t="shared" si="156"/>
        <v>362.56178526355507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165.56859816668074</v>
      </c>
      <c r="FR194" s="21">
        <f>EXP(-LN(2)/25)*FR193+(1-EXP(-LN(2)/25))/(LN(2)/25)*Calculateur!FM194*Calculateur!FO194*VLOOKUP('Données projet'!$B$16,Paramètres!$A$1:$I$89,3,0)*0.475*44/12</f>
        <v>25.953092541494375</v>
      </c>
      <c r="FS194" s="21">
        <f>EXP(-LN(2)/2)*FS193+(1-EXP(-LN(2)/2))/(LN(2)/2)*FM194*FP194*VLOOKUP('Données projet'!$B$16,Paramètres!$A$1:$I$89,3,0)*0.475*44/12</f>
        <v>0.83577620205870184</v>
      </c>
      <c r="FT194" s="22">
        <f t="shared" si="184"/>
        <v>192.35746691023382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290.14926793008186</v>
      </c>
      <c r="S195" s="59">
        <f ca="1">AVERAGE(OFFSET($R$3,0,0,'Données projet'!$E$9+1,1))-AVERAGE(OFFSET($H$3,0,0,'Données projet'!$E$9+1,1))</f>
        <v>681.47578137804555</v>
      </c>
      <c r="T195" s="59">
        <f t="shared" si="142"/>
        <v>300.88511065995885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8.0694917414803056E-13</v>
      </c>
      <c r="AK195" s="13">
        <f t="shared" si="164"/>
        <v>9.5069530861628001E-12</v>
      </c>
      <c r="AL195" s="20">
        <f t="shared" si="165"/>
        <v>1.7963379770041364E-11</v>
      </c>
      <c r="AM195" s="59">
        <f t="shared" si="113"/>
        <v>290.14926793008362</v>
      </c>
      <c r="AN195" s="59">
        <f ca="1">AVERAGE(OFFSET($AM$3,0,0,'Données projet'!$E$10+1,1))-AVERAGE(OFFSET($H$3,0,0,'Données projet'!$E$10+1,1))</f>
        <v>752.45542076695506</v>
      </c>
      <c r="AO195" s="59">
        <f t="shared" si="144"/>
        <v>329.70629768420724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144.53319768942265</v>
      </c>
      <c r="AV195" s="21">
        <f>EXP(-LN(2)/25)*AV194+(1-EXP(-LN(2)/25))/(LN(2)/25)*Calculateur!AQ195*Calculateur!AS195*VLOOKUP('Données projet'!$B$10,Paramètres!$A$1:$I$89,3,0)*0.475*44/12</f>
        <v>22.477003437995489</v>
      </c>
      <c r="AW195" s="21">
        <f>EXP(-LN(2)/2)*AW194+(1-EXP(-LN(2)/2))/(LN(2)/2)*AQ195*AT195*VLOOKUP('Données projet'!$B$10,Paramètres!$A$1:$I$89,3,0)*0.475*44/12</f>
        <v>0.52621775756099998</v>
      </c>
      <c r="AX195" s="21">
        <f t="shared" si="166"/>
        <v>167.53641888497913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7.572907634312286E-13</v>
      </c>
      <c r="BF195" s="13">
        <f t="shared" si="167"/>
        <v>8.9881135648416407E-12</v>
      </c>
      <c r="BG195" s="20">
        <f t="shared" si="168"/>
        <v>1.6973245871741914E-11</v>
      </c>
      <c r="BH195" s="59">
        <f t="shared" si="116"/>
        <v>290.14926793008266</v>
      </c>
      <c r="BI195" s="59">
        <f ca="1">AVERAGE(OFFSET($BH$3,0,0,'Données projet'!$E$11+1,1))-AVERAGE(OFFSET($H$3,0,0,'Données projet'!$E$11+1,1))</f>
        <v>711.91538686535682</v>
      </c>
      <c r="BJ195" s="59">
        <f t="shared" si="146"/>
        <v>313.24593837351722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135.63884706238119</v>
      </c>
      <c r="BQ195" s="21">
        <f>EXP(-LN(2)/25)*BQ194+(1-EXP(-LN(2)/25))/(LN(2)/25)*Calculateur!BL195*Calculateur!BN195*VLOOKUP('Données projet'!$B$11,Paramètres!$A$1:$I$89,3,0)*0.475*44/12</f>
        <v>21.09380322642652</v>
      </c>
      <c r="BR195" s="21">
        <f>EXP(-LN(2)/2)*BR194+(1-EXP(-LN(2)/2))/(LN(2)/2)*BL195*BO195*VLOOKUP('Données projet'!$B$11,Paramètres!$A$1:$I$89,3,0)*0.475*44/12</f>
        <v>0.49383512632647719</v>
      </c>
      <c r="BS195" s="22">
        <f t="shared" si="169"/>
        <v>157.22648541513419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7.9580786405131221E-13</v>
      </c>
      <c r="BZ195" s="13">
        <f>BY195*VLOOKUP('Données projet'!$B$12,Paramètres!$A$1:$I$89,3,0)*VLOOKUP('Données projet'!$B$12,Paramètres!$A$1:$I$89,5,0)</f>
        <v>7.6970536611042922E-13</v>
      </c>
      <c r="CA195" s="13">
        <f t="shared" si="170"/>
        <v>9.1181851324470472E-12</v>
      </c>
      <c r="CB195" s="20">
        <f t="shared" si="171"/>
        <v>1.7221409284987601E-11</v>
      </c>
      <c r="CC195" s="59">
        <f t="shared" si="119"/>
        <v>290.14926793008289</v>
      </c>
      <c r="CD195" s="59">
        <f ca="1">AVERAGE(OFFSET($CC$3,0,0,'Données projet'!$E$12+1,1))-AVERAGE(OFFSET($H$3,0,0,'Données projet'!$E$12+1,1))</f>
        <v>722.05521609092671</v>
      </c>
      <c r="CE195" s="59">
        <f t="shared" si="148"/>
        <v>317.36319714884644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137.86243471914159</v>
      </c>
      <c r="CL195" s="21">
        <f>EXP(-LN(2)/25)*CL194+(1-EXP(-LN(2)/25))/(LN(2)/25)*Calculateur!CG195*Calculateur!CI195*VLOOKUP('Données projet'!$B$12,Paramètres!$A$1:$I$89,3,0)*0.475*44/12</f>
        <v>21.439603279318771</v>
      </c>
      <c r="CM195" s="21">
        <f>EXP(-LN(2)/2)*CM194+(1-EXP(-LN(2)/2))/(LN(2)/2)*CG195*CJ195*VLOOKUP('Données projet'!$B$12,Paramètres!$A$1:$I$89,3,0)*0.475*44/12</f>
        <v>0.50193078413510805</v>
      </c>
      <c r="CN195" s="22">
        <f t="shared" si="172"/>
        <v>159.80396878259546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7.9580786405131221E-13</v>
      </c>
      <c r="CU195" s="17">
        <f>CT195*VLOOKUP('Données projet'!$B$13,Paramètres!$A$1:$I$89,3,0)*VLOOKUP('Données projet'!$B$13,Paramètres!$A$1:$I$89,5,0)</f>
        <v>8.5660758486483253E-13</v>
      </c>
      <c r="CV195" s="13">
        <f t="shared" si="173"/>
        <v>1.0022086930673386E-11</v>
      </c>
      <c r="CW195" s="20">
        <f t="shared" si="174"/>
        <v>1.8947059614562397E-11</v>
      </c>
      <c r="CX195" s="59">
        <f t="shared" si="122"/>
        <v>290.14926793008459</v>
      </c>
      <c r="CY195" s="59">
        <f ca="1">AVERAGE(OFFSET($CX$3,0,0,'Données projet'!$E$13+1,1))-AVERAGE(OFFSET($H$3,0,0,'Données projet'!$E$13+1,1))</f>
        <v>792.94606354161886</v>
      </c>
      <c r="CZ195" s="59">
        <f t="shared" si="150"/>
        <v>346.14443498270919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153.42754831646394</v>
      </c>
      <c r="DG195" s="21">
        <f>EXP(-LN(2)/25)*DG194+(1-EXP(-LN(2)/25))/(LN(2)/25)*Calculateur!DB195*Calculateur!DD195*VLOOKUP('Données projet'!$B$13,Paramètres!$A$1:$I$89,3,0)*0.475*44/12</f>
        <v>23.860203649564433</v>
      </c>
      <c r="DH195" s="21">
        <f>EXP(-LN(2)/2)*DH194+(1-EXP(-LN(2)/2))/(LN(2)/2)*DB195*DE195*VLOOKUP('Données projet'!$B$13,Paramètres!$A$1:$I$89,3,0)*0.475*44/12</f>
        <v>0.55860038879552298</v>
      </c>
      <c r="DI195" s="22">
        <f t="shared" si="175"/>
        <v>177.84635235482389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269.21114382490202</v>
      </c>
      <c r="DU195" s="59">
        <f t="shared" si="152"/>
        <v>233.07776944102309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1.4345026241052181</v>
      </c>
      <c r="EB195" s="21">
        <f>EXP(-LN(2)/25)*EB194+(1-EXP(-LN(2)/25))/(LN(2)/25)*Calculateur!DW195*Calculateur!DY195*VLOOKUP('Données projet'!$B$14,Paramètres!$A$1:$I$89,3,0)*0.475*44/12</f>
        <v>3.7761261158377586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5.2106287399429769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7.9580786405131221E-13</v>
      </c>
      <c r="FF195" s="17">
        <f>FE195*VLOOKUP('Données projet'!$B$16,Paramètres!$A$1:$I$89,3,0)*VLOOKUP('Données projet'!$B$16,Paramètres!$A$1:$I$89,5,0)</f>
        <v>9.0626599558163429E-13</v>
      </c>
      <c r="FG195" s="13">
        <f t="shared" si="182"/>
        <v>1.053375439380333E-11</v>
      </c>
      <c r="FH195" s="20">
        <f t="shared" si="183"/>
        <v>1.9924702178178812E-11</v>
      </c>
      <c r="FI195" s="59">
        <f t="shared" si="131"/>
        <v>290.14926793008561</v>
      </c>
      <c r="FJ195" s="59">
        <f ca="1">AVERAGE(OFFSET($FI$3,0,0,'Données projet'!$E$16+1,1))-AVERAGE(OFFSET($H$3,0,0,'Données projet'!$E$16+1,1))</f>
        <v>833.39050463936144</v>
      </c>
      <c r="FK195" s="59">
        <f t="shared" si="156"/>
        <v>362.56178526355507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162.3218989435054</v>
      </c>
      <c r="FR195" s="21">
        <f>EXP(-LN(2)/25)*FR194+(1-EXP(-LN(2)/25))/(LN(2)/25)*Calculateur!FM195*Calculateur!FO195*VLOOKUP('Données projet'!$B$16,Paramètres!$A$1:$I$89,3,0)*0.475*44/12</f>
        <v>25.243403861133391</v>
      </c>
      <c r="FS195" s="21">
        <f>EXP(-LN(2)/2)*FS194+(1-EXP(-LN(2)/2))/(LN(2)/2)*FM195*FP195*VLOOKUP('Données projet'!$B$16,Paramètres!$A$1:$I$89,3,0)*0.475*44/12</f>
        <v>0.59098302003004621</v>
      </c>
      <c r="FT195" s="22">
        <f t="shared" si="184"/>
        <v>188.15628582466886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290.20450434632471</v>
      </c>
      <c r="S196" s="59">
        <f ca="1">AVERAGE(OFFSET($R$3,0,0,'Données projet'!$E$9+1,1))-AVERAGE(OFFSET($H$3,0,0,'Données projet'!$E$9+1,1))</f>
        <v>681.47578137804555</v>
      </c>
      <c r="T196" s="59">
        <f t="shared" si="142"/>
        <v>300.88511065995885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8.0694917414803056E-13</v>
      </c>
      <c r="AK196" s="13">
        <f t="shared" si="164"/>
        <v>9.5069530861628001E-12</v>
      </c>
      <c r="AL196" s="20">
        <f t="shared" si="165"/>
        <v>1.7963379770041364E-11</v>
      </c>
      <c r="AM196" s="59">
        <f t="shared" ref="AM196:AM203" si="193">AL196+(AD196+AE196)*44/12</f>
        <v>290.20450434632647</v>
      </c>
      <c r="AN196" s="59">
        <f ca="1">AVERAGE(OFFSET($AM$3,0,0,'Données projet'!$E$10+1,1))-AVERAGE(OFFSET($H$3,0,0,'Données projet'!$E$10+1,1))</f>
        <v>752.45542076695506</v>
      </c>
      <c r="AO196" s="59">
        <f t="shared" si="144"/>
        <v>329.70629768420724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141.69898983927894</v>
      </c>
      <c r="AV196" s="21">
        <f>EXP(-LN(2)/25)*AV195+(1-EXP(-LN(2)/25))/(LN(2)/25)*Calculateur!AQ196*Calculateur!AS196*VLOOKUP('Données projet'!$B$10,Paramètres!$A$1:$I$89,3,0)*0.475*44/12</f>
        <v>21.862368596969262</v>
      </c>
      <c r="AW196" s="21">
        <f>EXP(-LN(2)/2)*AW195+(1-EXP(-LN(2)/2))/(LN(2)/2)*AQ196*AT196*VLOOKUP('Données projet'!$B$10,Paramètres!$A$1:$I$89,3,0)*0.475*44/12</f>
        <v>0.37209214475216174</v>
      </c>
      <c r="AX196" s="21">
        <f t="shared" si="166"/>
        <v>163.93345058100039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7.572907634312286E-13</v>
      </c>
      <c r="BF196" s="13">
        <f t="shared" si="167"/>
        <v>8.9881135648416407E-12</v>
      </c>
      <c r="BG196" s="20">
        <f t="shared" si="168"/>
        <v>1.6973245871741914E-11</v>
      </c>
      <c r="BH196" s="59">
        <f t="shared" ref="BH196:BH203" si="194">BG196+(AY196+AZ196)*44/12</f>
        <v>290.20450434632551</v>
      </c>
      <c r="BI196" s="59">
        <f ca="1">AVERAGE(OFFSET($BH$3,0,0,'Données projet'!$E$11+1,1))-AVERAGE(OFFSET($H$3,0,0,'Données projet'!$E$11+1,1))</f>
        <v>711.91538686535682</v>
      </c>
      <c r="BJ196" s="59">
        <f t="shared" si="146"/>
        <v>313.24593837351722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132.97905200301554</v>
      </c>
      <c r="BQ196" s="21">
        <f>EXP(-LN(2)/25)*BQ195+(1-EXP(-LN(2)/25))/(LN(2)/25)*Calculateur!BL196*Calculateur!BN196*VLOOKUP('Données projet'!$B$11,Paramètres!$A$1:$I$89,3,0)*0.475*44/12</f>
        <v>20.516992067924985</v>
      </c>
      <c r="BR196" s="21">
        <f>EXP(-LN(2)/2)*BR195+(1-EXP(-LN(2)/2))/(LN(2)/2)*BL196*BO196*VLOOKUP('Données projet'!$B$11,Paramètres!$A$1:$I$89,3,0)*0.475*44/12</f>
        <v>0.34919416661356739</v>
      </c>
      <c r="BS196" s="22">
        <f t="shared" si="169"/>
        <v>153.84523823755407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7.9580786405131221E-13</v>
      </c>
      <c r="BZ196" s="13">
        <f>BY196*VLOOKUP('Données projet'!$B$12,Paramètres!$A$1:$I$89,3,0)*VLOOKUP('Données projet'!$B$12,Paramètres!$A$1:$I$89,5,0)</f>
        <v>7.6970536611042922E-13</v>
      </c>
      <c r="CA196" s="13">
        <f t="shared" si="170"/>
        <v>9.1181851324470472E-12</v>
      </c>
      <c r="CB196" s="20">
        <f t="shared" si="171"/>
        <v>1.7221409284987601E-11</v>
      </c>
      <c r="CC196" s="59">
        <f t="shared" ref="CC196:CC203" si="195">CB196+(BT196+BU196)*44/12</f>
        <v>290.20450434632573</v>
      </c>
      <c r="CD196" s="59">
        <f ca="1">AVERAGE(OFFSET($CC$3,0,0,'Données projet'!$E$12+1,1))-AVERAGE(OFFSET($H$3,0,0,'Données projet'!$E$12+1,1))</f>
        <v>722.05521609092671</v>
      </c>
      <c r="CE196" s="59">
        <f t="shared" si="148"/>
        <v>317.36319714884644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135.15903646208142</v>
      </c>
      <c r="CL196" s="21">
        <f>EXP(-LN(2)/25)*CL195+(1-EXP(-LN(2)/25))/(LN(2)/25)*Calculateur!CG196*Calculateur!CI196*VLOOKUP('Données projet'!$B$12,Paramètres!$A$1:$I$89,3,0)*0.475*44/12</f>
        <v>20.853336200186064</v>
      </c>
      <c r="CM196" s="21">
        <f>EXP(-LN(2)/2)*CM195+(1-EXP(-LN(2)/2))/(LN(2)/2)*CG196*CJ196*VLOOKUP('Données projet'!$B$12,Paramètres!$A$1:$I$89,3,0)*0.475*44/12</f>
        <v>0.35491866114821607</v>
      </c>
      <c r="CN196" s="22">
        <f t="shared" si="172"/>
        <v>156.36729132341569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7.9580786405131221E-13</v>
      </c>
      <c r="CU196" s="17">
        <f>CT196*VLOOKUP('Données projet'!$B$13,Paramètres!$A$1:$I$89,3,0)*VLOOKUP('Données projet'!$B$13,Paramètres!$A$1:$I$89,5,0)</f>
        <v>8.5660758486483253E-13</v>
      </c>
      <c r="CV196" s="13">
        <f t="shared" si="173"/>
        <v>1.0022086930673386E-11</v>
      </c>
      <c r="CW196" s="20">
        <f t="shared" si="174"/>
        <v>1.8947059614562397E-11</v>
      </c>
      <c r="CX196" s="59">
        <f t="shared" ref="CX196:CX203" si="196">CW196+(CO196+CP196)*44/12</f>
        <v>290.20450434632744</v>
      </c>
      <c r="CY196" s="59">
        <f ca="1">AVERAGE(OFFSET($CX$3,0,0,'Données projet'!$E$13+1,1))-AVERAGE(OFFSET($H$3,0,0,'Données projet'!$E$13+1,1))</f>
        <v>792.94606354161886</v>
      </c>
      <c r="CZ196" s="59">
        <f t="shared" si="150"/>
        <v>346.14443498270919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150.41892767554214</v>
      </c>
      <c r="DG196" s="21">
        <f>EXP(-LN(2)/25)*DG195+(1-EXP(-LN(2)/25))/(LN(2)/25)*Calculateur!DB196*Calculateur!DD196*VLOOKUP('Données projet'!$B$13,Paramètres!$A$1:$I$89,3,0)*0.475*44/12</f>
        <v>23.207745126013517</v>
      </c>
      <c r="DH196" s="21">
        <f>EXP(-LN(2)/2)*DH195+(1-EXP(-LN(2)/2))/(LN(2)/2)*DB196*DE196*VLOOKUP('Données projet'!$B$13,Paramètres!$A$1:$I$89,3,0)*0.475*44/12</f>
        <v>0.39499012289075625</v>
      </c>
      <c r="DI196" s="22">
        <f t="shared" si="175"/>
        <v>174.02166292444642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269.21114382490202</v>
      </c>
      <c r="DU196" s="59">
        <f t="shared" si="152"/>
        <v>233.07776944102309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1.4063729026067204</v>
      </c>
      <c r="EB196" s="21">
        <f>EXP(-LN(2)/25)*EB195+(1-EXP(-LN(2)/25))/(LN(2)/25)*Calculateur!DW196*Calculateur!DY196*VLOOKUP('Données projet'!$B$14,Paramètres!$A$1:$I$89,3,0)*0.475*44/12</f>
        <v>3.6728677486223331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5.0792406512290533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7.9580786405131221E-13</v>
      </c>
      <c r="FF196" s="17">
        <f>FE196*VLOOKUP('Données projet'!$B$16,Paramètres!$A$1:$I$89,3,0)*VLOOKUP('Données projet'!$B$16,Paramètres!$A$1:$I$89,5,0)</f>
        <v>9.0626599558163429E-13</v>
      </c>
      <c r="FG196" s="13">
        <f t="shared" si="182"/>
        <v>1.053375439380333E-11</v>
      </c>
      <c r="FH196" s="20">
        <f t="shared" si="183"/>
        <v>1.9924702178178812E-11</v>
      </c>
      <c r="FI196" s="59">
        <f t="shared" ref="FI196:FI203" si="199">FH196+(EZ196+FA196)*44/12</f>
        <v>290.20450434632846</v>
      </c>
      <c r="FJ196" s="59">
        <f ca="1">AVERAGE(OFFSET($FI$3,0,0,'Données projet'!$E$16+1,1))-AVERAGE(OFFSET($H$3,0,0,'Données projet'!$E$16+1,1))</f>
        <v>833.39050463936144</v>
      </c>
      <c r="FK196" s="59">
        <f t="shared" si="156"/>
        <v>362.56178526355507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159.13886551180553</v>
      </c>
      <c r="FR196" s="21">
        <f>EXP(-LN(2)/25)*FR195+(1-EXP(-LN(2)/25))/(LN(2)/25)*Calculateur!FM196*Calculateur!FO196*VLOOKUP('Données projet'!$B$16,Paramètres!$A$1:$I$89,3,0)*0.475*44/12</f>
        <v>24.553121655057783</v>
      </c>
      <c r="FS196" s="21">
        <f>EXP(-LN(2)/2)*FS195+(1-EXP(-LN(2)/2))/(LN(2)/2)*FM196*FP196*VLOOKUP('Données projet'!$B$16,Paramètres!$A$1:$I$89,3,0)*0.475*44/12</f>
        <v>0.41788810102935092</v>
      </c>
      <c r="FT196" s="22">
        <f t="shared" si="184"/>
        <v>184.10987526789268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290.25878253423593</v>
      </c>
      <c r="S197" s="59">
        <f ca="1">AVERAGE(OFFSET($R$3,0,0,'Données projet'!$E$9+1,1))-AVERAGE(OFFSET($H$3,0,0,'Données projet'!$E$9+1,1))</f>
        <v>681.47578137804555</v>
      </c>
      <c r="T197" s="59">
        <f t="shared" ref="T197:T203" si="204">$T$3</f>
        <v>300.88511065995885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8.0694917414803056E-13</v>
      </c>
      <c r="AK197" s="13">
        <f t="shared" si="164"/>
        <v>9.5069530861628001E-12</v>
      </c>
      <c r="AL197" s="20">
        <f t="shared" si="165"/>
        <v>1.7963379770041364E-11</v>
      </c>
      <c r="AM197" s="59">
        <f t="shared" si="193"/>
        <v>290.2587825342377</v>
      </c>
      <c r="AN197" s="59">
        <f ca="1">AVERAGE(OFFSET($AM$3,0,0,'Données projet'!$E$10+1,1))-AVERAGE(OFFSET($H$3,0,0,'Données projet'!$E$10+1,1))</f>
        <v>752.45542076695506</v>
      </c>
      <c r="AO197" s="59">
        <f t="shared" ref="AO197:AO203" si="205">$AO$3</f>
        <v>329.70629768420724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138.92035907638044</v>
      </c>
      <c r="AV197" s="21">
        <f>EXP(-LN(2)/25)*AV196+(1-EXP(-LN(2)/25))/(LN(2)/25)*Calculateur!AQ197*Calculateur!AS197*VLOOKUP('Données projet'!$B$10,Paramètres!$A$1:$I$89,3,0)*0.475*44/12</f>
        <v>21.264540977993139</v>
      </c>
      <c r="AW197" s="21">
        <f>EXP(-LN(2)/2)*AW196+(1-EXP(-LN(2)/2))/(LN(2)/2)*AQ197*AT197*VLOOKUP('Données projet'!$B$10,Paramètres!$A$1:$I$89,3,0)*0.475*44/12</f>
        <v>0.26310887878049999</v>
      </c>
      <c r="AX197" s="21">
        <f t="shared" si="166"/>
        <v>160.44800893315409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7.572907634312286E-13</v>
      </c>
      <c r="BF197" s="13">
        <f t="shared" si="167"/>
        <v>8.9881135648416407E-12</v>
      </c>
      <c r="BG197" s="20">
        <f t="shared" si="168"/>
        <v>1.6973245871741914E-11</v>
      </c>
      <c r="BH197" s="59">
        <f t="shared" si="194"/>
        <v>290.25878253423673</v>
      </c>
      <c r="BI197" s="59">
        <f ca="1">AVERAGE(OFFSET($BH$3,0,0,'Données projet'!$E$11+1,1))-AVERAGE(OFFSET($H$3,0,0,'Données projet'!$E$11+1,1))</f>
        <v>711.91538686535682</v>
      </c>
      <c r="BJ197" s="59">
        <f t="shared" ref="BJ197:BJ203" si="206">$BJ$3</f>
        <v>313.24593837351722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130.37141390244926</v>
      </c>
      <c r="BQ197" s="21">
        <f>EXP(-LN(2)/25)*BQ196+(1-EXP(-LN(2)/25))/(LN(2)/25)*Calculateur!BL197*Calculateur!BN197*VLOOKUP('Données projet'!$B$11,Paramètres!$A$1:$I$89,3,0)*0.475*44/12</f>
        <v>19.955953840885854</v>
      </c>
      <c r="BR197" s="21">
        <f>EXP(-LN(2)/2)*BR196+(1-EXP(-LN(2)/2))/(LN(2)/2)*BL197*BO197*VLOOKUP('Données projet'!$B$11,Paramètres!$A$1:$I$89,3,0)*0.475*44/12</f>
        <v>0.24691756316323862</v>
      </c>
      <c r="BS197" s="22">
        <f t="shared" si="169"/>
        <v>150.57428530649835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7.9580786405131221E-13</v>
      </c>
      <c r="BZ197" s="13">
        <f>BY197*VLOOKUP('Données projet'!$B$12,Paramètres!$A$1:$I$89,3,0)*VLOOKUP('Données projet'!$B$12,Paramètres!$A$1:$I$89,5,0)</f>
        <v>7.6970536611042922E-13</v>
      </c>
      <c r="CA197" s="13">
        <f t="shared" si="170"/>
        <v>9.1181851324470472E-12</v>
      </c>
      <c r="CB197" s="20">
        <f t="shared" si="171"/>
        <v>1.7221409284987601E-11</v>
      </c>
      <c r="CC197" s="59">
        <f t="shared" si="195"/>
        <v>290.25878253423696</v>
      </c>
      <c r="CD197" s="59">
        <f ca="1">AVERAGE(OFFSET($CC$3,0,0,'Données projet'!$E$12+1,1))-AVERAGE(OFFSET($H$3,0,0,'Données projet'!$E$12+1,1))</f>
        <v>722.05521609092671</v>
      </c>
      <c r="CE197" s="59">
        <f t="shared" ref="CE197:CE203" si="207">$CE$3</f>
        <v>317.36319714884644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132.50865019593209</v>
      </c>
      <c r="CL197" s="21">
        <f>EXP(-LN(2)/25)*CL196+(1-EXP(-LN(2)/25))/(LN(2)/25)*Calculateur!CG197*Calculateur!CI197*VLOOKUP('Données projet'!$B$12,Paramètres!$A$1:$I$89,3,0)*0.475*44/12</f>
        <v>20.283100625162685</v>
      </c>
      <c r="CM197" s="21">
        <f>EXP(-LN(2)/2)*CM196+(1-EXP(-LN(2)/2))/(LN(2)/2)*CG197*CJ197*VLOOKUP('Données projet'!$B$12,Paramètres!$A$1:$I$89,3,0)*0.475*44/12</f>
        <v>0.25096539206755403</v>
      </c>
      <c r="CN197" s="22">
        <f t="shared" si="172"/>
        <v>153.04271621316232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7.9580786405131221E-13</v>
      </c>
      <c r="CU197" s="17">
        <f>CT197*VLOOKUP('Données projet'!$B$13,Paramètres!$A$1:$I$89,3,0)*VLOOKUP('Données projet'!$B$13,Paramètres!$A$1:$I$89,5,0)</f>
        <v>8.5660758486483253E-13</v>
      </c>
      <c r="CV197" s="13">
        <f t="shared" si="173"/>
        <v>1.0022086930673386E-11</v>
      </c>
      <c r="CW197" s="20">
        <f t="shared" si="174"/>
        <v>1.8947059614562397E-11</v>
      </c>
      <c r="CX197" s="59">
        <f t="shared" si="196"/>
        <v>290.25878253423866</v>
      </c>
      <c r="CY197" s="59">
        <f ca="1">AVERAGE(OFFSET($CX$3,0,0,'Données projet'!$E$13+1,1))-AVERAGE(OFFSET($H$3,0,0,'Données projet'!$E$13+1,1))</f>
        <v>792.94606354161886</v>
      </c>
      <c r="CZ197" s="59">
        <f t="shared" ref="CZ197:CZ203" si="208">$CZ$3</f>
        <v>346.14443498270919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147.46930425031141</v>
      </c>
      <c r="DG197" s="21">
        <f>EXP(-LN(2)/25)*DG196+(1-EXP(-LN(2)/25))/(LN(2)/25)*Calculateur!DB197*Calculateur!DD197*VLOOKUP('Données projet'!$B$13,Paramètres!$A$1:$I$89,3,0)*0.475*44/12</f>
        <v>22.573128115100403</v>
      </c>
      <c r="DH197" s="21">
        <f>EXP(-LN(2)/2)*DH196+(1-EXP(-LN(2)/2))/(LN(2)/2)*DB197*DE197*VLOOKUP('Données projet'!$B$13,Paramètres!$A$1:$I$89,3,0)*0.475*44/12</f>
        <v>0.27930019439776149</v>
      </c>
      <c r="DI197" s="22">
        <f t="shared" si="175"/>
        <v>170.32173255980956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269.21114382490202</v>
      </c>
      <c r="DU197" s="59">
        <f t="shared" ref="DU197:DU203" si="209">$DU$3</f>
        <v>233.07776944102309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1.3787947877893723</v>
      </c>
      <c r="EB197" s="21">
        <f>EXP(-LN(2)/25)*EB196+(1-EXP(-LN(2)/25))/(LN(2)/25)*Calculateur!DW197*Calculateur!DY197*VLOOKUP('Données projet'!$B$14,Paramètres!$A$1:$I$89,3,0)*0.475*44/12</f>
        <v>3.5724329868885349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4.951227774677907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7.9580786405131221E-13</v>
      </c>
      <c r="FF197" s="17">
        <f>FE197*VLOOKUP('Données projet'!$B$16,Paramètres!$A$1:$I$89,3,0)*VLOOKUP('Données projet'!$B$16,Paramètres!$A$1:$I$89,5,0)</f>
        <v>9.0626599558163429E-13</v>
      </c>
      <c r="FG197" s="13">
        <f t="shared" si="182"/>
        <v>1.053375439380333E-11</v>
      </c>
      <c r="FH197" s="20">
        <f t="shared" si="183"/>
        <v>1.9924702178178812E-11</v>
      </c>
      <c r="FI197" s="59">
        <f t="shared" si="199"/>
        <v>290.25878253423969</v>
      </c>
      <c r="FJ197" s="59">
        <f ca="1">AVERAGE(OFFSET($FI$3,0,0,'Données projet'!$E$16+1,1))-AVERAGE(OFFSET($H$3,0,0,'Données projet'!$E$16+1,1))</f>
        <v>833.39050463936144</v>
      </c>
      <c r="FK197" s="59">
        <f t="shared" ref="FK197:FK203" si="211">$FK$3</f>
        <v>362.56178526355507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156.01824942424261</v>
      </c>
      <c r="FR197" s="21">
        <f>EXP(-LN(2)/25)*FR196+(1-EXP(-LN(2)/25))/(LN(2)/25)*Calculateur!FM197*Calculateur!FO197*VLOOKUP('Données projet'!$B$16,Paramètres!$A$1:$I$89,3,0)*0.475*44/12</f>
        <v>23.881715252207677</v>
      </c>
      <c r="FS197" s="21">
        <f>EXP(-LN(2)/2)*FS196+(1-EXP(-LN(2)/2))/(LN(2)/2)*FM197*FP197*VLOOKUP('Données projet'!$B$16,Paramètres!$A$1:$I$89,3,0)*0.475*44/12</f>
        <v>0.29549151001502311</v>
      </c>
      <c r="FT197" s="22">
        <f t="shared" si="184"/>
        <v>180.19545618646529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290.3121191169347</v>
      </c>
      <c r="S198" s="59">
        <f ca="1">AVERAGE(OFFSET($R$3,0,0,'Données projet'!$E$9+1,1))-AVERAGE(OFFSET($H$3,0,0,'Données projet'!$E$9+1,1))</f>
        <v>681.47578137804555</v>
      </c>
      <c r="T198" s="59">
        <f t="shared" si="204"/>
        <v>300.88511065995885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8.0694917414803056E-13</v>
      </c>
      <c r="AK198" s="13">
        <f t="shared" si="164"/>
        <v>9.5069530861628001E-12</v>
      </c>
      <c r="AL198" s="20">
        <f t="shared" si="165"/>
        <v>1.7963379770041364E-11</v>
      </c>
      <c r="AM198" s="59">
        <f t="shared" si="193"/>
        <v>290.31211911693646</v>
      </c>
      <c r="AN198" s="59">
        <f ca="1">AVERAGE(OFFSET($AM$3,0,0,'Données projet'!$E$10+1,1))-AVERAGE(OFFSET($H$3,0,0,'Données projet'!$E$10+1,1))</f>
        <v>752.45542076695506</v>
      </c>
      <c r="AO198" s="59">
        <f t="shared" si="205"/>
        <v>329.70629768420724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136.19621556794496</v>
      </c>
      <c r="AV198" s="21">
        <f>EXP(-LN(2)/25)*AV197+(1-EXP(-LN(2)/25))/(LN(2)/25)*Calculateur!AQ198*Calculateur!AS198*VLOOKUP('Données projet'!$B$10,Paramètres!$A$1:$I$89,3,0)*0.475*44/12</f>
        <v>20.683060986696308</v>
      </c>
      <c r="AW198" s="21">
        <f>EXP(-LN(2)/2)*AW197+(1-EXP(-LN(2)/2))/(LN(2)/2)*AQ198*AT198*VLOOKUP('Données projet'!$B$10,Paramètres!$A$1:$I$89,3,0)*0.475*44/12</f>
        <v>0.18604607237608087</v>
      </c>
      <c r="AX198" s="21">
        <f t="shared" si="166"/>
        <v>157.06532262701737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7.572907634312286E-13</v>
      </c>
      <c r="BF198" s="13">
        <f t="shared" si="167"/>
        <v>8.9881135648416407E-12</v>
      </c>
      <c r="BG198" s="20">
        <f t="shared" si="168"/>
        <v>1.6973245871741914E-11</v>
      </c>
      <c r="BH198" s="59">
        <f t="shared" si="194"/>
        <v>290.31211911693549</v>
      </c>
      <c r="BI198" s="59">
        <f ca="1">AVERAGE(OFFSET($BH$3,0,0,'Données projet'!$E$11+1,1))-AVERAGE(OFFSET($H$3,0,0,'Données projet'!$E$11+1,1))</f>
        <v>711.91538686535682</v>
      </c>
      <c r="BJ198" s="59">
        <f t="shared" si="206"/>
        <v>313.24593837351722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127.8149099945329</v>
      </c>
      <c r="BQ198" s="21">
        <f>EXP(-LN(2)/25)*BQ197+(1-EXP(-LN(2)/25))/(LN(2)/25)*Calculateur!BL198*Calculateur!BN198*VLOOKUP('Données projet'!$B$11,Paramètres!$A$1:$I$89,3,0)*0.475*44/12</f>
        <v>19.41025723366883</v>
      </c>
      <c r="BR198" s="21">
        <f>EXP(-LN(2)/2)*BR197+(1-EXP(-LN(2)/2))/(LN(2)/2)*BL198*BO198*VLOOKUP('Données projet'!$B$11,Paramètres!$A$1:$I$89,3,0)*0.475*44/12</f>
        <v>0.17459708330678372</v>
      </c>
      <c r="BS198" s="22">
        <f t="shared" si="169"/>
        <v>147.39976431150851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7.9580786405131221E-13</v>
      </c>
      <c r="BZ198" s="13">
        <f>BY198*VLOOKUP('Données projet'!$B$12,Paramètres!$A$1:$I$89,3,0)*VLOOKUP('Données projet'!$B$12,Paramètres!$A$1:$I$89,5,0)</f>
        <v>7.6970536611042922E-13</v>
      </c>
      <c r="CA198" s="13">
        <f t="shared" si="170"/>
        <v>9.1181851324470472E-12</v>
      </c>
      <c r="CB198" s="20">
        <f t="shared" si="171"/>
        <v>1.7221409284987601E-11</v>
      </c>
      <c r="CC198" s="59">
        <f t="shared" si="195"/>
        <v>290.31211911693572</v>
      </c>
      <c r="CD198" s="59">
        <f ca="1">AVERAGE(OFFSET($CC$3,0,0,'Données projet'!$E$12+1,1))-AVERAGE(OFFSET($H$3,0,0,'Données projet'!$E$12+1,1))</f>
        <v>722.05521609092671</v>
      </c>
      <c r="CE198" s="59">
        <f t="shared" si="207"/>
        <v>317.36319714884644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129.91023638788593</v>
      </c>
      <c r="CL198" s="21">
        <f>EXP(-LN(2)/25)*CL197+(1-EXP(-LN(2)/25))/(LN(2)/25)*Calculateur!CG198*Calculateur!CI198*VLOOKUP('Données projet'!$B$12,Paramètres!$A$1:$I$89,3,0)*0.475*44/12</f>
        <v>19.728458171925709</v>
      </c>
      <c r="CM198" s="21">
        <f>EXP(-LN(2)/2)*CM197+(1-EXP(-LN(2)/2))/(LN(2)/2)*CG198*CJ198*VLOOKUP('Données projet'!$B$12,Paramètres!$A$1:$I$89,3,0)*0.475*44/12</f>
        <v>0.17745933057410804</v>
      </c>
      <c r="CN198" s="22">
        <f t="shared" si="172"/>
        <v>149.81615389038575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7.9580786405131221E-13</v>
      </c>
      <c r="CU198" s="17">
        <f>CT198*VLOOKUP('Données projet'!$B$13,Paramètres!$A$1:$I$89,3,0)*VLOOKUP('Données projet'!$B$13,Paramètres!$A$1:$I$89,5,0)</f>
        <v>8.5660758486483253E-13</v>
      </c>
      <c r="CV198" s="13">
        <f t="shared" si="173"/>
        <v>1.0022086930673386E-11</v>
      </c>
      <c r="CW198" s="20">
        <f t="shared" si="174"/>
        <v>1.8947059614562397E-11</v>
      </c>
      <c r="CX198" s="59">
        <f t="shared" si="196"/>
        <v>290.31211911693742</v>
      </c>
      <c r="CY198" s="59">
        <f ca="1">AVERAGE(OFFSET($CX$3,0,0,'Données projet'!$E$13+1,1))-AVERAGE(OFFSET($H$3,0,0,'Données projet'!$E$13+1,1))</f>
        <v>792.94606354161886</v>
      </c>
      <c r="CZ198" s="59">
        <f t="shared" si="208"/>
        <v>346.14443498270919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144.57752114135684</v>
      </c>
      <c r="DG198" s="21">
        <f>EXP(-LN(2)/25)*DG197+(1-EXP(-LN(2)/25))/(LN(2)/25)*Calculateur!DB198*Calculateur!DD198*VLOOKUP('Données projet'!$B$13,Paramètres!$A$1:$I$89,3,0)*0.475*44/12</f>
        <v>21.955864739723765</v>
      </c>
      <c r="DH198" s="21">
        <f>EXP(-LN(2)/2)*DH197+(1-EXP(-LN(2)/2))/(LN(2)/2)*DB198*DE198*VLOOKUP('Données projet'!$B$13,Paramètres!$A$1:$I$89,3,0)*0.475*44/12</f>
        <v>0.19749506144537812</v>
      </c>
      <c r="DI198" s="22">
        <f t="shared" si="175"/>
        <v>166.730880942526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269.21114382490202</v>
      </c>
      <c r="DU198" s="59">
        <f t="shared" si="209"/>
        <v>233.07776944102309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1.3517574629826032</v>
      </c>
      <c r="EB198" s="21">
        <f>EXP(-LN(2)/25)*EB197+(1-EXP(-LN(2)/25))/(LN(2)/25)*Calculateur!DW198*Calculateur!DY198*VLOOKUP('Données projet'!$B$14,Paramètres!$A$1:$I$89,3,0)*0.475*44/12</f>
        <v>3.4747446189959823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4.8265020819785853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7.9580786405131221E-13</v>
      </c>
      <c r="FF198" s="17">
        <f>FE198*VLOOKUP('Données projet'!$B$16,Paramètres!$A$1:$I$89,3,0)*VLOOKUP('Données projet'!$B$16,Paramètres!$A$1:$I$89,5,0)</f>
        <v>9.0626599558163429E-13</v>
      </c>
      <c r="FG198" s="13">
        <f t="shared" si="182"/>
        <v>1.053375439380333E-11</v>
      </c>
      <c r="FH198" s="20">
        <f t="shared" si="183"/>
        <v>1.9924702178178812E-11</v>
      </c>
      <c r="FI198" s="59">
        <f t="shared" si="199"/>
        <v>290.31211911693845</v>
      </c>
      <c r="FJ198" s="59">
        <f ca="1">AVERAGE(OFFSET($FI$3,0,0,'Données projet'!$E$16+1,1))-AVERAGE(OFFSET($H$3,0,0,'Données projet'!$E$16+1,1))</f>
        <v>833.39050463936144</v>
      </c>
      <c r="FK198" s="59">
        <f t="shared" si="211"/>
        <v>362.56178526355507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152.95882671476892</v>
      </c>
      <c r="FR198" s="21">
        <f>EXP(-LN(2)/25)*FR197+(1-EXP(-LN(2)/25))/(LN(2)/25)*Calculateur!FM198*Calculateur!FO198*VLOOKUP('Données projet'!$B$16,Paramètres!$A$1:$I$89,3,0)*0.475*44/12</f>
        <v>23.228668492751236</v>
      </c>
      <c r="FS198" s="21">
        <f>EXP(-LN(2)/2)*FS197+(1-EXP(-LN(2)/2))/(LN(2)/2)*FM198*FP198*VLOOKUP('Données projet'!$B$16,Paramètres!$A$1:$I$89,3,0)*0.475*44/12</f>
        <v>0.20894405051467546</v>
      </c>
      <c r="FT198" s="22">
        <f t="shared" si="184"/>
        <v>176.39643925803483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290.36453042916639</v>
      </c>
      <c r="S199" s="59">
        <f ca="1">AVERAGE(OFFSET($R$3,0,0,'Données projet'!$E$9+1,1))-AVERAGE(OFFSET($H$3,0,0,'Données projet'!$E$9+1,1))</f>
        <v>681.47578137804555</v>
      </c>
      <c r="T199" s="59">
        <f t="shared" si="204"/>
        <v>300.88511065995885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8.0694917414803056E-13</v>
      </c>
      <c r="AK199" s="13">
        <f t="shared" si="164"/>
        <v>9.5069530861628001E-12</v>
      </c>
      <c r="AL199" s="20">
        <f t="shared" si="165"/>
        <v>1.7963379770041364E-11</v>
      </c>
      <c r="AM199" s="59">
        <f t="shared" si="193"/>
        <v>290.36453042916816</v>
      </c>
      <c r="AN199" s="59">
        <f ca="1">AVERAGE(OFFSET($AM$3,0,0,'Données projet'!$E$10+1,1))-AVERAGE(OFFSET($H$3,0,0,'Données projet'!$E$10+1,1))</f>
        <v>752.45542076695506</v>
      </c>
      <c r="AO199" s="59">
        <f t="shared" si="205"/>
        <v>329.70629768420724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133.52549085214642</v>
      </c>
      <c r="AV199" s="21">
        <f>EXP(-LN(2)/25)*AV198+(1-EXP(-LN(2)/25))/(LN(2)/25)*Calculateur!AQ199*Calculateur!AS199*VLOOKUP('Données projet'!$B$10,Paramètres!$A$1:$I$89,3,0)*0.475*44/12</f>
        <v>20.117481596340191</v>
      </c>
      <c r="AW199" s="21">
        <f>EXP(-LN(2)/2)*AW198+(1-EXP(-LN(2)/2))/(LN(2)/2)*AQ199*AT199*VLOOKUP('Données projet'!$B$10,Paramètres!$A$1:$I$89,3,0)*0.475*44/12</f>
        <v>0.13155443939024999</v>
      </c>
      <c r="AX199" s="21">
        <f t="shared" si="166"/>
        <v>153.77452688787685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7.572907634312286E-13</v>
      </c>
      <c r="BF199" s="13">
        <f t="shared" si="167"/>
        <v>8.9881135648416407E-12</v>
      </c>
      <c r="BG199" s="20">
        <f t="shared" si="168"/>
        <v>1.6973245871741914E-11</v>
      </c>
      <c r="BH199" s="59">
        <f t="shared" si="194"/>
        <v>290.36453042916719</v>
      </c>
      <c r="BI199" s="59">
        <f ca="1">AVERAGE(OFFSET($BH$3,0,0,'Données projet'!$E$11+1,1))-AVERAGE(OFFSET($H$3,0,0,'Données projet'!$E$11+1,1))</f>
        <v>711.91538686535682</v>
      </c>
      <c r="BJ199" s="59">
        <f t="shared" si="206"/>
        <v>313.24593837351722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125.30853756893735</v>
      </c>
      <c r="BQ199" s="21">
        <f>EXP(-LN(2)/25)*BQ198+(1-EXP(-LN(2)/25))/(LN(2)/25)*Calculateur!BL199*Calculateur!BN199*VLOOKUP('Données projet'!$B$11,Paramètres!$A$1:$I$89,3,0)*0.475*44/12</f>
        <v>18.879482728873089</v>
      </c>
      <c r="BR199" s="21">
        <f>EXP(-LN(2)/2)*BR198+(1-EXP(-LN(2)/2))/(LN(2)/2)*BL199*BO199*VLOOKUP('Données projet'!$B$11,Paramètres!$A$1:$I$89,3,0)*0.475*44/12</f>
        <v>0.12345878158161934</v>
      </c>
      <c r="BS199" s="22">
        <f t="shared" si="169"/>
        <v>144.31147907939209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7.9580786405131221E-13</v>
      </c>
      <c r="BZ199" s="13">
        <f>BY199*VLOOKUP('Données projet'!$B$12,Paramètres!$A$1:$I$89,3,0)*VLOOKUP('Données projet'!$B$12,Paramètres!$A$1:$I$89,5,0)</f>
        <v>7.6970536611042922E-13</v>
      </c>
      <c r="CA199" s="13">
        <f t="shared" si="170"/>
        <v>9.1181851324470472E-12</v>
      </c>
      <c r="CB199" s="20">
        <f t="shared" si="171"/>
        <v>1.7221409284987601E-11</v>
      </c>
      <c r="CC199" s="59">
        <f t="shared" si="195"/>
        <v>290.36453042916742</v>
      </c>
      <c r="CD199" s="59">
        <f ca="1">AVERAGE(OFFSET($CC$3,0,0,'Données projet'!$E$12+1,1))-AVERAGE(OFFSET($H$3,0,0,'Données projet'!$E$12+1,1))</f>
        <v>722.05521609092671</v>
      </c>
      <c r="CE199" s="59">
        <f t="shared" si="207"/>
        <v>317.36319714884644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127.36277588973964</v>
      </c>
      <c r="CL199" s="21">
        <f>EXP(-LN(2)/25)*CL198+(1-EXP(-LN(2)/25))/(LN(2)/25)*Calculateur!CG199*Calculateur!CI199*VLOOKUP('Données projet'!$B$12,Paramètres!$A$1:$I$89,3,0)*0.475*44/12</f>
        <v>19.188982445739875</v>
      </c>
      <c r="CM199" s="21">
        <f>EXP(-LN(2)/2)*CM198+(1-EXP(-LN(2)/2))/(LN(2)/2)*CG199*CJ199*VLOOKUP('Données projet'!$B$12,Paramètres!$A$1:$I$89,3,0)*0.475*44/12</f>
        <v>0.12548269603377701</v>
      </c>
      <c r="CN199" s="22">
        <f t="shared" si="172"/>
        <v>146.67724103151329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7.9580786405131221E-13</v>
      </c>
      <c r="CU199" s="17">
        <f>CT199*VLOOKUP('Données projet'!$B$13,Paramètres!$A$1:$I$89,3,0)*VLOOKUP('Données projet'!$B$13,Paramètres!$A$1:$I$89,5,0)</f>
        <v>8.5660758486483253E-13</v>
      </c>
      <c r="CV199" s="13">
        <f t="shared" si="173"/>
        <v>1.0022086930673386E-11</v>
      </c>
      <c r="CW199" s="20">
        <f t="shared" si="174"/>
        <v>1.8947059614562397E-11</v>
      </c>
      <c r="CX199" s="59">
        <f t="shared" si="196"/>
        <v>290.36453042916912</v>
      </c>
      <c r="CY199" s="59">
        <f ca="1">AVERAGE(OFFSET($CX$3,0,0,'Données projet'!$E$13+1,1))-AVERAGE(OFFSET($H$3,0,0,'Données projet'!$E$13+1,1))</f>
        <v>792.94606354161886</v>
      </c>
      <c r="CZ199" s="59">
        <f t="shared" si="208"/>
        <v>346.14443498270919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141.74244413535533</v>
      </c>
      <c r="DG199" s="21">
        <f>EXP(-LN(2)/25)*DG198+(1-EXP(-LN(2)/25))/(LN(2)/25)*Calculateur!DB199*Calculateur!DD199*VLOOKUP('Données projet'!$B$13,Paramètres!$A$1:$I$89,3,0)*0.475*44/12</f>
        <v>21.355480463807272</v>
      </c>
      <c r="DH199" s="21">
        <f>EXP(-LN(2)/2)*DH198+(1-EXP(-LN(2)/2))/(LN(2)/2)*DB199*DE199*VLOOKUP('Données projet'!$B$13,Paramètres!$A$1:$I$89,3,0)*0.475*44/12</f>
        <v>0.13965009719888075</v>
      </c>
      <c r="DI199" s="22">
        <f t="shared" si="175"/>
        <v>163.23757469636149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269.21114382490202</v>
      </c>
      <c r="DU199" s="59">
        <f t="shared" si="209"/>
        <v>233.07776944102309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1.3252503236241551</v>
      </c>
      <c r="EB199" s="21">
        <f>EXP(-LN(2)/25)*EB198+(1-EXP(-LN(2)/25))/(LN(2)/25)*Calculateur!DW199*Calculateur!DY199*VLOOKUP('Données projet'!$B$14,Paramètres!$A$1:$I$89,3,0)*0.475*44/12</f>
        <v>3.3797275446606592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4.7049778682848142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7.9580786405131221E-13</v>
      </c>
      <c r="FF199" s="17">
        <f>FE199*VLOOKUP('Données projet'!$B$16,Paramètres!$A$1:$I$89,3,0)*VLOOKUP('Données projet'!$B$16,Paramètres!$A$1:$I$89,5,0)</f>
        <v>9.0626599558163429E-13</v>
      </c>
      <c r="FG199" s="13">
        <f t="shared" si="182"/>
        <v>1.053375439380333E-11</v>
      </c>
      <c r="FH199" s="20">
        <f t="shared" si="183"/>
        <v>1.9924702178178812E-11</v>
      </c>
      <c r="FI199" s="59">
        <f t="shared" si="199"/>
        <v>290.36453042917014</v>
      </c>
      <c r="FJ199" s="59">
        <f ca="1">AVERAGE(OFFSET($FI$3,0,0,'Données projet'!$E$16+1,1))-AVERAGE(OFFSET($H$3,0,0,'Données projet'!$E$16+1,1))</f>
        <v>833.39050463936144</v>
      </c>
      <c r="FK199" s="59">
        <f t="shared" si="211"/>
        <v>362.56178526355507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149.95939741856441</v>
      </c>
      <c r="FR199" s="21">
        <f>EXP(-LN(2)/25)*FR198+(1-EXP(-LN(2)/25))/(LN(2)/25)*Calculateur!FM199*Calculateur!FO199*VLOOKUP('Données projet'!$B$16,Paramètres!$A$1:$I$89,3,0)*0.475*44/12</f>
        <v>22.593479331274366</v>
      </c>
      <c r="FS199" s="21">
        <f>EXP(-LN(2)/2)*FS198+(1-EXP(-LN(2)/2))/(LN(2)/2)*FM199*FP199*VLOOKUP('Données projet'!$B$16,Paramètres!$A$1:$I$89,3,0)*0.475*44/12</f>
        <v>0.14774575500751155</v>
      </c>
      <c r="FT199" s="22">
        <f t="shared" si="184"/>
        <v>172.70062250484631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290.41603252230499</v>
      </c>
      <c r="S200" s="59">
        <f ca="1">AVERAGE(OFFSET($R$3,0,0,'Données projet'!$E$9+1,1))-AVERAGE(OFFSET($H$3,0,0,'Données projet'!$E$9+1,1))</f>
        <v>681.47578137804555</v>
      </c>
      <c r="T200" s="59">
        <f t="shared" si="204"/>
        <v>300.88511065995885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8.0694917414803056E-13</v>
      </c>
      <c r="AK200" s="13">
        <f t="shared" si="164"/>
        <v>9.5069530861628001E-12</v>
      </c>
      <c r="AL200" s="20">
        <f t="shared" si="165"/>
        <v>1.7963379770041364E-11</v>
      </c>
      <c r="AM200" s="59">
        <f t="shared" si="193"/>
        <v>290.41603252230675</v>
      </c>
      <c r="AN200" s="59">
        <f ca="1">AVERAGE(OFFSET($AM$3,0,0,'Données projet'!$E$10+1,1))-AVERAGE(OFFSET($H$3,0,0,'Données projet'!$E$10+1,1))</f>
        <v>752.45542076695506</v>
      </c>
      <c r="AO200" s="59">
        <f t="shared" si="205"/>
        <v>329.70629768420724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130.90713741904347</v>
      </c>
      <c r="AV200" s="21">
        <f>EXP(-LN(2)/25)*AV199+(1-EXP(-LN(2)/25))/(LN(2)/25)*Calculateur!AQ200*Calculateur!AS200*VLOOKUP('Données projet'!$B$10,Paramètres!$A$1:$I$89,3,0)*0.475*44/12</f>
        <v>19.567368004155892</v>
      </c>
      <c r="AW200" s="21">
        <f>EXP(-LN(2)/2)*AW199+(1-EXP(-LN(2)/2))/(LN(2)/2)*AQ200*AT200*VLOOKUP('Données projet'!$B$10,Paramètres!$A$1:$I$89,3,0)*0.475*44/12</f>
        <v>9.3023036188040434E-2</v>
      </c>
      <c r="AX200" s="21">
        <f t="shared" si="166"/>
        <v>150.5675284593874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7.572907634312286E-13</v>
      </c>
      <c r="BF200" s="13">
        <f t="shared" si="167"/>
        <v>8.9881135648416407E-12</v>
      </c>
      <c r="BG200" s="20">
        <f t="shared" si="168"/>
        <v>1.6973245871741914E-11</v>
      </c>
      <c r="BH200" s="59">
        <f t="shared" si="194"/>
        <v>290.41603252230578</v>
      </c>
      <c r="BI200" s="59">
        <f ca="1">AVERAGE(OFFSET($BH$3,0,0,'Données projet'!$E$11+1,1))-AVERAGE(OFFSET($H$3,0,0,'Données projet'!$E$11+1,1))</f>
        <v>711.91538686535682</v>
      </c>
      <c r="BJ200" s="59">
        <f t="shared" si="206"/>
        <v>313.24593837351722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122.85131357787151</v>
      </c>
      <c r="BQ200" s="21">
        <f>EXP(-LN(2)/25)*BQ199+(1-EXP(-LN(2)/25))/(LN(2)/25)*Calculateur!BL200*Calculateur!BN200*VLOOKUP('Données projet'!$B$11,Paramètres!$A$1:$I$89,3,0)*0.475*44/12</f>
        <v>18.363222280823209</v>
      </c>
      <c r="BR200" s="21">
        <f>EXP(-LN(2)/2)*BR199+(1-EXP(-LN(2)/2))/(LN(2)/2)*BL200*BO200*VLOOKUP('Données projet'!$B$11,Paramètres!$A$1:$I$89,3,0)*0.475*44/12</f>
        <v>8.7298541653391876E-2</v>
      </c>
      <c r="BS200" s="22">
        <f t="shared" si="169"/>
        <v>141.3018344003481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7.9580786405131221E-13</v>
      </c>
      <c r="BZ200" s="13">
        <f>BY200*VLOOKUP('Données projet'!$B$12,Paramètres!$A$1:$I$89,3,0)*VLOOKUP('Données projet'!$B$12,Paramètres!$A$1:$I$89,5,0)</f>
        <v>7.6970536611042922E-13</v>
      </c>
      <c r="CA200" s="13">
        <f t="shared" si="170"/>
        <v>9.1181851324470472E-12</v>
      </c>
      <c r="CB200" s="20">
        <f t="shared" si="171"/>
        <v>1.7221409284987601E-11</v>
      </c>
      <c r="CC200" s="59">
        <f t="shared" si="195"/>
        <v>290.41603252230601</v>
      </c>
      <c r="CD200" s="59">
        <f ca="1">AVERAGE(OFFSET($CC$3,0,0,'Données projet'!$E$12+1,1))-AVERAGE(OFFSET($H$3,0,0,'Données projet'!$E$12+1,1))</f>
        <v>722.05521609092671</v>
      </c>
      <c r="CE200" s="59">
        <f t="shared" si="207"/>
        <v>317.36319714884644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124.86526953816451</v>
      </c>
      <c r="CL200" s="21">
        <f>EXP(-LN(2)/25)*CL199+(1-EXP(-LN(2)/25))/(LN(2)/25)*Calculateur!CG200*Calculateur!CI200*VLOOKUP('Données projet'!$B$12,Paramètres!$A$1:$I$89,3,0)*0.475*44/12</f>
        <v>18.664258711656387</v>
      </c>
      <c r="CM200" s="21">
        <f>EXP(-LN(2)/2)*CM199+(1-EXP(-LN(2)/2))/(LN(2)/2)*CG200*CJ200*VLOOKUP('Données projet'!$B$12,Paramètres!$A$1:$I$89,3,0)*0.475*44/12</f>
        <v>8.8729665287054019E-2</v>
      </c>
      <c r="CN200" s="22">
        <f t="shared" si="172"/>
        <v>143.61825791510793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7.9580786405131221E-13</v>
      </c>
      <c r="CU200" s="17">
        <f>CT200*VLOOKUP('Données projet'!$B$13,Paramètres!$A$1:$I$89,3,0)*VLOOKUP('Données projet'!$B$13,Paramètres!$A$1:$I$89,5,0)</f>
        <v>8.5660758486483253E-13</v>
      </c>
      <c r="CV200" s="13">
        <f t="shared" si="173"/>
        <v>1.0022086930673386E-11</v>
      </c>
      <c r="CW200" s="20">
        <f t="shared" si="174"/>
        <v>1.8947059614562397E-11</v>
      </c>
      <c r="CX200" s="59">
        <f t="shared" si="196"/>
        <v>290.41603252230772</v>
      </c>
      <c r="CY200" s="59">
        <f ca="1">AVERAGE(OFFSET($CX$3,0,0,'Données projet'!$E$13+1,1))-AVERAGE(OFFSET($H$3,0,0,'Données projet'!$E$13+1,1))</f>
        <v>792.94606354161886</v>
      </c>
      <c r="CZ200" s="59">
        <f t="shared" si="208"/>
        <v>346.14443498270919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138.96296126021528</v>
      </c>
      <c r="DG200" s="21">
        <f>EXP(-LN(2)/25)*DG199+(1-EXP(-LN(2)/25))/(LN(2)/25)*Calculateur!DB200*Calculateur!DD200*VLOOKUP('Données projet'!$B$13,Paramètres!$A$1:$I$89,3,0)*0.475*44/12</f>
        <v>20.771513727488554</v>
      </c>
      <c r="DH200" s="21">
        <f>EXP(-LN(2)/2)*DH199+(1-EXP(-LN(2)/2))/(LN(2)/2)*DB200*DE200*VLOOKUP('Données projet'!$B$13,Paramètres!$A$1:$I$89,3,0)*0.475*44/12</f>
        <v>9.8747530722689061E-2</v>
      </c>
      <c r="DI200" s="22">
        <f t="shared" si="175"/>
        <v>159.83322251842651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269.21114382490202</v>
      </c>
      <c r="DU200" s="59">
        <f t="shared" si="209"/>
        <v>233.07776944102309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1.2992629731007674</v>
      </c>
      <c r="EB200" s="21">
        <f>EXP(-LN(2)/25)*EB199+(1-EXP(-LN(2)/25))/(LN(2)/25)*Calculateur!DW200*Calculateur!DY200*VLOOKUP('Données projet'!$B$14,Paramètres!$A$1:$I$89,3,0)*0.475*44/12</f>
        <v>3.2873087172197661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4.5865716903205334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7.9580786405131221E-13</v>
      </c>
      <c r="FF200" s="17">
        <f>FE200*VLOOKUP('Données projet'!$B$16,Paramètres!$A$1:$I$89,3,0)*VLOOKUP('Données projet'!$B$16,Paramètres!$A$1:$I$89,5,0)</f>
        <v>9.0626599558163429E-13</v>
      </c>
      <c r="FG200" s="13">
        <f t="shared" si="182"/>
        <v>1.053375439380333E-11</v>
      </c>
      <c r="FH200" s="20">
        <f t="shared" si="183"/>
        <v>1.9924702178178812E-11</v>
      </c>
      <c r="FI200" s="59">
        <f t="shared" si="199"/>
        <v>290.41603252230874</v>
      </c>
      <c r="FJ200" s="59">
        <f ca="1">AVERAGE(OFFSET($FI$3,0,0,'Données projet'!$E$16+1,1))-AVERAGE(OFFSET($H$3,0,0,'Données projet'!$E$16+1,1))</f>
        <v>833.39050463936144</v>
      </c>
      <c r="FK200" s="59">
        <f t="shared" si="211"/>
        <v>362.56178526355507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147.01878510138724</v>
      </c>
      <c r="FR200" s="21">
        <f>EXP(-LN(2)/25)*FR199+(1-EXP(-LN(2)/25))/(LN(2)/25)*Calculateur!FM200*Calculateur!FO200*VLOOKUP('Données projet'!$B$16,Paramètres!$A$1:$I$89,3,0)*0.475*44/12</f>
        <v>21.97565945082123</v>
      </c>
      <c r="FS200" s="21">
        <f>EXP(-LN(2)/2)*FS199+(1-EXP(-LN(2)/2))/(LN(2)/2)*FM200*FP200*VLOOKUP('Données projet'!$B$16,Paramètres!$A$1:$I$89,3,0)*0.475*44/12</f>
        <v>0.10447202525733773</v>
      </c>
      <c r="FT200" s="22">
        <f t="shared" si="184"/>
        <v>169.09891657746581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290.46664116926911</v>
      </c>
      <c r="S201" s="59">
        <f ca="1">AVERAGE(OFFSET($R$3,0,0,'Données projet'!$E$9+1,1))-AVERAGE(OFFSET($H$3,0,0,'Données projet'!$E$9+1,1))</f>
        <v>681.47578137804555</v>
      </c>
      <c r="T201" s="59">
        <f t="shared" si="204"/>
        <v>300.88511065995885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8.0694917414803056E-13</v>
      </c>
      <c r="AK201" s="13">
        <f t="shared" si="164"/>
        <v>9.5069530861628001E-12</v>
      </c>
      <c r="AL201" s="20">
        <f t="shared" si="165"/>
        <v>1.7963379770041364E-11</v>
      </c>
      <c r="AM201" s="59">
        <f t="shared" si="193"/>
        <v>290.46664116927087</v>
      </c>
      <c r="AN201" s="59">
        <f ca="1">AVERAGE(OFFSET($AM$3,0,0,'Données projet'!$E$10+1,1))-AVERAGE(OFFSET($H$3,0,0,'Données projet'!$E$10+1,1))</f>
        <v>752.45542076695506</v>
      </c>
      <c r="AO201" s="59">
        <f t="shared" si="205"/>
        <v>329.70629768420724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128.34012829972576</v>
      </c>
      <c r="AV201" s="21">
        <f>EXP(-LN(2)/25)*AV200+(1-EXP(-LN(2)/25))/(LN(2)/25)*Calculateur!AQ201*Calculateur!AS201*VLOOKUP('Données projet'!$B$10,Paramètres!$A$1:$I$89,3,0)*0.475*44/12</f>
        <v>19.032297297079086</v>
      </c>
      <c r="AW201" s="21">
        <f>EXP(-LN(2)/2)*AW200+(1-EXP(-LN(2)/2))/(LN(2)/2)*AQ201*AT201*VLOOKUP('Données projet'!$B$10,Paramètres!$A$1:$I$89,3,0)*0.475*44/12</f>
        <v>6.5777219695124997E-2</v>
      </c>
      <c r="AX201" s="21">
        <f t="shared" si="166"/>
        <v>147.43820281649997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7.572907634312286E-13</v>
      </c>
      <c r="BF201" s="13">
        <f t="shared" si="167"/>
        <v>8.9881135648416407E-12</v>
      </c>
      <c r="BG201" s="20">
        <f t="shared" si="168"/>
        <v>1.6973245871741914E-11</v>
      </c>
      <c r="BH201" s="59">
        <f t="shared" si="194"/>
        <v>290.46664116926991</v>
      </c>
      <c r="BI201" s="59">
        <f ca="1">AVERAGE(OFFSET($BH$3,0,0,'Données projet'!$E$11+1,1))-AVERAGE(OFFSET($H$3,0,0,'Données projet'!$E$11+1,1))</f>
        <v>711.91538686535682</v>
      </c>
      <c r="BJ201" s="59">
        <f t="shared" si="206"/>
        <v>313.24593837351722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120.44227425051182</v>
      </c>
      <c r="BQ201" s="21">
        <f>EXP(-LN(2)/25)*BQ200+(1-EXP(-LN(2)/25))/(LN(2)/25)*Calculateur!BL201*Calculateur!BN201*VLOOKUP('Données projet'!$B$11,Paramètres!$A$1:$I$89,3,0)*0.475*44/12</f>
        <v>17.861079001874209</v>
      </c>
      <c r="BR201" s="21">
        <f>EXP(-LN(2)/2)*BR200+(1-EXP(-LN(2)/2))/(LN(2)/2)*BL201*BO201*VLOOKUP('Données projet'!$B$11,Paramètres!$A$1:$I$89,3,0)*0.475*44/12</f>
        <v>6.1729390790809677E-2</v>
      </c>
      <c r="BS201" s="22">
        <f t="shared" si="169"/>
        <v>138.36508264317683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7.9580786405131221E-13</v>
      </c>
      <c r="BZ201" s="13">
        <f>BY201*VLOOKUP('Données projet'!$B$12,Paramètres!$A$1:$I$89,3,0)*VLOOKUP('Données projet'!$B$12,Paramètres!$A$1:$I$89,5,0)</f>
        <v>7.6970536611042922E-13</v>
      </c>
      <c r="CA201" s="13">
        <f t="shared" si="170"/>
        <v>9.1181851324470472E-12</v>
      </c>
      <c r="CB201" s="20">
        <f t="shared" si="171"/>
        <v>1.7221409284987601E-11</v>
      </c>
      <c r="CC201" s="59">
        <f t="shared" si="195"/>
        <v>290.46664116927013</v>
      </c>
      <c r="CD201" s="59">
        <f ca="1">AVERAGE(OFFSET($CC$3,0,0,'Données projet'!$E$12+1,1))-AVERAGE(OFFSET($H$3,0,0,'Données projet'!$E$12+1,1))</f>
        <v>722.05521609092671</v>
      </c>
      <c r="CE201" s="59">
        <f t="shared" si="207"/>
        <v>317.36319714884644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122.41673776281532</v>
      </c>
      <c r="CL201" s="21">
        <f>EXP(-LN(2)/25)*CL200+(1-EXP(-LN(2)/25))/(LN(2)/25)*Calculateur!CG201*Calculateur!CI201*VLOOKUP('Données projet'!$B$12,Paramètres!$A$1:$I$89,3,0)*0.475*44/12</f>
        <v>18.153883575675437</v>
      </c>
      <c r="CM201" s="21">
        <f>EXP(-LN(2)/2)*CM200+(1-EXP(-LN(2)/2))/(LN(2)/2)*CG201*CJ201*VLOOKUP('Données projet'!$B$12,Paramètres!$A$1:$I$89,3,0)*0.475*44/12</f>
        <v>6.2741348016888507E-2</v>
      </c>
      <c r="CN201" s="22">
        <f t="shared" si="172"/>
        <v>140.63336268650764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7.9580786405131221E-13</v>
      </c>
      <c r="CU201" s="17">
        <f>CT201*VLOOKUP('Données projet'!$B$13,Paramètres!$A$1:$I$89,3,0)*VLOOKUP('Données projet'!$B$13,Paramètres!$A$1:$I$89,5,0)</f>
        <v>8.5660758486483253E-13</v>
      </c>
      <c r="CV201" s="13">
        <f t="shared" si="173"/>
        <v>1.0022086930673386E-11</v>
      </c>
      <c r="CW201" s="20">
        <f t="shared" si="174"/>
        <v>1.8947059614562397E-11</v>
      </c>
      <c r="CX201" s="59">
        <f t="shared" si="196"/>
        <v>290.46664116927184</v>
      </c>
      <c r="CY201" s="59">
        <f ca="1">AVERAGE(OFFSET($CX$3,0,0,'Données projet'!$E$13+1,1))-AVERAGE(OFFSET($H$3,0,0,'Données projet'!$E$13+1,1))</f>
        <v>792.94606354161886</v>
      </c>
      <c r="CZ201" s="59">
        <f t="shared" si="208"/>
        <v>346.14443498270919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136.23798234893957</v>
      </c>
      <c r="DG201" s="21">
        <f>EXP(-LN(2)/25)*DG200+(1-EXP(-LN(2)/25))/(LN(2)/25)*Calculateur!DB201*Calculateur!DD201*VLOOKUP('Données projet'!$B$13,Paramètres!$A$1:$I$89,3,0)*0.475*44/12</f>
        <v>20.203515592283946</v>
      </c>
      <c r="DH201" s="21">
        <f>EXP(-LN(2)/2)*DH200+(1-EXP(-LN(2)/2))/(LN(2)/2)*DB201*DE201*VLOOKUP('Données projet'!$B$13,Paramètres!$A$1:$I$89,3,0)*0.475*44/12</f>
        <v>6.9825048599440373E-2</v>
      </c>
      <c r="DI201" s="22">
        <f t="shared" si="175"/>
        <v>156.51132298982293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269.21114382490202</v>
      </c>
      <c r="DU201" s="59">
        <f t="shared" si="209"/>
        <v>233.07776944102309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1.2737852186704248</v>
      </c>
      <c r="EB201" s="21">
        <f>EXP(-LN(2)/25)*EB200+(1-EXP(-LN(2)/25))/(LN(2)/25)*Calculateur!DW201*Calculateur!DY201*VLOOKUP('Données projet'!$B$14,Paramètres!$A$1:$I$89,3,0)*0.475*44/12</f>
        <v>3.1974170874753396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4.4712023061457646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7.9580786405131221E-13</v>
      </c>
      <c r="FF201" s="17">
        <f>FE201*VLOOKUP('Données projet'!$B$16,Paramètres!$A$1:$I$89,3,0)*VLOOKUP('Données projet'!$B$16,Paramètres!$A$1:$I$89,5,0)</f>
        <v>9.0626599558163429E-13</v>
      </c>
      <c r="FG201" s="13">
        <f t="shared" si="182"/>
        <v>1.053375439380333E-11</v>
      </c>
      <c r="FH201" s="20">
        <f t="shared" si="183"/>
        <v>1.9924702178178812E-11</v>
      </c>
      <c r="FI201" s="59">
        <f t="shared" si="199"/>
        <v>290.46664116927286</v>
      </c>
      <c r="FJ201" s="59">
        <f ca="1">AVERAGE(OFFSET($FI$3,0,0,'Données projet'!$E$16+1,1))-AVERAGE(OFFSET($H$3,0,0,'Données projet'!$E$16+1,1))</f>
        <v>833.39050463936144</v>
      </c>
      <c r="FK201" s="59">
        <f t="shared" si="211"/>
        <v>362.56178526355507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144.13583639815351</v>
      </c>
      <c r="FR201" s="21">
        <f>EXP(-LN(2)/25)*FR200+(1-EXP(-LN(2)/25))/(LN(2)/25)*Calculateur!FM201*Calculateur!FO201*VLOOKUP('Données projet'!$B$16,Paramètres!$A$1:$I$89,3,0)*0.475*44/12</f>
        <v>21.374733887488819</v>
      </c>
      <c r="FS201" s="21">
        <f>EXP(-LN(2)/2)*FS200+(1-EXP(-LN(2)/2))/(LN(2)/2)*FM201*FP201*VLOOKUP('Données projet'!$B$16,Paramètres!$A$1:$I$89,3,0)*0.475*44/12</f>
        <v>7.3872877503755777E-2</v>
      </c>
      <c r="FT201" s="22">
        <f t="shared" si="184"/>
        <v>165.58444316314609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290.51637186935233</v>
      </c>
      <c r="S202" s="59">
        <f ca="1">AVERAGE(OFFSET($R$3,0,0,'Données projet'!$E$9+1,1))-AVERAGE(OFFSET($H$3,0,0,'Données projet'!$E$9+1,1))</f>
        <v>681.47578137804555</v>
      </c>
      <c r="T202" s="59">
        <f t="shared" si="204"/>
        <v>300.88511065995885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8.0694917414803056E-13</v>
      </c>
      <c r="AK202" s="13">
        <f t="shared" si="164"/>
        <v>9.5069530861628001E-12</v>
      </c>
      <c r="AL202" s="20">
        <f t="shared" si="165"/>
        <v>1.7963379770041364E-11</v>
      </c>
      <c r="AM202" s="59">
        <f t="shared" si="193"/>
        <v>290.51637186935409</v>
      </c>
      <c r="AN202" s="59">
        <f ca="1">AVERAGE(OFFSET($AM$3,0,0,'Données projet'!$E$10+1,1))-AVERAGE(OFFSET($H$3,0,0,'Données projet'!$E$10+1,1))</f>
        <v>752.45542076695506</v>
      </c>
      <c r="AO202" s="59">
        <f t="shared" si="205"/>
        <v>329.70629768420724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125.82345666351692</v>
      </c>
      <c r="AV202" s="21">
        <f>EXP(-LN(2)/25)*AV201+(1-EXP(-LN(2)/25))/(LN(2)/25)*Calculateur!AQ202*Calculateur!AS202*VLOOKUP('Données projet'!$B$10,Paramètres!$A$1:$I$89,3,0)*0.475*44/12</f>
        <v>18.511858126625444</v>
      </c>
      <c r="AW202" s="21">
        <f>EXP(-LN(2)/2)*AW201+(1-EXP(-LN(2)/2))/(LN(2)/2)*AQ202*AT202*VLOOKUP('Données projet'!$B$10,Paramètres!$A$1:$I$89,3,0)*0.475*44/12</f>
        <v>4.6511518094020217E-2</v>
      </c>
      <c r="AX202" s="21">
        <f t="shared" si="166"/>
        <v>144.38182630823638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7.572907634312286E-13</v>
      </c>
      <c r="BF202" s="13">
        <f t="shared" si="167"/>
        <v>8.9881135648416407E-12</v>
      </c>
      <c r="BG202" s="20">
        <f t="shared" si="168"/>
        <v>1.6973245871741914E-11</v>
      </c>
      <c r="BH202" s="59">
        <f t="shared" si="194"/>
        <v>290.51637186935312</v>
      </c>
      <c r="BI202" s="59">
        <f ca="1">AVERAGE(OFFSET($BH$3,0,0,'Données projet'!$E$11+1,1))-AVERAGE(OFFSET($H$3,0,0,'Données projet'!$E$11+1,1))</f>
        <v>711.91538686535682</v>
      </c>
      <c r="BJ202" s="59">
        <f t="shared" si="206"/>
        <v>313.24593837351722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118.08047471499275</v>
      </c>
      <c r="BQ202" s="21">
        <f>EXP(-LN(2)/25)*BQ201+(1-EXP(-LN(2)/25))/(LN(2)/25)*Calculateur!BL202*Calculateur!BN202*VLOOKUP('Données projet'!$B$11,Paramètres!$A$1:$I$89,3,0)*0.475*44/12</f>
        <v>17.372666857294636</v>
      </c>
      <c r="BR202" s="21">
        <f>EXP(-LN(2)/2)*BR201+(1-EXP(-LN(2)/2))/(LN(2)/2)*BL202*BO202*VLOOKUP('Données projet'!$B$11,Paramètres!$A$1:$I$89,3,0)*0.475*44/12</f>
        <v>4.3649270826695945E-2</v>
      </c>
      <c r="BS202" s="22">
        <f t="shared" si="169"/>
        <v>135.4967908431141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7.9580786405131221E-13</v>
      </c>
      <c r="BZ202" s="13">
        <f>BY202*VLOOKUP('Données projet'!$B$12,Paramètres!$A$1:$I$89,3,0)*VLOOKUP('Données projet'!$B$12,Paramètres!$A$1:$I$89,5,0)</f>
        <v>7.6970536611042922E-13</v>
      </c>
      <c r="CA202" s="13">
        <f t="shared" si="170"/>
        <v>9.1181851324470472E-12</v>
      </c>
      <c r="CB202" s="20">
        <f t="shared" si="171"/>
        <v>1.7221409284987601E-11</v>
      </c>
      <c r="CC202" s="59">
        <f t="shared" si="195"/>
        <v>290.51637186935335</v>
      </c>
      <c r="CD202" s="59">
        <f ca="1">AVERAGE(OFFSET($CC$3,0,0,'Données projet'!$E$12+1,1))-AVERAGE(OFFSET($H$3,0,0,'Données projet'!$E$12+1,1))</f>
        <v>722.05521609092671</v>
      </c>
      <c r="CE202" s="59">
        <f t="shared" si="207"/>
        <v>317.36319714884644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120.0162202021238</v>
      </c>
      <c r="CL202" s="21">
        <f>EXP(-LN(2)/25)*CL201+(1-EXP(-LN(2)/25))/(LN(2)/25)*Calculateur!CG202*Calculateur!CI202*VLOOKUP('Données projet'!$B$12,Paramètres!$A$1:$I$89,3,0)*0.475*44/12</f>
        <v>17.657464674627345</v>
      </c>
      <c r="CM202" s="21">
        <f>EXP(-LN(2)/2)*CM201+(1-EXP(-LN(2)/2))/(LN(2)/2)*CG202*CJ202*VLOOKUP('Données projet'!$B$12,Paramètres!$A$1:$I$89,3,0)*0.475*44/12</f>
        <v>4.4364832643527009E-2</v>
      </c>
      <c r="CN202" s="22">
        <f t="shared" si="172"/>
        <v>137.71804970939468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7.9580786405131221E-13</v>
      </c>
      <c r="CU202" s="17">
        <f>CT202*VLOOKUP('Données projet'!$B$13,Paramètres!$A$1:$I$89,3,0)*VLOOKUP('Données projet'!$B$13,Paramètres!$A$1:$I$89,5,0)</f>
        <v>8.5660758486483253E-13</v>
      </c>
      <c r="CV202" s="13">
        <f t="shared" si="173"/>
        <v>1.0022086930673386E-11</v>
      </c>
      <c r="CW202" s="20">
        <f t="shared" si="174"/>
        <v>1.8947059614562397E-11</v>
      </c>
      <c r="CX202" s="59">
        <f t="shared" si="196"/>
        <v>290.51637186935505</v>
      </c>
      <c r="CY202" s="59">
        <f ca="1">AVERAGE(OFFSET($CX$3,0,0,'Données projet'!$E$13+1,1))-AVERAGE(OFFSET($H$3,0,0,'Données projet'!$E$13+1,1))</f>
        <v>792.94606354161886</v>
      </c>
      <c r="CZ202" s="59">
        <f t="shared" si="208"/>
        <v>346.14443498270919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133.56643861204094</v>
      </c>
      <c r="DG202" s="21">
        <f>EXP(-LN(2)/25)*DG201+(1-EXP(-LN(2)/25))/(LN(2)/25)*Calculateur!DB202*Calculateur!DD202*VLOOKUP('Données projet'!$B$13,Paramètres!$A$1:$I$89,3,0)*0.475*44/12</f>
        <v>19.651049395956232</v>
      </c>
      <c r="DH202" s="21">
        <f>EXP(-LN(2)/2)*DH201+(1-EXP(-LN(2)/2))/(LN(2)/2)*DB202*DE202*VLOOKUP('Données projet'!$B$13,Paramètres!$A$1:$I$89,3,0)*0.475*44/12</f>
        <v>4.9373765361344531E-2</v>
      </c>
      <c r="DI202" s="22">
        <f t="shared" si="175"/>
        <v>153.2668617733585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269.21114382490202</v>
      </c>
      <c r="DU202" s="59">
        <f t="shared" si="209"/>
        <v>233.07776944102309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1.2488070674645655</v>
      </c>
      <c r="EB202" s="21">
        <f>EXP(-LN(2)/25)*EB201+(1-EXP(-LN(2)/25))/(LN(2)/25)*Calculateur!DW202*Calculateur!DY202*VLOOKUP('Données projet'!$B$14,Paramètres!$A$1:$I$89,3,0)*0.475*44/12</f>
        <v>3.1099835490734695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4.3587906165380348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7.9580786405131221E-13</v>
      </c>
      <c r="FF202" s="17">
        <f>FE202*VLOOKUP('Données projet'!$B$16,Paramètres!$A$1:$I$89,3,0)*VLOOKUP('Données projet'!$B$16,Paramètres!$A$1:$I$89,5,0)</f>
        <v>9.0626599558163429E-13</v>
      </c>
      <c r="FG202" s="13">
        <f t="shared" si="182"/>
        <v>1.053375439380333E-11</v>
      </c>
      <c r="FH202" s="20">
        <f t="shared" si="183"/>
        <v>1.9924702178178812E-11</v>
      </c>
      <c r="FI202" s="59">
        <f t="shared" si="199"/>
        <v>290.51637186935608</v>
      </c>
      <c r="FJ202" s="59">
        <f ca="1">AVERAGE(OFFSET($FI$3,0,0,'Données projet'!$E$16+1,1))-AVERAGE(OFFSET($H$3,0,0,'Données projet'!$E$16+1,1))</f>
        <v>833.39050463936144</v>
      </c>
      <c r="FK202" s="59">
        <f t="shared" si="211"/>
        <v>362.56178526355507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141.30942056056512</v>
      </c>
      <c r="FR202" s="21">
        <f>EXP(-LN(2)/25)*FR201+(1-EXP(-LN(2)/25))/(LN(2)/25)*Calculateur!FM202*Calculateur!FO202*VLOOKUP('Données projet'!$B$16,Paramètres!$A$1:$I$89,3,0)*0.475*44/12</f>
        <v>20.790240665287033</v>
      </c>
      <c r="FS202" s="21">
        <f>EXP(-LN(2)/2)*FS201+(1-EXP(-LN(2)/2))/(LN(2)/2)*FM202*FP202*VLOOKUP('Données projet'!$B$16,Paramètres!$A$1:$I$89,3,0)*0.475*44/12</f>
        <v>5.2236012628668865E-2</v>
      </c>
      <c r="FT202" s="22">
        <f t="shared" si="184"/>
        <v>162.15189723848081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290.56523985297031</v>
      </c>
      <c r="S203" s="59">
        <f ca="1">AVERAGE(OFFSET($R$3,0,0,'Données projet'!$E$9+1,1))-AVERAGE(OFFSET($H$3,0,0,'Données projet'!$E$9+1,1))</f>
        <v>681.47578137804555</v>
      </c>
      <c r="T203" s="59">
        <f t="shared" si="204"/>
        <v>300.88511065995885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8.0694917414803056E-13</v>
      </c>
      <c r="AK203" s="13">
        <f t="shared" si="164"/>
        <v>9.5069530861628001E-12</v>
      </c>
      <c r="AL203" s="20">
        <f t="shared" si="165"/>
        <v>1.7963379770041364E-11</v>
      </c>
      <c r="AM203" s="59">
        <f t="shared" si="193"/>
        <v>290.56523985297207</v>
      </c>
      <c r="AN203" s="59">
        <f ca="1">AVERAGE(OFFSET($AM$3,0,0,'Données projet'!$E$10+1,1))-AVERAGE(OFFSET($H$3,0,0,'Données projet'!$E$10+1,1))</f>
        <v>752.45542076695506</v>
      </c>
      <c r="AO203" s="59">
        <f t="shared" si="205"/>
        <v>329.70629768420724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123.35613542307601</v>
      </c>
      <c r="AV203" s="21">
        <f>EXP(-LN(2)/25)*AV202+(1-EXP(-LN(2)/25))/(LN(2)/25)*Calculateur!AQ203*Calculateur!AS203*VLOOKUP('Données projet'!$B$10,Paramètres!$A$1:$I$89,3,0)*0.475*44/12</f>
        <v>18.005650392656563</v>
      </c>
      <c r="AW203" s="21">
        <f>EXP(-LN(2)/2)*AW202+(1-EXP(-LN(2)/2))/(LN(2)/2)*AQ203*AT203*VLOOKUP('Données projet'!$B$10,Paramètres!$A$1:$I$89,3,0)*0.475*44/12</f>
        <v>3.2888609847562499E-2</v>
      </c>
      <c r="AX203" s="21">
        <f t="shared" si="166"/>
        <v>141.39467442558012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7.572907634312286E-13</v>
      </c>
      <c r="BF203" s="13">
        <f t="shared" si="167"/>
        <v>8.9881135648416407E-12</v>
      </c>
      <c r="BG203" s="20">
        <f t="shared" si="168"/>
        <v>1.6973245871741914E-11</v>
      </c>
      <c r="BH203" s="59">
        <f t="shared" si="194"/>
        <v>290.5652398529711</v>
      </c>
      <c r="BI203" s="59">
        <f ca="1">AVERAGE(OFFSET($BH$3,0,0,'Données projet'!$E$11+1,1))-AVERAGE(OFFSET($H$3,0,0,'Données projet'!$E$11+1,1))</f>
        <v>711.91538686535682</v>
      </c>
      <c r="BJ203" s="59">
        <f t="shared" si="206"/>
        <v>313.24593837351722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115.76498862780973</v>
      </c>
      <c r="BQ203" s="21">
        <f>EXP(-LN(2)/25)*BQ202+(1-EXP(-LN(2)/25))/(LN(2)/25)*Calculateur!BL203*Calculateur!BN203*VLOOKUP('Données projet'!$B$11,Paramètres!$A$1:$I$89,3,0)*0.475*44/12</f>
        <v>16.897610368493069</v>
      </c>
      <c r="BR203" s="21">
        <f>EXP(-LN(2)/2)*BR202+(1-EXP(-LN(2)/2))/(LN(2)/2)*BL203*BO203*VLOOKUP('Données projet'!$B$11,Paramètres!$A$1:$I$89,3,0)*0.475*44/12</f>
        <v>3.0864695395404845E-2</v>
      </c>
      <c r="BS203" s="22">
        <f t="shared" si="169"/>
        <v>132.69346369169818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7.9580786405131221E-13</v>
      </c>
      <c r="BZ203" s="13">
        <f>BY203*VLOOKUP('Données projet'!$B$12,Paramètres!$A$1:$I$89,3,0)*VLOOKUP('Données projet'!$B$12,Paramètres!$A$1:$I$89,5,0)</f>
        <v>7.6970536611042922E-13</v>
      </c>
      <c r="CA203" s="13">
        <f t="shared" si="170"/>
        <v>9.1181851324470472E-12</v>
      </c>
      <c r="CB203" s="20">
        <f t="shared" si="171"/>
        <v>1.7221409284987601E-11</v>
      </c>
      <c r="CC203" s="59">
        <f t="shared" si="195"/>
        <v>290.56523985297133</v>
      </c>
      <c r="CD203" s="59">
        <f ca="1">AVERAGE(OFFSET($CC$3,0,0,'Données projet'!$E$12+1,1))-AVERAGE(OFFSET($H$3,0,0,'Données projet'!$E$12+1,1))</f>
        <v>722.05521609092671</v>
      </c>
      <c r="CE203" s="59">
        <f t="shared" si="207"/>
        <v>317.36319714884644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117.66277532662632</v>
      </c>
      <c r="CL203" s="21">
        <f>EXP(-LN(2)/25)*CL202+(1-EXP(-LN(2)/25))/(LN(2)/25)*Calculateur!CG203*Calculateur!CI203*VLOOKUP('Données projet'!$B$12,Paramètres!$A$1:$I$89,3,0)*0.475*44/12</f>
        <v>17.174620374533951</v>
      </c>
      <c r="CM203" s="21">
        <f>EXP(-LN(2)/2)*CM202+(1-EXP(-LN(2)/2))/(LN(2)/2)*CG203*CJ203*VLOOKUP('Données projet'!$B$12,Paramètres!$A$1:$I$89,3,0)*0.475*44/12</f>
        <v>3.1370674008444253E-2</v>
      </c>
      <c r="CN203" s="22">
        <f t="shared" si="172"/>
        <v>134.86876637516872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7.9580786405131221E-13</v>
      </c>
      <c r="CU203" s="17">
        <f>CT203*VLOOKUP('Données projet'!$B$13,Paramètres!$A$1:$I$89,3,0)*VLOOKUP('Données projet'!$B$13,Paramètres!$A$1:$I$89,5,0)</f>
        <v>8.5660758486483253E-13</v>
      </c>
      <c r="CV203" s="13">
        <f t="shared" si="173"/>
        <v>1.0022086930673386E-11</v>
      </c>
      <c r="CW203" s="20">
        <f t="shared" si="174"/>
        <v>1.8947059614562397E-11</v>
      </c>
      <c r="CX203" s="59">
        <f t="shared" si="196"/>
        <v>290.56523985297304</v>
      </c>
      <c r="CY203" s="59">
        <f ca="1">AVERAGE(OFFSET($CX$3,0,0,'Données projet'!$E$13+1,1))-AVERAGE(OFFSET($H$3,0,0,'Données projet'!$E$13+1,1))</f>
        <v>792.94606354161886</v>
      </c>
      <c r="CZ203" s="59">
        <f t="shared" si="208"/>
        <v>346.14443498270919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130.94728221834214</v>
      </c>
      <c r="DG203" s="21">
        <f>EXP(-LN(2)/25)*DG202+(1-EXP(-LN(2)/25))/(LN(2)/25)*Calculateur!DB203*Calculateur!DD203*VLOOKUP('Données projet'!$B$13,Paramètres!$A$1:$I$89,3,0)*0.475*44/12</f>
        <v>19.113690416820035</v>
      </c>
      <c r="DH203" s="21">
        <f>EXP(-LN(2)/2)*DH202+(1-EXP(-LN(2)/2))/(LN(2)/2)*DB203*DE203*VLOOKUP('Données projet'!$B$13,Paramètres!$A$1:$I$89,3,0)*0.475*44/12</f>
        <v>3.4912524299720187E-2</v>
      </c>
      <c r="DI203" s="22">
        <f t="shared" si="175"/>
        <v>150.09588515946189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269.21114382490202</v>
      </c>
      <c r="DU203" s="59">
        <f t="shared" si="209"/>
        <v>233.07776944102309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1.2243187225686851</v>
      </c>
      <c r="EB203" s="21">
        <f>EXP(-LN(2)/25)*EB202+(1-EXP(-LN(2)/25))/(LN(2)/25)*Calculateur!DW203*Calculateur!DY203*VLOOKUP('Données projet'!$B$14,Paramètres!$A$1:$I$89,3,0)*0.475*44/12</f>
        <v>3.0249408853771285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4.2492596079458131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7.9580786405131221E-13</v>
      </c>
      <c r="FF203" s="17">
        <f>FE203*VLOOKUP('Données projet'!$B$16,Paramètres!$A$1:$I$89,3,0)*VLOOKUP('Données projet'!$B$16,Paramètres!$A$1:$I$89,5,0)</f>
        <v>9.0626599558163429E-13</v>
      </c>
      <c r="FG203" s="13">
        <f t="shared" si="182"/>
        <v>1.053375439380333E-11</v>
      </c>
      <c r="FH203" s="20">
        <f t="shared" si="183"/>
        <v>1.9924702178178812E-11</v>
      </c>
      <c r="FI203" s="59">
        <f t="shared" si="199"/>
        <v>290.56523985297406</v>
      </c>
      <c r="FJ203" s="59">
        <f ca="1">AVERAGE(OFFSET($FI$3,0,0,'Données projet'!$E$16+1,1))-AVERAGE(OFFSET($H$3,0,0,'Données projet'!$E$16+1,1))</f>
        <v>833.39050463936144</v>
      </c>
      <c r="FK203" s="59">
        <f t="shared" si="211"/>
        <v>362.56178526355507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138.53842901360841</v>
      </c>
      <c r="FR203" s="21">
        <f>EXP(-LN(2)/25)*FR202+(1-EXP(-LN(2)/25))/(LN(2)/25)*Calculateur!FM203*Calculateur!FO203*VLOOKUP('Données projet'!$B$16,Paramètres!$A$1:$I$89,3,0)*0.475*44/12</f>
        <v>20.221730440983521</v>
      </c>
      <c r="FS203" s="21">
        <f>EXP(-LN(2)/2)*FS202+(1-EXP(-LN(2)/2))/(LN(2)/2)*FM203*FP203*VLOOKUP('Données projet'!$B$16,Paramètres!$A$1:$I$89,3,0)*0.475*44/12</f>
        <v>3.6936438751877888E-2</v>
      </c>
      <c r="FT203" s="22">
        <f t="shared" si="184"/>
        <v>158.79709589334379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1.1303799945549604</v>
      </c>
      <c r="BV205" s="82">
        <f>EXP(LN('Données projet'!B114)/'Données projet'!A114)</f>
        <v>1.1303799945549604</v>
      </c>
      <c r="CQ205" s="82">
        <f>EXP(LN('Données projet'!B140)/'Données projet'!A140)</f>
        <v>1.1303799945549604</v>
      </c>
      <c r="DL205" s="82">
        <f>EXP(LN('Données projet'!B166)/'Données projet'!A166)</f>
        <v>1.2770702581475548</v>
      </c>
      <c r="EG205" s="82" t="e">
        <f>EXP(LN('Données projet'!B192)/'Données projet'!A192)</f>
        <v>#NUM!</v>
      </c>
      <c r="FB205" s="82">
        <f>EXP(LN('Données projet'!B218)/'Données projet'!A218)</f>
        <v>1.1303799945549604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2" sqref="K22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sessile</v>
      </c>
      <c r="B6" s="146">
        <f>'Données projet'!D9</f>
        <v>3.2885999999999997</v>
      </c>
      <c r="C6" s="147">
        <f ca="1">IF(OR('Données projet'!B9="",'Données projet'!C9="",'Données projet'!C9=0%),0,Calculateur!S3)</f>
        <v>681.47578137804555</v>
      </c>
      <c r="D6" s="147">
        <f>IF(OR('Données projet'!B9="",'Données projet'!C9="",'Données projet'!C9=0%),0,Calculateur!T3)</f>
        <v>300.88511065995885</v>
      </c>
      <c r="E6" s="147">
        <f ca="1">MIN(C6,D6)</f>
        <v>300.88511065995885</v>
      </c>
      <c r="F6" s="147">
        <f ca="1">E6*B6</f>
        <v>989.49077491634057</v>
      </c>
      <c r="G6" s="147">
        <f ca="1">F6*(100%-'Données projet'!$C$24)*(100%-'Données projet'!$C$25)*(100%-'Données projet'!$C$26)*(100%-'Données projet'!$C$27)</f>
        <v>756.96044281100046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756.96044281100046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Chêne pubescent</v>
      </c>
      <c r="B7" s="154">
        <f>'Données projet'!D10</f>
        <v>3.2885999999999997</v>
      </c>
      <c r="C7" s="147">
        <f ca="1">IF(OR('Données projet'!B10="",'Données projet'!C10="",'Données projet'!C10=0%),0,Calculateur!AN3)</f>
        <v>752.45542076695506</v>
      </c>
      <c r="D7" s="147">
        <f>IF(OR('Données projet'!B10="",'Données projet'!C10="",'Données projet'!C10=0%),0,Calculateur!AO3)</f>
        <v>329.70629768420724</v>
      </c>
      <c r="E7" s="147">
        <f t="shared" ref="E7:E15" ca="1" si="0">MIN(C7,D7)</f>
        <v>329.70629768420724</v>
      </c>
      <c r="F7" s="147">
        <f t="shared" ref="F7:F15" ca="1" si="1">E7*B7</f>
        <v>1084.2721305642838</v>
      </c>
      <c r="G7" s="147">
        <f ca="1">F7*(100%-'Données projet'!$C$24)*(100%-'Données projet'!$C$25)*(100%-'Données projet'!$C$26)*(100%-'Données projet'!$C$27)</f>
        <v>829.46817988167709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829.46817988167709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Charme</v>
      </c>
      <c r="B8" s="154">
        <f>'Données projet'!D11</f>
        <v>0.2349</v>
      </c>
      <c r="C8" s="147">
        <f ca="1">IF(OR('Données projet'!B11="",'Données projet'!C11="",'Données projet'!C11=0%),0,Calculateur!BI3)</f>
        <v>711.91538686535682</v>
      </c>
      <c r="D8" s="147">
        <f>IF(OR('Données projet'!B11="",'Données projet'!C11="",'Données projet'!C11=0%),0,Calculateur!BJ3)</f>
        <v>313.24593837351722</v>
      </c>
      <c r="E8" s="147">
        <f t="shared" ca="1" si="0"/>
        <v>313.24593837351722</v>
      </c>
      <c r="F8" s="147">
        <f t="shared" ca="1" si="1"/>
        <v>73.581470923939193</v>
      </c>
      <c r="G8" s="147">
        <f ca="1">F8*(100%-'Données projet'!$C$24)*(100%-'Données projet'!$C$25)*(100%-'Données projet'!$C$26)*(100%-'Données projet'!$C$27)</f>
        <v>56.289825256813479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56.289825256813479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Alisier torminal</v>
      </c>
      <c r="B9" s="154">
        <f>'Données projet'!D12</f>
        <v>0.2349</v>
      </c>
      <c r="C9" s="147">
        <f ca="1">IF(OR('Données projet'!B12="",'Données projet'!C12="",'Données projet'!C12=0%),0,Calculateur!CD3)</f>
        <v>722.05521609092671</v>
      </c>
      <c r="D9" s="147">
        <f>IF(OR('Données projet'!B12="",'Données projet'!C12="",'Données projet'!C12=0%),0,Calculateur!CE3)</f>
        <v>317.36319714884644</v>
      </c>
      <c r="E9" s="147">
        <f t="shared" ca="1" si="0"/>
        <v>317.36319714884644</v>
      </c>
      <c r="F9" s="147">
        <f t="shared" ca="1" si="1"/>
        <v>74.548615010264029</v>
      </c>
      <c r="G9" s="147">
        <f ca="1">F9*(100%-'Données projet'!$C$24)*(100%-'Données projet'!$C$25)*(100%-'Données projet'!$C$26)*(100%-'Données projet'!$C$27)</f>
        <v>57.029690482851983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57.029690482851983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>Cormier</v>
      </c>
      <c r="B10" s="154">
        <f>'Données projet'!D13</f>
        <v>0.2349</v>
      </c>
      <c r="C10" s="147">
        <f ca="1">IF(OR('Données projet'!B13="",'Données projet'!C13="",'Données projet'!C13=0%),0,Calculateur!CY3)</f>
        <v>792.94606354161886</v>
      </c>
      <c r="D10" s="147">
        <f>IF(OR('Données projet'!B13="",'Données projet'!C13="",'Données projet'!C13=0%),0,Calculateur!CZ3)</f>
        <v>346.14443498270919</v>
      </c>
      <c r="E10" s="147">
        <f t="shared" ca="1" si="0"/>
        <v>346.14443498270919</v>
      </c>
      <c r="F10" s="147">
        <f t="shared" ca="1" si="1"/>
        <v>81.309327777438384</v>
      </c>
      <c r="G10" s="147">
        <f ca="1">F10*(100%-'Données projet'!$C$24)*(100%-'Données projet'!$C$25)*(100%-'Données projet'!$C$26)*(100%-'Données projet'!$C$27)</f>
        <v>62.201635749740362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62.201635749740362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>Chêne chevelu</v>
      </c>
      <c r="B11" s="154">
        <f>'Données projet'!D14</f>
        <v>0.2349</v>
      </c>
      <c r="C11" s="147">
        <f ca="1">IF(OR('Données projet'!B14="",'Données projet'!C14="",'Données projet'!C14=0%),0,Calculateur!DT3)</f>
        <v>269.21114382490202</v>
      </c>
      <c r="D11" s="147">
        <f>IF(OR('Données projet'!B14="",'Données projet'!C14="",'Données projet'!C14=0%),0,Calculateur!DU3)</f>
        <v>233.07776944102309</v>
      </c>
      <c r="E11" s="147">
        <f t="shared" ca="1" si="0"/>
        <v>233.07776944102309</v>
      </c>
      <c r="F11" s="147">
        <f t="shared" ca="1" si="1"/>
        <v>54.749968041696327</v>
      </c>
      <c r="G11" s="147">
        <f ca="1">F11*(100%-'Données projet'!$C$24)*(100%-'Données projet'!$C$25)*(100%-'Données projet'!$C$26)*(100%-'Données projet'!$C$27)</f>
        <v>41.88372555189769</v>
      </c>
      <c r="H11" s="155">
        <f>IF(OR('Données projet'!B14="",'Données projet'!C14="",'Données projet'!C14=0%),0,AVERAGE(Calculateur!$ED$3:$ED$33)*B11)</f>
        <v>0.48708113786271839</v>
      </c>
      <c r="I11" s="149">
        <f>H11*(100%-'Données projet'!$C$24)*(100%-'Données projet'!$C$25)*(100%-'Données projet'!$C$26)*(100%-'Données projet'!$C$27)</f>
        <v>0.37261707046497955</v>
      </c>
      <c r="J11" s="150">
        <f>IF(OR('Données projet'!B14="",'Données projet'!C14="",'Données projet'!C14=0%),0,SUM(Calculateur!$DW$3:$DW$33)*VLOOKUP('Données projet'!$B$14,Paramètres!$A$1:$I$89,9,0)*B11)</f>
        <v>2.5598076923076918</v>
      </c>
      <c r="K11" s="151">
        <f>J11*(100%-'Données projet'!$C$24)*(100%-'Données projet'!$C$25)*(100%-'Données projet'!$C$26)*(100%-'Données projet'!$C$27)</f>
        <v>1.9582528846153844</v>
      </c>
      <c r="L11" s="152">
        <f t="shared" ca="1" si="2"/>
        <v>44.21459550697805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>Chêne vert</v>
      </c>
      <c r="B13" s="154">
        <f>'Données projet'!D16</f>
        <v>0.31320000000000003</v>
      </c>
      <c r="C13" s="147">
        <f ca="1">IF(OR('Données projet'!B16="",'Données projet'!C16="",'Données projet'!C16=0%),0,Calculateur!FJ3)</f>
        <v>833.39050463936144</v>
      </c>
      <c r="D13" s="147">
        <f>IF(OR('Données projet'!B16="",'Données projet'!C16="",'Données projet'!C16=0%),0,Calculateur!FK3)</f>
        <v>362.56178526355507</v>
      </c>
      <c r="E13" s="147">
        <f t="shared" ca="1" si="0"/>
        <v>362.56178526355507</v>
      </c>
      <c r="F13" s="147">
        <f t="shared" ca="1" si="1"/>
        <v>113.55435114454546</v>
      </c>
      <c r="G13" s="147">
        <f ca="1">F13*(100%-'Données projet'!$C$24)*(100%-'Données projet'!$C$25)*(100%-'Données projet'!$C$26)*(100%-'Données projet'!$C$27)</f>
        <v>86.869078625577274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86.869078625577274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2471.5066383785074</v>
      </c>
      <c r="G16" s="166">
        <f t="shared" ca="1" si="3"/>
        <v>1890.7025783595579</v>
      </c>
      <c r="H16" s="167">
        <f t="shared" si="3"/>
        <v>0.48708113786271839</v>
      </c>
      <c r="I16" s="167">
        <f t="shared" si="3"/>
        <v>0.37261707046497955</v>
      </c>
      <c r="J16" s="168">
        <f t="shared" si="3"/>
        <v>2.5598076923076918</v>
      </c>
      <c r="K16" s="168">
        <f t="shared" si="3"/>
        <v>1.9582528846153844</v>
      </c>
      <c r="L16" s="169">
        <f t="shared" ca="1" si="3"/>
        <v>1893.0334483146382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>Cormier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>Chêne chevelu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>Chêne vert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6" zoomScale="80" zoomScaleNormal="80" workbookViewId="0">
      <selection activeCell="I25" sqref="I25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861.70395431010343</v>
      </c>
      <c r="U10" s="178">
        <f>'Données projet'!D9</f>
        <v>3.2885999999999997</v>
      </c>
      <c r="V10" s="177">
        <f>U10*T10</f>
        <v>2833.7996241442061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806.00592941238369</v>
      </c>
      <c r="U11" s="178">
        <f>'Données projet'!D10</f>
        <v>3.2885999999999997</v>
      </c>
      <c r="V11" s="177">
        <f t="shared" ref="V11" si="0">U11*T11</f>
        <v>2650.6310994655646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861.70395431010343</v>
      </c>
      <c r="U12" s="178">
        <f>'Données projet'!D11</f>
        <v>0.2349</v>
      </c>
      <c r="V12" s="177">
        <f t="shared" ref="V12:V19" si="1">U12*T12</f>
        <v>202.41425886744329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861.70395431010343</v>
      </c>
      <c r="U13" s="178">
        <f>'Données projet'!D12</f>
        <v>0.2349</v>
      </c>
      <c r="V13" s="177">
        <f t="shared" si="1"/>
        <v>202.41425886744329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Cormier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861.70395431010343</v>
      </c>
      <c r="U14" s="178">
        <f>'Données projet'!D13</f>
        <v>0.2349</v>
      </c>
      <c r="V14" s="177">
        <f t="shared" si="1"/>
        <v>202.41425886744329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chevelu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261.28064843633263</v>
      </c>
      <c r="U15" s="178">
        <f>'Données projet'!D14</f>
        <v>0.2349</v>
      </c>
      <c r="V15" s="177">
        <f t="shared" si="1"/>
        <v>61.374824317694532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Chêne vert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861.70395431010343</v>
      </c>
      <c r="U17" s="178">
        <f>'Données projet'!D16</f>
        <v>0.31320000000000003</v>
      </c>
      <c r="V17" s="177">
        <f t="shared" si="1"/>
        <v>269.88567848992443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4000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4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-39676.774828433307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>
        <v>5</v>
      </c>
      <c r="I24" s="191">
        <v>600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32328.247965504768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180</v>
      </c>
      <c r="Q25" s="234"/>
      <c r="R25" s="23"/>
      <c r="S25" s="186" t="s">
        <v>266</v>
      </c>
      <c r="T25" s="299">
        <f ca="1">T23-T24</f>
        <v>-72005.022793938071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4128.7673008307493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114</v>
      </c>
      <c r="B31" s="181">
        <f>'Données projet'!D44</f>
        <v>61.860000000000014</v>
      </c>
      <c r="C31" s="193">
        <v>59.875</v>
      </c>
      <c r="D31" s="182">
        <f t="shared" si="2"/>
        <v>3703.8675000000007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124</v>
      </c>
      <c r="B32" s="181">
        <f>'Données projet'!D45</f>
        <v>57.81</v>
      </c>
      <c r="C32" s="193">
        <v>59.875</v>
      </c>
      <c r="D32" s="182">
        <f t="shared" si="2"/>
        <v>3461.3737500000002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172.2488038277512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164.83139122272846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164</v>
      </c>
      <c r="B36" s="181">
        <f>'Données projet'!D49</f>
        <v>66.020000000000095</v>
      </c>
      <c r="C36" s="193">
        <v>179.75</v>
      </c>
      <c r="D36" s="182">
        <f t="shared" si="2"/>
        <v>11867.095000000018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157.73338872988367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150.94104184677869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144.44118837012314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138.22123289007001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183</v>
      </c>
      <c r="B40" s="181">
        <f>'Données projet'!D53</f>
        <v>191.47</v>
      </c>
      <c r="C40" s="193">
        <v>234.375</v>
      </c>
      <c r="D40" s="182">
        <f t="shared" si="2"/>
        <v>44875.78125</v>
      </c>
      <c r="E40" s="193">
        <v>60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132.26912238284211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126.57332285439441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121.12279698985112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115.90698276540779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110.91577298125148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106.13949567583876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101.56889538357775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97.195115199595961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93.009679616838227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89.00447810223757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85.171749380131644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81.504066392470492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77.994321906670336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74.635714743225222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42</v>
      </c>
      <c r="B54" s="181">
        <f>'Données projet'!D62</f>
        <v>44.510000000000005</v>
      </c>
      <c r="C54" s="191">
        <v>15</v>
      </c>
      <c r="D54" s="179">
        <f>B54*C54</f>
        <v>667.65000000000009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71.42173659638776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50</v>
      </c>
      <c r="B55" s="181">
        <f>'Données projet'!D63</f>
        <v>37.54000000000002</v>
      </c>
      <c r="C55" s="191">
        <v>15</v>
      </c>
      <c r="D55" s="179">
        <f t="shared" ref="D55:D73" si="4">B55*C55</f>
        <v>563.10000000000036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68.346159422380651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58</v>
      </c>
      <c r="B56" s="181">
        <f>'Données projet'!D64</f>
        <v>47.789999999999992</v>
      </c>
      <c r="C56" s="191">
        <v>15</v>
      </c>
      <c r="D56" s="179">
        <f t="shared" si="4"/>
        <v>716.84999999999991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65.403023370699188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66</v>
      </c>
      <c r="B57" s="181">
        <f>'Données projet'!D65</f>
        <v>53.679999999999978</v>
      </c>
      <c r="C57" s="191">
        <v>59.875</v>
      </c>
      <c r="D57" s="179">
        <f t="shared" si="4"/>
        <v>3214.0899999999988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62.586625235118852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74</v>
      </c>
      <c r="B58" s="181">
        <f>'Données projet'!D66</f>
        <v>51.339999999999975</v>
      </c>
      <c r="C58" s="191">
        <v>59.875</v>
      </c>
      <c r="D58" s="179">
        <f t="shared" si="4"/>
        <v>3073.9824999999987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59.891507402027614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84</v>
      </c>
      <c r="B59" s="181">
        <f>'Données projet'!D67</f>
        <v>66.69</v>
      </c>
      <c r="C59" s="191">
        <v>59.875</v>
      </c>
      <c r="D59" s="179">
        <f t="shared" si="4"/>
        <v>3993.0637499999998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57.312447274667591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94</v>
      </c>
      <c r="B60" s="181">
        <f>'Données projet'!D68</f>
        <v>67.350000000000023</v>
      </c>
      <c r="C60" s="191">
        <v>59.875</v>
      </c>
      <c r="D60" s="179">
        <f t="shared" si="4"/>
        <v>4032.5812500000015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54.84444715279195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104</v>
      </c>
      <c r="B61" s="181">
        <f>'Données projet'!D69</f>
        <v>66.089999999999975</v>
      </c>
      <c r="C61" s="191">
        <v>59.875</v>
      </c>
      <c r="D61" s="179">
        <f t="shared" si="4"/>
        <v>3957.1387499999987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52.482724548126285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114</v>
      </c>
      <c r="B62" s="181">
        <f>'Données projet'!D70</f>
        <v>61.860000000000014</v>
      </c>
      <c r="C62" s="191">
        <v>59.875</v>
      </c>
      <c r="D62" s="179">
        <f t="shared" si="4"/>
        <v>3703.8675000000007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50.222702916867249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124</v>
      </c>
      <c r="B63" s="181">
        <f>'Données projet'!D71</f>
        <v>57.81</v>
      </c>
      <c r="C63" s="191">
        <v>59.875</v>
      </c>
      <c r="D63" s="179">
        <f t="shared" si="4"/>
        <v>3461.3737500000002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48.060002791260544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134</v>
      </c>
      <c r="B64" s="181">
        <f>'Données projet'!D72</f>
        <v>60.779999999999973</v>
      </c>
      <c r="C64" s="191">
        <v>179.75</v>
      </c>
      <c r="D64" s="179">
        <f t="shared" si="4"/>
        <v>10925.204999999994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45.990433293072279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144</v>
      </c>
      <c r="B65" s="181">
        <f>'Données projet'!D73</f>
        <v>61.800000000000068</v>
      </c>
      <c r="C65" s="191">
        <v>179.75</v>
      </c>
      <c r="D65" s="179">
        <f t="shared" si="4"/>
        <v>11108.550000000012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44.009984012509385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154</v>
      </c>
      <c r="B66" s="181">
        <f>'Données projet'!D74</f>
        <v>61.050000000000011</v>
      </c>
      <c r="C66" s="191">
        <v>179.75</v>
      </c>
      <c r="D66" s="179">
        <f t="shared" si="4"/>
        <v>10973.737500000003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42.114817236851088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164</v>
      </c>
      <c r="B67" s="181">
        <f>'Données projet'!D75</f>
        <v>66.020000000000095</v>
      </c>
      <c r="C67" s="191">
        <v>179.75</v>
      </c>
      <c r="D67" s="179">
        <f t="shared" si="4"/>
        <v>11867.095000000018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40.301260513733105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174</v>
      </c>
      <c r="B68" s="181">
        <f>'Données projet'!D76</f>
        <v>240</v>
      </c>
      <c r="C68" s="191">
        <v>234.375</v>
      </c>
      <c r="D68" s="179">
        <f t="shared" si="4"/>
        <v>56250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38.565799534672827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177</v>
      </c>
      <c r="B69" s="181">
        <f>'Données projet'!D77</f>
        <v>128.66000000000003</v>
      </c>
      <c r="C69" s="191">
        <v>234.375</v>
      </c>
      <c r="D69" s="179">
        <f t="shared" si="4"/>
        <v>30154.687500000007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36.905071325045775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180</v>
      </c>
      <c r="B70" s="181">
        <f>'Données projet'!D78</f>
        <v>86.97</v>
      </c>
      <c r="C70" s="191">
        <v>234.375</v>
      </c>
      <c r="D70" s="179">
        <f t="shared" si="4"/>
        <v>20383.59375</v>
      </c>
      <c r="E70" s="193">
        <v>60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35.315857727316533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183</v>
      </c>
      <c r="B71" s="181">
        <f>'Données projet'!D79</f>
        <v>191.47</v>
      </c>
      <c r="C71" s="191">
        <v>234.375</v>
      </c>
      <c r="D71" s="179">
        <f t="shared" si="4"/>
        <v>44875.78125</v>
      </c>
      <c r="E71" s="193">
        <v>60</v>
      </c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33.795079164896208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32.339788674541829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30.947166195733814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29.614513105965376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28.339246991354429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27.11889664244443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25.951097265497065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24.833585899997193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23.764197033490142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22.740858405253721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21.761586990673429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20.824485158539165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19.927736993817387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19.069604778772618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18.248425625619735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17.462608254181564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16.710629908307723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66</v>
      </c>
      <c r="B88" s="181">
        <f>'Données projet'!D91</f>
        <v>53.679999999999978</v>
      </c>
      <c r="C88" s="191">
        <v>59.875</v>
      </c>
      <c r="D88" s="179">
        <f t="shared" si="6"/>
        <v>3214.0899999999988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15.991033405079159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74</v>
      </c>
      <c r="B89" s="181">
        <f>'Données projet'!D92</f>
        <v>51.339999999999975</v>
      </c>
      <c r="C89" s="191">
        <v>59.875</v>
      </c>
      <c r="D89" s="179">
        <f t="shared" si="6"/>
        <v>3073.9824999999987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15.302424311080539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84</v>
      </c>
      <c r="B90" s="181">
        <f>'Données projet'!D93</f>
        <v>66.69</v>
      </c>
      <c r="C90" s="191">
        <v>59.875</v>
      </c>
      <c r="D90" s="179">
        <f t="shared" si="6"/>
        <v>3993.0637499999998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14.64346824026846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94</v>
      </c>
      <c r="B91" s="181">
        <f>'Données projet'!D94</f>
        <v>67.350000000000023</v>
      </c>
      <c r="C91" s="191">
        <v>59.875</v>
      </c>
      <c r="D91" s="179">
        <f t="shared" si="6"/>
        <v>4032.5812500000015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14.012888268199486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104</v>
      </c>
      <c r="B92" s="181">
        <f>'Données projet'!D95</f>
        <v>66.089999999999975</v>
      </c>
      <c r="C92" s="191">
        <v>59.875</v>
      </c>
      <c r="D92" s="179">
        <f t="shared" si="6"/>
        <v>3957.1387499999987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13.409462457607164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114</v>
      </c>
      <c r="B93" s="181">
        <f>'Données projet'!D96</f>
        <v>61.860000000000014</v>
      </c>
      <c r="C93" s="191">
        <v>59.875</v>
      </c>
      <c r="D93" s="179">
        <f t="shared" si="6"/>
        <v>3703.8675000000007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12.832021490533172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124</v>
      </c>
      <c r="B94" s="181">
        <f>'Données projet'!D97</f>
        <v>57.81</v>
      </c>
      <c r="C94" s="191">
        <v>59.875</v>
      </c>
      <c r="D94" s="179">
        <f t="shared" si="6"/>
        <v>3461.3737500000002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12.279446402424087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134</v>
      </c>
      <c r="B95" s="181">
        <f>'Données projet'!D98</f>
        <v>60.779999999999973</v>
      </c>
      <c r="C95" s="191">
        <v>179.75</v>
      </c>
      <c r="D95" s="179">
        <f t="shared" si="6"/>
        <v>10925.204999999994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11.750666413802959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144</v>
      </c>
      <c r="B96" s="181">
        <f>'Données projet'!D99</f>
        <v>61.800000000000068</v>
      </c>
      <c r="C96" s="191">
        <v>179.75</v>
      </c>
      <c r="D96" s="179">
        <f t="shared" si="6"/>
        <v>11108.550000000012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11.244656855313835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154</v>
      </c>
      <c r="B97" s="181">
        <f>'Données projet'!D100</f>
        <v>61.050000000000011</v>
      </c>
      <c r="C97" s="191">
        <v>179.75</v>
      </c>
      <c r="D97" s="179">
        <f t="shared" si="6"/>
        <v>10973.737500000003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10.760437182118508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164</v>
      </c>
      <c r="B98" s="181">
        <f>'Données projet'!D101</f>
        <v>66.020000000000095</v>
      </c>
      <c r="C98" s="191">
        <v>179.75</v>
      </c>
      <c r="D98" s="179">
        <f t="shared" si="6"/>
        <v>11867.095000000018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10.297069073797616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174</v>
      </c>
      <c r="B99" s="181">
        <f>'Données projet'!D102</f>
        <v>240</v>
      </c>
      <c r="C99" s="191">
        <v>234.375</v>
      </c>
      <c r="D99" s="179">
        <f t="shared" si="6"/>
        <v>56250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9.8536546160742748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177</v>
      </c>
      <c r="B100" s="181">
        <f>'Données projet'!D103</f>
        <v>128.66000000000003</v>
      </c>
      <c r="C100" s="191">
        <v>234.375</v>
      </c>
      <c r="D100" s="179">
        <f t="shared" si="6"/>
        <v>30154.687500000007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9.4293345608366259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180</v>
      </c>
      <c r="B101" s="181">
        <f>'Données projet'!D104</f>
        <v>86.97</v>
      </c>
      <c r="C101" s="191">
        <v>234.375</v>
      </c>
      <c r="D101" s="179">
        <f t="shared" si="6"/>
        <v>20383.59375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9.023286661087683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183</v>
      </c>
      <c r="B102" s="181">
        <f>'Données projet'!D105</f>
        <v>191.47</v>
      </c>
      <c r="C102" s="191">
        <v>234.375</v>
      </c>
      <c r="D102" s="179">
        <f t="shared" si="6"/>
        <v>44875.78125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8.6347240775958696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8.2628938541587278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7.9070754585250986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7.5665793861484225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7.2407458240654767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6.9289433723114611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6.6305678203937433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6.345040976453344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6.0718095468453051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5.8103440639668005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5.5601378602553115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5.3207060863687206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5.0915847716447091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4.8723299250188612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42</v>
      </c>
      <c r="B116" s="181">
        <f>'Données projet'!D114</f>
        <v>44.510000000000005</v>
      </c>
      <c r="C116" s="191">
        <v>15</v>
      </c>
      <c r="D116" s="179">
        <f>B116*C116</f>
        <v>667.65000000000009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4.6625166746591979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50</v>
      </c>
      <c r="B117" s="181">
        <f>'Données projet'!D115</f>
        <v>37.54000000000002</v>
      </c>
      <c r="C117" s="191">
        <v>15</v>
      </c>
      <c r="D117" s="179">
        <f t="shared" ref="D117:D135" si="8">B117*C117</f>
        <v>563.10000000000036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4.4617384446499511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58</v>
      </c>
      <c r="B118" s="181">
        <f>'Données projet'!D116</f>
        <v>47.789999999999992</v>
      </c>
      <c r="C118" s="191">
        <v>15</v>
      </c>
      <c r="D118" s="179">
        <f t="shared" si="8"/>
        <v>716.84999999999991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4.2696061671291394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66</v>
      </c>
      <c r="B119" s="181">
        <f>'Données projet'!D117</f>
        <v>53.679999999999978</v>
      </c>
      <c r="C119" s="191">
        <v>59.875</v>
      </c>
      <c r="D119" s="179">
        <f t="shared" si="8"/>
        <v>3214.0899999999988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4.0857475283532443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74</v>
      </c>
      <c r="B120" s="181">
        <f>'Données projet'!D118</f>
        <v>51.339999999999975</v>
      </c>
      <c r="C120" s="191">
        <v>59.875</v>
      </c>
      <c r="D120" s="179">
        <f t="shared" si="8"/>
        <v>3073.9824999999987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3.9098062472279849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84</v>
      </c>
      <c r="B121" s="181">
        <f>'Données projet'!D119</f>
        <v>66.69</v>
      </c>
      <c r="C121" s="191">
        <v>59.875</v>
      </c>
      <c r="D121" s="179">
        <f t="shared" si="8"/>
        <v>3993.0637499999998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3.7414413849071635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94</v>
      </c>
      <c r="B122" s="181">
        <f>'Données projet'!D120</f>
        <v>67.350000000000023</v>
      </c>
      <c r="C122" s="191">
        <v>59.875</v>
      </c>
      <c r="D122" s="179">
        <f t="shared" si="8"/>
        <v>4032.5812500000015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3.5803266841216876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104</v>
      </c>
      <c r="B123" s="181">
        <f>'Données projet'!D121</f>
        <v>66.089999999999975</v>
      </c>
      <c r="C123" s="191">
        <v>59.875</v>
      </c>
      <c r="D123" s="179">
        <f t="shared" si="8"/>
        <v>3957.1387499999987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3.426149936958554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114</v>
      </c>
      <c r="B124" s="181">
        <f>'Données projet'!D122</f>
        <v>61.860000000000014</v>
      </c>
      <c r="C124" s="191">
        <v>59.875</v>
      </c>
      <c r="D124" s="179">
        <f t="shared" si="8"/>
        <v>3703.8675000000007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3.2786123798646445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124</v>
      </c>
      <c r="B125" s="181">
        <f>'Données projet'!D123</f>
        <v>57.81</v>
      </c>
      <c r="C125" s="191">
        <v>59.875</v>
      </c>
      <c r="D125" s="179">
        <f t="shared" si="8"/>
        <v>3461.3737500000002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3.1374281147030101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134</v>
      </c>
      <c r="B126" s="181">
        <f>'Données projet'!D124</f>
        <v>60.779999999999973</v>
      </c>
      <c r="C126" s="191">
        <v>179.75</v>
      </c>
      <c r="D126" s="179">
        <f t="shared" si="8"/>
        <v>10925.204999999994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3.0023235547397218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144</v>
      </c>
      <c r="B127" s="181">
        <f>'Données projet'!D125</f>
        <v>61.800000000000068</v>
      </c>
      <c r="C127" s="191">
        <v>179.75</v>
      </c>
      <c r="D127" s="179">
        <f t="shared" si="8"/>
        <v>11108.550000000012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2.8730368944877736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154</v>
      </c>
      <c r="B128" s="181">
        <f>'Données projet'!D126</f>
        <v>61.050000000000011</v>
      </c>
      <c r="C128" s="191">
        <v>179.75</v>
      </c>
      <c r="D128" s="179">
        <f t="shared" si="8"/>
        <v>10973.737500000003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2.7493176023806436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164</v>
      </c>
      <c r="B129" s="181">
        <f>'Données projet'!D127</f>
        <v>66.020000000000095</v>
      </c>
      <c r="C129" s="191">
        <v>179.75</v>
      </c>
      <c r="D129" s="179">
        <f t="shared" si="8"/>
        <v>11867.095000000018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2.6309259352924834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174</v>
      </c>
      <c r="B130" s="181">
        <f>'Données projet'!D128</f>
        <v>240</v>
      </c>
      <c r="C130" s="191">
        <v>234.375</v>
      </c>
      <c r="D130" s="179">
        <f t="shared" si="8"/>
        <v>56250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2.5176324739640998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177</v>
      </c>
      <c r="B131" s="181">
        <f>'Données projet'!D129</f>
        <v>128.66000000000003</v>
      </c>
      <c r="C131" s="191">
        <v>234.375</v>
      </c>
      <c r="D131" s="179">
        <f t="shared" si="8"/>
        <v>30154.687500000007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2.4092176784345454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180</v>
      </c>
      <c r="B132" s="181">
        <f>'Données projet'!D130</f>
        <v>86.97</v>
      </c>
      <c r="C132" s="191">
        <v>234.375</v>
      </c>
      <c r="D132" s="179">
        <f t="shared" si="8"/>
        <v>20383.59375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2.3054714626167896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183</v>
      </c>
      <c r="B133" s="181">
        <f>'Données projet'!D131</f>
        <v>191.47</v>
      </c>
      <c r="C133" s="191">
        <v>234.375</v>
      </c>
      <c r="D133" s="179">
        <f t="shared" si="8"/>
        <v>44875.78125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>Cormier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42</v>
      </c>
      <c r="B147" s="175">
        <f>'Données projet'!D140</f>
        <v>44.510000000000005</v>
      </c>
      <c r="C147" s="191">
        <v>15</v>
      </c>
      <c r="D147" s="182">
        <f>B147*C147</f>
        <v>667.65000000000009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50</v>
      </c>
      <c r="B148" s="175">
        <f>'Données projet'!D141</f>
        <v>37.54000000000002</v>
      </c>
      <c r="C148" s="191">
        <v>15</v>
      </c>
      <c r="D148" s="182">
        <f t="shared" ref="D148:D166" si="10">B148*C148</f>
        <v>563.10000000000036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58</v>
      </c>
      <c r="B149" s="175">
        <f>'Données projet'!D142</f>
        <v>47.789999999999992</v>
      </c>
      <c r="C149" s="191">
        <v>15</v>
      </c>
      <c r="D149" s="182">
        <f t="shared" si="10"/>
        <v>716.84999999999991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66</v>
      </c>
      <c r="B150" s="175">
        <f>'Données projet'!D143</f>
        <v>53.679999999999978</v>
      </c>
      <c r="C150" s="191">
        <v>59.875</v>
      </c>
      <c r="D150" s="182">
        <f t="shared" si="10"/>
        <v>3214.0899999999988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74</v>
      </c>
      <c r="B151" s="175">
        <f>'Données projet'!D144</f>
        <v>51.339999999999975</v>
      </c>
      <c r="C151" s="191">
        <v>59.875</v>
      </c>
      <c r="D151" s="182">
        <f t="shared" si="10"/>
        <v>3073.9824999999987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84</v>
      </c>
      <c r="B152" s="175">
        <f>'Données projet'!D145</f>
        <v>66.69</v>
      </c>
      <c r="C152" s="191">
        <v>59.875</v>
      </c>
      <c r="D152" s="182">
        <f t="shared" si="10"/>
        <v>3993.0637499999998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94</v>
      </c>
      <c r="B153" s="175">
        <f>'Données projet'!D146</f>
        <v>67.350000000000023</v>
      </c>
      <c r="C153" s="191">
        <v>59.875</v>
      </c>
      <c r="D153" s="182">
        <f t="shared" si="10"/>
        <v>4032.5812500000015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104</v>
      </c>
      <c r="B154" s="175">
        <f>'Données projet'!D147</f>
        <v>66.089999999999975</v>
      </c>
      <c r="C154" s="191">
        <v>59.875</v>
      </c>
      <c r="D154" s="182">
        <f t="shared" si="10"/>
        <v>3957.1387499999987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114</v>
      </c>
      <c r="B155" s="175">
        <f>'Données projet'!D148</f>
        <v>61.860000000000014</v>
      </c>
      <c r="C155" s="191">
        <v>59.875</v>
      </c>
      <c r="D155" s="182">
        <f t="shared" si="10"/>
        <v>3703.8675000000007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124</v>
      </c>
      <c r="B156" s="175">
        <f>'Données projet'!D149</f>
        <v>57.81</v>
      </c>
      <c r="C156" s="191">
        <v>59.875</v>
      </c>
      <c r="D156" s="182">
        <f t="shared" si="10"/>
        <v>3461.3737500000002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134</v>
      </c>
      <c r="B157" s="175">
        <f>'Données projet'!D150</f>
        <v>60.779999999999973</v>
      </c>
      <c r="C157" s="191">
        <v>179.75</v>
      </c>
      <c r="D157" s="182">
        <f t="shared" si="10"/>
        <v>10925.204999999994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144</v>
      </c>
      <c r="B158" s="175">
        <f>'Données projet'!D151</f>
        <v>61.800000000000068</v>
      </c>
      <c r="C158" s="191">
        <v>179.75</v>
      </c>
      <c r="D158" s="182">
        <f t="shared" si="10"/>
        <v>11108.550000000012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154</v>
      </c>
      <c r="B159" s="175">
        <f>'Données projet'!D152</f>
        <v>61.050000000000011</v>
      </c>
      <c r="C159" s="191">
        <v>179.75</v>
      </c>
      <c r="D159" s="182">
        <f t="shared" si="10"/>
        <v>10973.737500000003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164</v>
      </c>
      <c r="B160" s="175">
        <f>'Données projet'!D153</f>
        <v>66.020000000000095</v>
      </c>
      <c r="C160" s="191">
        <v>179.75</v>
      </c>
      <c r="D160" s="182">
        <f t="shared" si="10"/>
        <v>11867.095000000018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174</v>
      </c>
      <c r="B161" s="175">
        <f>'Données projet'!D154</f>
        <v>240</v>
      </c>
      <c r="C161" s="191">
        <v>234.375</v>
      </c>
      <c r="D161" s="182">
        <f t="shared" si="10"/>
        <v>56250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177</v>
      </c>
      <c r="B162" s="175">
        <f>'Données projet'!D155</f>
        <v>128.66000000000003</v>
      </c>
      <c r="C162" s="191">
        <v>234.375</v>
      </c>
      <c r="D162" s="182">
        <f t="shared" si="10"/>
        <v>30154.687500000007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180</v>
      </c>
      <c r="B163" s="175">
        <f>'Données projet'!D156</f>
        <v>86.97</v>
      </c>
      <c r="C163" s="191">
        <v>234.375</v>
      </c>
      <c r="D163" s="182">
        <f t="shared" si="10"/>
        <v>20383.59375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183</v>
      </c>
      <c r="B164" s="175">
        <f>'Données projet'!D157</f>
        <v>191.47</v>
      </c>
      <c r="C164" s="191">
        <v>234.375</v>
      </c>
      <c r="D164" s="182">
        <f t="shared" si="10"/>
        <v>44875.78125</v>
      </c>
      <c r="E164" s="193">
        <v>60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>Chêne chevelu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10</v>
      </c>
      <c r="B178" s="181">
        <f>'Données projet'!D166</f>
        <v>0</v>
      </c>
      <c r="C178" s="193">
        <v>13.5625</v>
      </c>
      <c r="D178" s="179">
        <f>B178*C178</f>
        <v>0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15</v>
      </c>
      <c r="B179" s="181">
        <f>'Données projet'!D167</f>
        <v>0</v>
      </c>
      <c r="C179" s="193">
        <v>13.5625</v>
      </c>
      <c r="D179" s="179">
        <f t="shared" ref="D179:D197" si="11">B179*C179</f>
        <v>0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20</v>
      </c>
      <c r="B180" s="181">
        <f>'Données projet'!D168</f>
        <v>18.589743589743588</v>
      </c>
      <c r="C180" s="193">
        <v>13.5625</v>
      </c>
      <c r="D180" s="179">
        <f t="shared" si="11"/>
        <v>252.1233974358974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25</v>
      </c>
      <c r="B181" s="181">
        <f>'Données projet'!D169</f>
        <v>12.179487179487179</v>
      </c>
      <c r="C181" s="193">
        <v>13.5625</v>
      </c>
      <c r="D181" s="179">
        <f t="shared" si="11"/>
        <v>165.18429487179486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30</v>
      </c>
      <c r="B182" s="181">
        <f>'Données projet'!D170</f>
        <v>12.820512820512819</v>
      </c>
      <c r="C182" s="193">
        <v>13.5625</v>
      </c>
      <c r="D182" s="179">
        <f t="shared" si="11"/>
        <v>173.87820512820511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35</v>
      </c>
      <c r="B183" s="181">
        <f>'Données projet'!D171</f>
        <v>12.820512820512819</v>
      </c>
      <c r="C183" s="193">
        <v>13.5625</v>
      </c>
      <c r="D183" s="179">
        <f t="shared" si="11"/>
        <v>173.87820512820511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40</v>
      </c>
      <c r="B184" s="181">
        <f>'Données projet'!D172</f>
        <v>12.820512820512819</v>
      </c>
      <c r="C184" s="193">
        <v>13.5625</v>
      </c>
      <c r="D184" s="179">
        <f t="shared" si="11"/>
        <v>173.87820512820511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45</v>
      </c>
      <c r="B185" s="181">
        <f>'Données projet'!D173</f>
        <v>12.179487179487179</v>
      </c>
      <c r="C185" s="193">
        <v>13.5625</v>
      </c>
      <c r="D185" s="179">
        <f t="shared" si="11"/>
        <v>165.18429487179486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50</v>
      </c>
      <c r="B186" s="181">
        <f>'Données projet'!D174</f>
        <v>11.538461538461538</v>
      </c>
      <c r="C186" s="193">
        <v>13.5625</v>
      </c>
      <c r="D186" s="179">
        <f t="shared" si="11"/>
        <v>156.49038461538461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55</v>
      </c>
      <c r="B187" s="181">
        <f>'Données projet'!D175</f>
        <v>10.897435897435898</v>
      </c>
      <c r="C187" s="193">
        <v>13.5625</v>
      </c>
      <c r="D187" s="179">
        <f t="shared" si="11"/>
        <v>147.79647435897436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60</v>
      </c>
      <c r="B188" s="181">
        <f>'Données projet'!D176</f>
        <v>10.256410256410255</v>
      </c>
      <c r="C188" s="193">
        <v>13.5625</v>
      </c>
      <c r="D188" s="179">
        <f t="shared" si="11"/>
        <v>139.10256410256409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65</v>
      </c>
      <c r="B189" s="181">
        <f>'Données projet'!D177</f>
        <v>9.615384615384615</v>
      </c>
      <c r="C189" s="193">
        <v>32.787500000000001</v>
      </c>
      <c r="D189" s="179">
        <f t="shared" si="11"/>
        <v>315.26442307692309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70</v>
      </c>
      <c r="B190" s="181">
        <f>'Données projet'!D178</f>
        <v>8.9743589743589745</v>
      </c>
      <c r="C190" s="193">
        <v>32.787500000000001</v>
      </c>
      <c r="D190" s="179">
        <f t="shared" si="11"/>
        <v>294.24679487179486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75</v>
      </c>
      <c r="B191" s="181">
        <f>'Données projet'!D179</f>
        <v>7.6923076923076916</v>
      </c>
      <c r="C191" s="193">
        <v>32.787500000000001</v>
      </c>
      <c r="D191" s="179">
        <f t="shared" si="11"/>
        <v>252.21153846153845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80</v>
      </c>
      <c r="B192" s="181">
        <f>'Données projet'!D180</f>
        <v>7.0512820512820511</v>
      </c>
      <c r="C192" s="193">
        <v>32.787500000000001</v>
      </c>
      <c r="D192" s="179">
        <f t="shared" si="11"/>
        <v>231.19391025641025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85</v>
      </c>
      <c r="B193" s="181">
        <f>'Données projet'!D181</f>
        <v>6.4102564102564097</v>
      </c>
      <c r="C193" s="193">
        <v>32.787500000000001</v>
      </c>
      <c r="D193" s="179">
        <f t="shared" si="11"/>
        <v>210.17628205128204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90</v>
      </c>
      <c r="B194" s="181">
        <f>'Données projet'!D182</f>
        <v>6.4102564102564097</v>
      </c>
      <c r="C194" s="193">
        <v>32.787500000000001</v>
      </c>
      <c r="D194" s="179">
        <f t="shared" si="11"/>
        <v>210.17628205128204</v>
      </c>
      <c r="E194" s="193">
        <v>60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95</v>
      </c>
      <c r="B195" s="181">
        <f>'Données projet'!D183</f>
        <v>7.0512820512820511</v>
      </c>
      <c r="C195" s="193">
        <v>32.787500000000001</v>
      </c>
      <c r="D195" s="179">
        <f t="shared" si="11"/>
        <v>231.19391025641025</v>
      </c>
      <c r="E195" s="193">
        <v>60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100</v>
      </c>
      <c r="B196" s="181">
        <f>'Données projet'!D184</f>
        <v>142.94871794871796</v>
      </c>
      <c r="C196" s="193">
        <v>32.787500000000001</v>
      </c>
      <c r="D196" s="179">
        <f t="shared" si="11"/>
        <v>4686.9310897435898</v>
      </c>
      <c r="E196" s="193">
        <v>60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>Chêne vert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42</v>
      </c>
      <c r="B240" s="181">
        <f>'Données projet'!D218</f>
        <v>44.510000000000005</v>
      </c>
      <c r="C240" s="193">
        <v>15</v>
      </c>
      <c r="D240" s="179">
        <f>B240*C240</f>
        <v>667.65000000000009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50</v>
      </c>
      <c r="B241" s="181">
        <f>'Données projet'!D219</f>
        <v>37.54000000000002</v>
      </c>
      <c r="C241" s="193">
        <v>15</v>
      </c>
      <c r="D241" s="179">
        <f t="shared" ref="D241:D259" si="13">B241*C241</f>
        <v>563.10000000000036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58</v>
      </c>
      <c r="B242" s="181">
        <f>'Données projet'!D220</f>
        <v>47.789999999999992</v>
      </c>
      <c r="C242" s="193">
        <v>15</v>
      </c>
      <c r="D242" s="179">
        <f t="shared" si="13"/>
        <v>716.84999999999991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66</v>
      </c>
      <c r="B243" s="181">
        <f>'Données projet'!D221</f>
        <v>53.679999999999978</v>
      </c>
      <c r="C243" s="193">
        <v>59.875</v>
      </c>
      <c r="D243" s="179">
        <f t="shared" si="13"/>
        <v>3214.0899999999988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74</v>
      </c>
      <c r="B244" s="181">
        <f>'Données projet'!D222</f>
        <v>51.339999999999975</v>
      </c>
      <c r="C244" s="193">
        <v>59.875</v>
      </c>
      <c r="D244" s="179">
        <f t="shared" si="13"/>
        <v>3073.9824999999987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84</v>
      </c>
      <c r="B245" s="181">
        <f>'Données projet'!D223</f>
        <v>66.69</v>
      </c>
      <c r="C245" s="193">
        <v>59.875</v>
      </c>
      <c r="D245" s="179">
        <f t="shared" si="13"/>
        <v>3993.0637499999998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94</v>
      </c>
      <c r="B246" s="181">
        <f>'Données projet'!D224</f>
        <v>67.350000000000023</v>
      </c>
      <c r="C246" s="193">
        <v>59.875</v>
      </c>
      <c r="D246" s="179">
        <f t="shared" si="13"/>
        <v>4032.5812500000015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104</v>
      </c>
      <c r="B247" s="181">
        <f>'Données projet'!D225</f>
        <v>66.089999999999975</v>
      </c>
      <c r="C247" s="193">
        <v>59.875</v>
      </c>
      <c r="D247" s="179">
        <f t="shared" si="13"/>
        <v>3957.1387499999987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114</v>
      </c>
      <c r="B248" s="181">
        <f>'Données projet'!D226</f>
        <v>61.860000000000014</v>
      </c>
      <c r="C248" s="193">
        <v>59.875</v>
      </c>
      <c r="D248" s="179">
        <f t="shared" si="13"/>
        <v>3703.8675000000007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124</v>
      </c>
      <c r="B249" s="181">
        <f>'Données projet'!D227</f>
        <v>57.81</v>
      </c>
      <c r="C249" s="193">
        <v>59.875</v>
      </c>
      <c r="D249" s="179">
        <f t="shared" si="13"/>
        <v>3461.3737500000002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134</v>
      </c>
      <c r="B250" s="181">
        <f>'Données projet'!D228</f>
        <v>60.779999999999973</v>
      </c>
      <c r="C250" s="193">
        <v>179.75</v>
      </c>
      <c r="D250" s="179">
        <f t="shared" si="13"/>
        <v>10925.204999999994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144</v>
      </c>
      <c r="B251" s="181">
        <f>'Données projet'!D229</f>
        <v>61.800000000000068</v>
      </c>
      <c r="C251" s="193">
        <v>179.75</v>
      </c>
      <c r="D251" s="179">
        <f t="shared" si="13"/>
        <v>11108.550000000012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154</v>
      </c>
      <c r="B252" s="181">
        <f>'Données projet'!D230</f>
        <v>61.050000000000011</v>
      </c>
      <c r="C252" s="193">
        <v>179.75</v>
      </c>
      <c r="D252" s="179">
        <f t="shared" si="13"/>
        <v>10973.737500000003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164</v>
      </c>
      <c r="B253" s="181">
        <f>'Données projet'!D231</f>
        <v>66.020000000000095</v>
      </c>
      <c r="C253" s="193">
        <v>179.75</v>
      </c>
      <c r="D253" s="179">
        <f t="shared" si="13"/>
        <v>11867.095000000018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174</v>
      </c>
      <c r="B254" s="181">
        <f>'Données projet'!D232</f>
        <v>240</v>
      </c>
      <c r="C254" s="193">
        <v>234.375</v>
      </c>
      <c r="D254" s="179">
        <f t="shared" si="13"/>
        <v>56250</v>
      </c>
      <c r="E254" s="193">
        <v>60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177</v>
      </c>
      <c r="B255" s="181">
        <f>'Données projet'!D233</f>
        <v>128.66000000000003</v>
      </c>
      <c r="C255" s="193">
        <v>234.375</v>
      </c>
      <c r="D255" s="179">
        <f t="shared" si="13"/>
        <v>30154.687500000007</v>
      </c>
      <c r="E255" s="193">
        <v>60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180</v>
      </c>
      <c r="B256" s="181">
        <f>'Données projet'!D234</f>
        <v>86.97</v>
      </c>
      <c r="C256" s="193">
        <v>234.375</v>
      </c>
      <c r="D256" s="179">
        <f t="shared" si="13"/>
        <v>20383.59375</v>
      </c>
      <c r="E256" s="193">
        <v>60</v>
      </c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183</v>
      </c>
      <c r="B257" s="181">
        <f>'Données projet'!D235</f>
        <v>191.47</v>
      </c>
      <c r="C257" s="193">
        <v>234.375</v>
      </c>
      <c r="D257" s="179">
        <f t="shared" si="13"/>
        <v>44875.78125</v>
      </c>
      <c r="E257" s="193">
        <v>60</v>
      </c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816295-C762-4D31-B691-86D30C610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2024-12-16T13:27:56Z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